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<sst xmlns="http://schemas.openxmlformats.org/spreadsheetml/2006/main" count="298" uniqueCount="109">
  <si>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</si>
  <si>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</si>
  <si>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</si>
  <si>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</si>
  <si>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</si>
  <si>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</si>
  <si>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</si>
  <si>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</si>
  <si>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</si>
  <si>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</si>
  <si>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</si>
  <si>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</si>
  <si>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</si>
  <si>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</si>
  <si>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</si>
  <si>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</si>
  <si>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</si>
  <si>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</si>
  <si>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</si>
  <si>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</si>
  <si>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</si>
  <si>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</si>
  <si>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</si>
  <si>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</si>
  <si>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</si>
  <si>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</si>
  <si>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</si>
  <si>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</si>
  <si>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</si>
  <si>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</si>
  <si>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</si>
  <si>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</si>
  <si>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</si>
  <si>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</si>
  <si>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</si>
  <si>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</si>
  <si>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</si>
  <si>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</si>
  <si>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</si>
  <si>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</si>
  <si>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</si>
  <si>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</si>
  <si>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</si>
  <si>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</si>
  <si>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</si>
  <si>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</si>
  <si>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</si>
  <si>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</si>
  <si>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</si>
  <si>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</si>
  <si>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</si>
  <si>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</si>
  <si>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</si>
  <si>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</si>
  <si>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</si>
  <si>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</si>
  <si>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</si>
  <si>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</si>
  <si>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</si>
  <si>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</si>
  <si>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</si>
  <si>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</si>
  <si>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</si>
  <si>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</si>
  <si>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</si>
  <si>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</si>
  <si>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</si>
  <si>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</si>
  <si>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</si>
  <si>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</si>
  <si>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Капитальный ремонт</t>
  </si>
  <si>
    <t>Лицевой счет по адресу г. Таштагол, ул. 28 Панфиловцев, д. 6</t>
  </si>
  <si>
    <t>Выписка по лицевому счету по адресу г. Таштагол, ул. 28 Панфиловцев, д. 6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</si>
  <si>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</si>
  <si>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</si>
  <si>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</si>
  <si>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</si>
  <si>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</si>
  <si>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</si>
  <si>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</si>
  <si>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</si>
  <si>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</si>
  <si>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</si>
  <si>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</si>
  <si>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</si>
  <si>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</si>
  <si>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</si>
  <si>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</si>
  <si>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</si>
  <si>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</si>
  <si>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</si>
  <si>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</si>
  <si>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</si>
  <si>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</si>
  <si>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</si>
  <si>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</si>
  <si>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</si>
  <si>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</si>
  <si>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</si>
  <si>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</si>
  <si>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</si>
  <si>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</si>
  <si>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</si>
  <si>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Лицевой счет по адресу г. Таштагол, ул. 28 Панфиловцев, д.6</t>
  </si>
  <si>
    <t>Выписка по лицевому счету по адресу г. Таштагол ул. 28 панфиловцев, д.6</t>
  </si>
  <si>
    <t>2012 год</t>
  </si>
  <si>
    <t>на 01.01.2013 г.</t>
  </si>
  <si>
    <t>*по состоянию на 01.05.2013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</si>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</sst>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4" fontId="0" fillId="36" borderId="11" xfId="0" applyNumberFormat="1" applyFont="1" applyFill="1" applyBorder="1" applyAlignment="1">
      <alignment horizontal="right"/>
    </xf>
    <xf numFmtId="4" fontId="2" fillId="36" borderId="11" xfId="54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41" xfId="34" applyNumberFormat="1" applyFont="1" applyFill="1" applyBorder="1" applyAlignment="1">
      <alignment horizontal="center" vertical="center" wrapText="1"/>
      <protection/>
    </xf>
    <xf numFmtId="43" fontId="2" fillId="34" borderId="33" xfId="62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8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40" borderId="42" xfId="0" applyNumberFormat="1" applyFont="1" applyFill="1" applyBorder="1" applyAlignment="1">
      <alignment/>
    </xf>
    <xf numFmtId="2" fontId="0" fillId="4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43" fontId="2" fillId="34" borderId="13" xfId="62" applyFont="1" applyFill="1" applyBorder="1" applyAlignment="1">
      <alignment vertical="center" wrapText="1"/>
    </xf>
    <xf numFmtId="4" fontId="0" fillId="34" borderId="32" xfId="0" applyNumberFormat="1" applyFont="1" applyFill="1" applyBorder="1" applyAlignment="1">
      <alignment horizontal="right"/>
    </xf>
    <xf numFmtId="2" fontId="0" fillId="40" borderId="42" xfId="0" applyNumberFormat="1" applyFont="1" applyFill="1" applyBorder="1" applyAlignment="1">
      <alignment horizontal="right"/>
    </xf>
    <xf numFmtId="2" fontId="0" fillId="40" borderId="44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8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8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7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7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8" borderId="32" xfId="0" applyNumberFormat="1" applyFont="1" applyFill="1" applyBorder="1" applyAlignment="1">
      <alignment horizontal="center"/>
    </xf>
    <xf numFmtId="2" fontId="0" fillId="40" borderId="45" xfId="0" applyNumberFormat="1" applyFont="1" applyFill="1" applyBorder="1" applyAlignment="1">
      <alignment horizontal="right"/>
    </xf>
    <xf numFmtId="2" fontId="0" fillId="40" borderId="46" xfId="0" applyNumberFormat="1" applyFont="1" applyFill="1" applyBorder="1" applyAlignment="1">
      <alignment horizontal="right"/>
    </xf>
    <xf numFmtId="0" fontId="0" fillId="0" borderId="42" xfId="0" applyBorder="1" applyAlignment="1">
      <alignment horizontal="center"/>
    </xf>
    <xf numFmtId="2" fontId="8" fillId="40" borderId="42" xfId="0" applyNumberFormat="1" applyFont="1" applyFill="1" applyBorder="1" applyAlignment="1">
      <alignment horizontal="right"/>
    </xf>
    <xf numFmtId="2" fontId="8" fillId="40" borderId="44" xfId="0" applyNumberFormat="1" applyFont="1" applyFill="1" applyBorder="1" applyAlignment="1">
      <alignment horizontal="right"/>
    </xf>
    <xf numFmtId="4" fontId="0" fillId="40" borderId="43" xfId="0" applyNumberFormat="1" applyFont="1" applyFill="1" applyBorder="1" applyAlignment="1">
      <alignment horizontal="right"/>
    </xf>
    <xf numFmtId="4" fontId="0" fillId="40" borderId="44" xfId="0" applyNumberFormat="1" applyFont="1" applyFill="1" applyBorder="1" applyAlignment="1">
      <alignment horizontal="right"/>
    </xf>
    <xf numFmtId="4" fontId="0" fillId="40" borderId="20" xfId="0" applyNumberFormat="1" applyFont="1" applyFill="1" applyBorder="1" applyAlignment="1">
      <alignment horizontal="right"/>
    </xf>
    <xf numFmtId="4" fontId="0" fillId="40" borderId="31" xfId="0" applyNumberFormat="1" applyFont="1" applyFill="1" applyBorder="1" applyAlignment="1">
      <alignment horizontal="right"/>
    </xf>
    <xf numFmtId="4" fontId="0" fillId="40" borderId="42" xfId="0" applyNumberFormat="1" applyFont="1" applyFill="1" applyBorder="1" applyAlignment="1">
      <alignment horizontal="right"/>
    </xf>
    <xf numFmtId="4" fontId="0" fillId="34" borderId="47" xfId="0" applyNumberFormat="1" applyFont="1" applyFill="1" applyBorder="1" applyAlignment="1">
      <alignment/>
    </xf>
    <xf numFmtId="4" fontId="0" fillId="34" borderId="47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3" fillId="0" borderId="15" xfId="34" applyNumberFormat="1" applyFont="1" applyFill="1" applyBorder="1" applyAlignment="1">
      <alignment horizontal="center" vertical="center" wrapText="1"/>
      <protection/>
    </xf>
    <xf numFmtId="4" fontId="3" fillId="0" borderId="32" xfId="34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48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5" xfId="55" applyNumberFormat="1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4" fontId="0" fillId="34" borderId="32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33" borderId="32" xfId="55" applyNumberFormat="1" applyFont="1" applyFill="1" applyBorder="1">
      <alignment/>
      <protection/>
    </xf>
    <xf numFmtId="4" fontId="0" fillId="0" borderId="32" xfId="55" applyNumberFormat="1" applyFont="1" applyFill="1" applyBorder="1">
      <alignment/>
      <protection/>
    </xf>
    <xf numFmtId="4" fontId="0" fillId="0" borderId="33" xfId="0" applyNumberFormat="1" applyFont="1" applyBorder="1" applyAlignment="1">
      <alignment/>
    </xf>
    <xf numFmtId="0" fontId="0" fillId="0" borderId="33" xfId="55" applyBorder="1" applyAlignment="1">
      <alignment horizontal="center"/>
      <protection/>
    </xf>
    <xf numFmtId="4" fontId="0" fillId="34" borderId="43" xfId="55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3" fontId="2" fillId="34" borderId="32" xfId="65" applyFont="1" applyFill="1" applyBorder="1" applyAlignment="1">
      <alignment horizontal="center" vertical="center" wrapText="1"/>
    </xf>
    <xf numFmtId="4" fontId="1" fillId="0" borderId="3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4" fontId="1" fillId="0" borderId="32" xfId="55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32" xfId="55" applyNumberFormat="1" applyFont="1" applyFill="1" applyBorder="1">
      <alignment/>
      <protection/>
    </xf>
    <xf numFmtId="0" fontId="10" fillId="0" borderId="15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37" borderId="11" xfId="55" applyNumberFormat="1" applyFont="1" applyFill="1" applyBorder="1">
      <alignment/>
      <protection/>
    </xf>
    <xf numFmtId="4" fontId="0" fillId="33" borderId="11" xfId="55" applyNumberFormat="1" applyFont="1" applyFill="1" applyBorder="1" applyAlignment="1">
      <alignment horizontal="center"/>
      <protection/>
    </xf>
    <xf numFmtId="4" fontId="0" fillId="33" borderId="32" xfId="55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0" fillId="39" borderId="32" xfId="55" applyNumberFormat="1" applyFont="1" applyFill="1" applyBorder="1">
      <alignment/>
      <protection/>
    </xf>
    <xf numFmtId="0" fontId="0" fillId="0" borderId="15" xfId="0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52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53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7" borderId="21" xfId="0" applyNumberFormat="1" applyFont="1" applyFill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37" borderId="52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textRotation="90"/>
    </xf>
    <xf numFmtId="0" fontId="1" fillId="38" borderId="38" xfId="0" applyFont="1" applyFill="1" applyBorder="1" applyAlignment="1">
      <alignment horizontal="center" textRotation="90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7" fillId="34" borderId="52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40" borderId="52" xfId="0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2" fontId="1" fillId="39" borderId="52" xfId="0" applyNumberFormat="1" applyFont="1" applyFill="1" applyBorder="1" applyAlignment="1">
      <alignment horizontal="center" vertical="center" wrapText="1"/>
    </xf>
    <xf numFmtId="2" fontId="1" fillId="39" borderId="38" xfId="0" applyNumberFormat="1" applyFont="1" applyFill="1" applyBorder="1" applyAlignment="1">
      <alignment horizontal="center" vertical="center" wrapText="1"/>
    </xf>
    <xf numFmtId="2" fontId="1" fillId="39" borderId="3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43" fontId="0" fillId="36" borderId="32" xfId="62" applyFont="1" applyFill="1" applyBorder="1" applyAlignment="1">
      <alignment horizontal="center"/>
    </xf>
    <xf numFmtId="43" fontId="0" fillId="36" borderId="20" xfId="62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3" fontId="7" fillId="34" borderId="52" xfId="64" applyFont="1" applyFill="1" applyBorder="1" applyAlignment="1">
      <alignment horizontal="center" vertical="center" wrapText="1"/>
    </xf>
    <xf numFmtId="43" fontId="7" fillId="34" borderId="38" xfId="64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2" fontId="1" fillId="0" borderId="52" xfId="55" applyNumberFormat="1" applyFont="1" applyFill="1" applyBorder="1" applyAlignment="1">
      <alignment horizontal="center" vertical="center" wrapText="1"/>
      <protection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2" fontId="1" fillId="37" borderId="52" xfId="55" applyNumberFormat="1" applyFont="1" applyFill="1" applyBorder="1" applyAlignment="1">
      <alignment horizontal="center" vertical="center" wrapText="1"/>
      <protection/>
    </xf>
    <xf numFmtId="2" fontId="1" fillId="37" borderId="39" xfId="55" applyNumberFormat="1" applyFont="1" applyFill="1" applyBorder="1" applyAlignment="1">
      <alignment horizontal="center" vertical="center" wrapText="1"/>
      <protection/>
    </xf>
    <xf numFmtId="2" fontId="1" fillId="33" borderId="70" xfId="55" applyNumberFormat="1" applyFont="1" applyFill="1" applyBorder="1" applyAlignment="1">
      <alignment horizontal="center" vertical="center" wrapText="1"/>
      <protection/>
    </xf>
    <xf numFmtId="2" fontId="1" fillId="33" borderId="45" xfId="55" applyNumberFormat="1" applyFont="1" applyFill="1" applyBorder="1" applyAlignment="1">
      <alignment horizontal="center" vertical="center" wrapText="1"/>
      <protection/>
    </xf>
    <xf numFmtId="2" fontId="1" fillId="33" borderId="52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16384" width="9.125" style="2" customWidth="1"/>
  </cols>
  <sheetData>
    <row r="1" spans="1:14" ht="12.75">
      <c r="A1" s="280" t="s">
        <v>71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81" t="s">
        <v>73</v>
      </c>
      <c r="B3" s="283" t="s">
        <v>0</v>
      </c>
      <c r="C3" s="285" t="s">
        <v>1</v>
      </c>
      <c r="D3" s="287" t="s">
        <v>2</v>
      </c>
      <c r="E3" s="281" t="s">
        <v>9</v>
      </c>
      <c r="F3" s="321"/>
      <c r="G3" s="281" t="s">
        <v>10</v>
      </c>
      <c r="H3" s="324"/>
      <c r="I3" s="281" t="s">
        <v>11</v>
      </c>
      <c r="J3" s="324"/>
      <c r="K3" s="281" t="s">
        <v>12</v>
      </c>
      <c r="L3" s="324"/>
      <c r="M3" s="314" t="s">
        <v>13</v>
      </c>
      <c r="N3" s="324"/>
      <c r="O3" s="281" t="s">
        <v>3</v>
      </c>
      <c r="P3" s="314"/>
      <c r="Q3" s="317" t="s">
        <v>4</v>
      </c>
      <c r="R3" s="318"/>
      <c r="S3" s="318"/>
      <c r="T3" s="318"/>
      <c r="U3" s="318"/>
      <c r="V3" s="318"/>
      <c r="W3" s="311" t="s">
        <v>74</v>
      </c>
      <c r="X3" s="328" t="s">
        <v>75</v>
      </c>
      <c r="Y3" s="331" t="s">
        <v>6</v>
      </c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3"/>
      <c r="AT3" s="343" t="s">
        <v>76</v>
      </c>
      <c r="AU3" s="344"/>
      <c r="AV3" s="336" t="s">
        <v>7</v>
      </c>
      <c r="AW3" s="336" t="s">
        <v>8</v>
      </c>
    </row>
    <row r="4" spans="1:49" ht="36" customHeight="1" thickBot="1">
      <c r="A4" s="282"/>
      <c r="B4" s="284"/>
      <c r="C4" s="286"/>
      <c r="D4" s="288"/>
      <c r="E4" s="322"/>
      <c r="F4" s="323"/>
      <c r="G4" s="315"/>
      <c r="H4" s="325"/>
      <c r="I4" s="315"/>
      <c r="J4" s="325"/>
      <c r="K4" s="315"/>
      <c r="L4" s="325"/>
      <c r="M4" s="326"/>
      <c r="N4" s="327"/>
      <c r="O4" s="315"/>
      <c r="P4" s="316"/>
      <c r="Q4" s="319"/>
      <c r="R4" s="320"/>
      <c r="S4" s="320"/>
      <c r="T4" s="320"/>
      <c r="U4" s="320"/>
      <c r="V4" s="320"/>
      <c r="W4" s="312"/>
      <c r="X4" s="329"/>
      <c r="Y4" s="310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5"/>
      <c r="AT4" s="339" t="s">
        <v>77</v>
      </c>
      <c r="AU4" s="342" t="s">
        <v>78</v>
      </c>
      <c r="AV4" s="337"/>
      <c r="AW4" s="337"/>
    </row>
    <row r="5" spans="1:49" ht="29.25" customHeight="1" thickBot="1">
      <c r="A5" s="282"/>
      <c r="B5" s="284"/>
      <c r="C5" s="286"/>
      <c r="D5" s="288"/>
      <c r="E5" s="291" t="s">
        <v>14</v>
      </c>
      <c r="F5" s="289" t="s">
        <v>15</v>
      </c>
      <c r="G5" s="289" t="s">
        <v>14</v>
      </c>
      <c r="H5" s="289" t="s">
        <v>15</v>
      </c>
      <c r="I5" s="289" t="s">
        <v>14</v>
      </c>
      <c r="J5" s="289" t="s">
        <v>15</v>
      </c>
      <c r="K5" s="289" t="s">
        <v>14</v>
      </c>
      <c r="L5" s="289" t="s">
        <v>15</v>
      </c>
      <c r="M5" s="289" t="s">
        <v>14</v>
      </c>
      <c r="N5" s="289" t="s">
        <v>15</v>
      </c>
      <c r="O5" s="289" t="s">
        <v>14</v>
      </c>
      <c r="P5" s="307" t="s">
        <v>15</v>
      </c>
      <c r="Q5" s="299" t="s">
        <v>16</v>
      </c>
      <c r="R5" s="299" t="s">
        <v>17</v>
      </c>
      <c r="S5" s="299" t="s">
        <v>18</v>
      </c>
      <c r="T5" s="299" t="s">
        <v>19</v>
      </c>
      <c r="U5" s="299" t="s">
        <v>20</v>
      </c>
      <c r="V5" s="309" t="s">
        <v>21</v>
      </c>
      <c r="W5" s="312"/>
      <c r="X5" s="329"/>
      <c r="Y5" s="303" t="s">
        <v>22</v>
      </c>
      <c r="Z5" s="305" t="s">
        <v>23</v>
      </c>
      <c r="AA5" s="305" t="s">
        <v>24</v>
      </c>
      <c r="AB5" s="297" t="s">
        <v>25</v>
      </c>
      <c r="AC5" s="305" t="s">
        <v>26</v>
      </c>
      <c r="AD5" s="297" t="s">
        <v>25</v>
      </c>
      <c r="AE5" s="297" t="s">
        <v>27</v>
      </c>
      <c r="AF5" s="297" t="s">
        <v>25</v>
      </c>
      <c r="AG5" s="297" t="s">
        <v>28</v>
      </c>
      <c r="AH5" s="297" t="s">
        <v>25</v>
      </c>
      <c r="AI5" s="295" t="s">
        <v>79</v>
      </c>
      <c r="AJ5" s="301" t="s">
        <v>25</v>
      </c>
      <c r="AK5" s="293" t="s">
        <v>80</v>
      </c>
      <c r="AL5" s="293" t="s">
        <v>81</v>
      </c>
      <c r="AM5" s="94" t="s">
        <v>25</v>
      </c>
      <c r="AN5" s="343" t="s">
        <v>82</v>
      </c>
      <c r="AO5" s="345"/>
      <c r="AP5" s="344"/>
      <c r="AQ5" s="342" t="s">
        <v>30</v>
      </c>
      <c r="AR5" s="342" t="s">
        <v>25</v>
      </c>
      <c r="AS5" s="342" t="s">
        <v>31</v>
      </c>
      <c r="AT5" s="340"/>
      <c r="AU5" s="297"/>
      <c r="AV5" s="337"/>
      <c r="AW5" s="337"/>
    </row>
    <row r="6" spans="1:49" ht="54" customHeight="1" thickBot="1">
      <c r="A6" s="282"/>
      <c r="B6" s="284"/>
      <c r="C6" s="286"/>
      <c r="D6" s="288"/>
      <c r="E6" s="292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308"/>
      <c r="Q6" s="300"/>
      <c r="R6" s="300"/>
      <c r="S6" s="300"/>
      <c r="T6" s="300"/>
      <c r="U6" s="300"/>
      <c r="V6" s="310"/>
      <c r="W6" s="313"/>
      <c r="X6" s="330"/>
      <c r="Y6" s="304"/>
      <c r="Z6" s="306"/>
      <c r="AA6" s="306"/>
      <c r="AB6" s="298"/>
      <c r="AC6" s="306"/>
      <c r="AD6" s="298"/>
      <c r="AE6" s="298"/>
      <c r="AF6" s="298"/>
      <c r="AG6" s="298"/>
      <c r="AH6" s="298"/>
      <c r="AI6" s="296"/>
      <c r="AJ6" s="302"/>
      <c r="AK6" s="294"/>
      <c r="AL6" s="294"/>
      <c r="AM6" s="96"/>
      <c r="AN6" s="95" t="s">
        <v>83</v>
      </c>
      <c r="AO6" s="95" t="s">
        <v>84</v>
      </c>
      <c r="AP6" s="95" t="s">
        <v>85</v>
      </c>
      <c r="AQ6" s="298"/>
      <c r="AR6" s="298"/>
      <c r="AS6" s="298"/>
      <c r="AT6" s="341"/>
      <c r="AU6" s="298"/>
      <c r="AV6" s="338"/>
      <c r="AW6" s="338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 hidden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97"/>
      <c r="AJ8" s="97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98"/>
    </row>
    <row r="9" spans="1:49" s="119" customFormat="1" ht="12.75" hidden="1">
      <c r="A9" s="99" t="s">
        <v>33</v>
      </c>
      <c r="B9" s="100">
        <v>101.8</v>
      </c>
      <c r="C9" s="101">
        <f>B9*8.65</f>
        <v>880.57</v>
      </c>
      <c r="D9" s="102">
        <f>C9*0.24088-1</f>
        <v>211.11170160000003</v>
      </c>
      <c r="E9" s="103">
        <v>73.6</v>
      </c>
      <c r="F9" s="104">
        <v>13.2</v>
      </c>
      <c r="G9" s="104">
        <v>99.37</v>
      </c>
      <c r="H9" s="104">
        <v>17.82</v>
      </c>
      <c r="I9" s="104">
        <v>239.2</v>
      </c>
      <c r="J9" s="104">
        <v>42.9</v>
      </c>
      <c r="K9" s="104">
        <v>165.61</v>
      </c>
      <c r="L9" s="104">
        <v>29.7</v>
      </c>
      <c r="M9" s="104">
        <v>58.88</v>
      </c>
      <c r="N9" s="105">
        <v>10.56</v>
      </c>
      <c r="O9" s="106">
        <f>E9+G9+I9+K9+M9</f>
        <v>636.66</v>
      </c>
      <c r="P9" s="107">
        <f>N9+L9+J9+H9+F9</f>
        <v>114.17999999999999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>
        <f>SUM(Q9:U9)</f>
        <v>0</v>
      </c>
      <c r="W9" s="110">
        <f>D9+P9+V9</f>
        <v>325.2917016</v>
      </c>
      <c r="X9" s="184"/>
      <c r="Y9" s="81">
        <f>0.6*B9</f>
        <v>61.08</v>
      </c>
      <c r="Z9" s="81">
        <f>B9*0.2*1.05826</f>
        <v>21.5461736</v>
      </c>
      <c r="AA9" s="81">
        <f>0.8476*B9</f>
        <v>86.28568</v>
      </c>
      <c r="AB9" s="81">
        <f>AA9*0.18</f>
        <v>15.531422399999999</v>
      </c>
      <c r="AC9" s="81">
        <f>(1.04)*B9*0.75645</f>
        <v>80.0868744</v>
      </c>
      <c r="AD9" s="81">
        <f>AC9*0.18</f>
        <v>14.415637391999999</v>
      </c>
      <c r="AE9" s="81">
        <f>1.91*B9*0.75645</f>
        <v>147.08262509999997</v>
      </c>
      <c r="AF9" s="81">
        <f>AE9*0.18</f>
        <v>26.474872517999994</v>
      </c>
      <c r="AG9" s="81">
        <v>0</v>
      </c>
      <c r="AH9" s="81">
        <f>AG9*0.18</f>
        <v>0</v>
      </c>
      <c r="AI9" s="111"/>
      <c r="AJ9" s="111"/>
      <c r="AK9" s="85"/>
      <c r="AL9" s="85"/>
      <c r="AM9" s="85">
        <f>AK9*0.18</f>
        <v>0</v>
      </c>
      <c r="AN9" s="112"/>
      <c r="AO9" s="113"/>
      <c r="AP9" s="81">
        <f>AN9*AO9*1.12*1.18</f>
        <v>0</v>
      </c>
      <c r="AQ9" s="114"/>
      <c r="AR9" s="114">
        <f>AQ9*0.18</f>
        <v>0</v>
      </c>
      <c r="AS9" s="114">
        <f>SUM(Y9:AM9)+AP9</f>
        <v>452.50328541</v>
      </c>
      <c r="AT9" s="115"/>
      <c r="AU9" s="116">
        <f>AS9-(X9-AT9)</f>
        <v>452.50328541</v>
      </c>
      <c r="AV9" s="117">
        <f>W9-AS9</f>
        <v>-127.21158380999998</v>
      </c>
      <c r="AW9" s="118">
        <f>V9-O9</f>
        <v>-636.66</v>
      </c>
    </row>
    <row r="10" spans="1:49" ht="12.75" hidden="1">
      <c r="A10" s="13" t="s">
        <v>34</v>
      </c>
      <c r="B10" s="100">
        <v>101.8</v>
      </c>
      <c r="C10" s="120">
        <f>B10*8.65</f>
        <v>880.57</v>
      </c>
      <c r="D10" s="121">
        <f>C10*0.24088-1</f>
        <v>211.11170160000003</v>
      </c>
      <c r="E10" s="104">
        <v>73.6</v>
      </c>
      <c r="F10" s="104">
        <v>13.2</v>
      </c>
      <c r="G10" s="104">
        <v>99.37</v>
      </c>
      <c r="H10" s="104">
        <v>17.82</v>
      </c>
      <c r="I10" s="104">
        <v>239.2</v>
      </c>
      <c r="J10" s="104">
        <v>42.9</v>
      </c>
      <c r="K10" s="104">
        <v>165.61</v>
      </c>
      <c r="L10" s="104">
        <v>29.7</v>
      </c>
      <c r="M10" s="104">
        <v>58.88</v>
      </c>
      <c r="N10" s="105">
        <v>10.56</v>
      </c>
      <c r="O10" s="106">
        <f>E10+G10+I10+K10+M10</f>
        <v>636.66</v>
      </c>
      <c r="P10" s="107">
        <f>N10+L10+J10+H10+F10</f>
        <v>114.17999999999999</v>
      </c>
      <c r="Q10" s="122">
        <v>55.06</v>
      </c>
      <c r="R10" s="123">
        <v>74.35</v>
      </c>
      <c r="S10" s="123">
        <v>178.97</v>
      </c>
      <c r="T10" s="123">
        <v>123.91</v>
      </c>
      <c r="U10" s="123">
        <v>44.05</v>
      </c>
      <c r="V10" s="100">
        <f>SUM(Q10:U10)</f>
        <v>476.34</v>
      </c>
      <c r="W10" s="124">
        <f>D10+P10+V10</f>
        <v>801.6317016</v>
      </c>
      <c r="X10" s="185"/>
      <c r="Y10" s="25">
        <f>0.6*B10</f>
        <v>61.08</v>
      </c>
      <c r="Z10" s="25">
        <f>B10*0.201</f>
        <v>20.4618</v>
      </c>
      <c r="AA10" s="81">
        <f>0.8476*B10</f>
        <v>86.28568</v>
      </c>
      <c r="AB10" s="25">
        <f>AA10*0.18</f>
        <v>15.531422399999999</v>
      </c>
      <c r="AC10" s="81">
        <f>(1.04)*B10*0.75645</f>
        <v>80.0868744</v>
      </c>
      <c r="AD10" s="81">
        <f>AC10*0.18</f>
        <v>14.415637391999999</v>
      </c>
      <c r="AE10" s="81">
        <f>1.91*B10*0.75645</f>
        <v>147.08262509999997</v>
      </c>
      <c r="AF10" s="25">
        <f>AE10*0.18</f>
        <v>26.474872517999994</v>
      </c>
      <c r="AG10" s="25">
        <v>0</v>
      </c>
      <c r="AH10" s="25">
        <f>AG10*0.18</f>
        <v>0</v>
      </c>
      <c r="AI10" s="126"/>
      <c r="AJ10" s="126"/>
      <c r="AK10" s="127"/>
      <c r="AL10" s="127"/>
      <c r="AM10" s="127">
        <f>AK10*0.18</f>
        <v>0</v>
      </c>
      <c r="AN10" s="128"/>
      <c r="AO10" s="129"/>
      <c r="AP10" s="25">
        <f>AN10*AO10*1.12*1.18</f>
        <v>0</v>
      </c>
      <c r="AQ10" s="130"/>
      <c r="AR10" s="130">
        <f>AQ10*0.18</f>
        <v>0</v>
      </c>
      <c r="AS10" s="130">
        <f>SUM(Y10:AM10)+AP10</f>
        <v>451.41891180999994</v>
      </c>
      <c r="AT10" s="131"/>
      <c r="AU10" s="84">
        <f>AS10-(X10-AT10)</f>
        <v>451.41891180999994</v>
      </c>
      <c r="AV10" s="117">
        <f>W10-AS10</f>
        <v>350.2127897900001</v>
      </c>
      <c r="AW10" s="118">
        <f>V10-O10</f>
        <v>-160.32</v>
      </c>
    </row>
    <row r="11" spans="1:49" ht="13.5" hidden="1" thickBot="1">
      <c r="A11" s="51" t="s">
        <v>35</v>
      </c>
      <c r="B11" s="100">
        <v>101.8</v>
      </c>
      <c r="C11" s="120">
        <f>B11*8.65</f>
        <v>880.57</v>
      </c>
      <c r="D11" s="121">
        <f>C11*0.24035+1</f>
        <v>212.6449995</v>
      </c>
      <c r="E11" s="104">
        <v>73.02</v>
      </c>
      <c r="F11" s="104">
        <v>13.2</v>
      </c>
      <c r="G11" s="104">
        <v>98.57</v>
      </c>
      <c r="H11" s="104">
        <v>17.82</v>
      </c>
      <c r="I11" s="104">
        <v>237.29</v>
      </c>
      <c r="J11" s="104">
        <v>42.9</v>
      </c>
      <c r="K11" s="104">
        <v>164.28</v>
      </c>
      <c r="L11" s="104">
        <v>29.7</v>
      </c>
      <c r="M11" s="104">
        <v>58.41</v>
      </c>
      <c r="N11" s="105">
        <v>10.56</v>
      </c>
      <c r="O11" s="106">
        <f>E11+G11+I11+K11+M11</f>
        <v>631.5699999999999</v>
      </c>
      <c r="P11" s="107">
        <f>N11+L11+J11+H11+F11</f>
        <v>114.17999999999999</v>
      </c>
      <c r="Q11" s="123">
        <v>91.89</v>
      </c>
      <c r="R11" s="123">
        <v>124.06</v>
      </c>
      <c r="S11" s="123">
        <v>298.61</v>
      </c>
      <c r="T11" s="123">
        <v>206.75</v>
      </c>
      <c r="U11" s="123">
        <v>73.5</v>
      </c>
      <c r="V11" s="100">
        <f>SUM(Q11:U11)</f>
        <v>794.81</v>
      </c>
      <c r="W11" s="125">
        <f>D11+P11+V11</f>
        <v>1121.6349995</v>
      </c>
      <c r="X11" s="185"/>
      <c r="Y11" s="25">
        <f>0.6*B11</f>
        <v>61.08</v>
      </c>
      <c r="Z11" s="25">
        <f>B11*0.2*1.02524</f>
        <v>20.873886399999996</v>
      </c>
      <c r="AA11" s="81">
        <f>0.8476*B11</f>
        <v>86.28568</v>
      </c>
      <c r="AB11" s="25">
        <f>AA11*0.18</f>
        <v>15.531422399999999</v>
      </c>
      <c r="AC11" s="81">
        <f>(1.04)*B11*0.75645</f>
        <v>80.0868744</v>
      </c>
      <c r="AD11" s="81">
        <f>AC11*0.18</f>
        <v>14.415637391999999</v>
      </c>
      <c r="AE11" s="81">
        <f>1.91*B11*0.75645</f>
        <v>147.08262509999997</v>
      </c>
      <c r="AF11" s="25">
        <f>AE11*0.18</f>
        <v>26.474872517999994</v>
      </c>
      <c r="AG11" s="25">
        <v>0</v>
      </c>
      <c r="AH11" s="25">
        <f>AG11*0.18</f>
        <v>0</v>
      </c>
      <c r="AI11" s="126"/>
      <c r="AJ11" s="126"/>
      <c r="AK11" s="127">
        <v>275.3</v>
      </c>
      <c r="AL11" s="127"/>
      <c r="AM11" s="127">
        <f>AK11*0.18</f>
        <v>49.554</v>
      </c>
      <c r="AN11" s="128"/>
      <c r="AO11" s="129"/>
      <c r="AP11" s="25">
        <f>AN11*AO11*1.12*1.18</f>
        <v>0</v>
      </c>
      <c r="AQ11" s="130"/>
      <c r="AR11" s="130">
        <f>AQ11*0.18</f>
        <v>0</v>
      </c>
      <c r="AS11" s="130">
        <f>SUM(Y11:AM11)+AP11</f>
        <v>776.6849982099999</v>
      </c>
      <c r="AT11" s="131"/>
      <c r="AU11" s="84">
        <f>AS11-(X11-AT11)</f>
        <v>776.6849982099999</v>
      </c>
      <c r="AV11" s="117">
        <f>W11-AS11</f>
        <v>344.95000129000016</v>
      </c>
      <c r="AW11" s="118">
        <f>V11-O11</f>
        <v>163.24</v>
      </c>
    </row>
    <row r="12" spans="1:49" s="24" customFormat="1" ht="15" customHeight="1" hidden="1" thickBot="1">
      <c r="A12" s="52" t="s">
        <v>3</v>
      </c>
      <c r="B12" s="79"/>
      <c r="C12" s="79">
        <f>SUM(C9:C11)</f>
        <v>2641.71</v>
      </c>
      <c r="D12" s="79">
        <f aca="true" t="shared" si="0" ref="D12:AW12">SUM(D9:D11)</f>
        <v>634.8684027</v>
      </c>
      <c r="E12" s="79">
        <f t="shared" si="0"/>
        <v>220.21999999999997</v>
      </c>
      <c r="F12" s="79">
        <f t="shared" si="0"/>
        <v>39.599999999999994</v>
      </c>
      <c r="G12" s="79">
        <f t="shared" si="0"/>
        <v>297.31</v>
      </c>
      <c r="H12" s="79">
        <f t="shared" si="0"/>
        <v>53.46</v>
      </c>
      <c r="I12" s="79">
        <f t="shared" si="0"/>
        <v>715.6899999999999</v>
      </c>
      <c r="J12" s="79">
        <f t="shared" si="0"/>
        <v>128.7</v>
      </c>
      <c r="K12" s="79">
        <f t="shared" si="0"/>
        <v>495.5</v>
      </c>
      <c r="L12" s="79">
        <f t="shared" si="0"/>
        <v>89.1</v>
      </c>
      <c r="M12" s="79">
        <f t="shared" si="0"/>
        <v>176.17000000000002</v>
      </c>
      <c r="N12" s="79">
        <f t="shared" si="0"/>
        <v>31.68</v>
      </c>
      <c r="O12" s="79">
        <f t="shared" si="0"/>
        <v>1904.8899999999999</v>
      </c>
      <c r="P12" s="79">
        <f t="shared" si="0"/>
        <v>342.53999999999996</v>
      </c>
      <c r="Q12" s="79">
        <f t="shared" si="0"/>
        <v>146.95</v>
      </c>
      <c r="R12" s="79">
        <f t="shared" si="0"/>
        <v>198.41</v>
      </c>
      <c r="S12" s="79">
        <f t="shared" si="0"/>
        <v>477.58000000000004</v>
      </c>
      <c r="T12" s="79">
        <f t="shared" si="0"/>
        <v>330.65999999999997</v>
      </c>
      <c r="U12" s="79">
        <f t="shared" si="0"/>
        <v>117.55</v>
      </c>
      <c r="V12" s="79">
        <f t="shared" si="0"/>
        <v>1271.1499999999999</v>
      </c>
      <c r="W12" s="79">
        <f t="shared" si="0"/>
        <v>2248.5584027</v>
      </c>
      <c r="X12" s="79">
        <f t="shared" si="0"/>
        <v>0</v>
      </c>
      <c r="Y12" s="79">
        <f t="shared" si="0"/>
        <v>183.24</v>
      </c>
      <c r="Z12" s="79">
        <f t="shared" si="0"/>
        <v>62.881859999999996</v>
      </c>
      <c r="AA12" s="79">
        <f t="shared" si="0"/>
        <v>258.85704</v>
      </c>
      <c r="AB12" s="79">
        <f t="shared" si="0"/>
        <v>46.5942672</v>
      </c>
      <c r="AC12" s="79">
        <f t="shared" si="0"/>
        <v>240.2606232</v>
      </c>
      <c r="AD12" s="79">
        <f t="shared" si="0"/>
        <v>43.246912175999995</v>
      </c>
      <c r="AE12" s="79">
        <f t="shared" si="0"/>
        <v>441.2478752999999</v>
      </c>
      <c r="AF12" s="79">
        <f t="shared" si="0"/>
        <v>79.42461755399998</v>
      </c>
      <c r="AG12" s="79">
        <f t="shared" si="0"/>
        <v>0</v>
      </c>
      <c r="AH12" s="79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275.3</v>
      </c>
      <c r="AL12" s="79">
        <f t="shared" si="0"/>
        <v>0</v>
      </c>
      <c r="AM12" s="79">
        <f t="shared" si="0"/>
        <v>49.554</v>
      </c>
      <c r="AN12" s="79">
        <f t="shared" si="0"/>
        <v>0</v>
      </c>
      <c r="AO12" s="79">
        <f t="shared" si="0"/>
        <v>0</v>
      </c>
      <c r="AP12" s="79">
        <f t="shared" si="0"/>
        <v>0</v>
      </c>
      <c r="AQ12" s="79">
        <f t="shared" si="0"/>
        <v>0</v>
      </c>
      <c r="AR12" s="79">
        <f t="shared" si="0"/>
        <v>0</v>
      </c>
      <c r="AS12" s="79">
        <f t="shared" si="0"/>
        <v>1680.6071954299998</v>
      </c>
      <c r="AT12" s="79">
        <f t="shared" si="0"/>
        <v>0</v>
      </c>
      <c r="AU12" s="79">
        <f t="shared" si="0"/>
        <v>1680.6071954299998</v>
      </c>
      <c r="AV12" s="79">
        <f t="shared" si="0"/>
        <v>567.9512072700003</v>
      </c>
      <c r="AW12" s="79">
        <f t="shared" si="0"/>
        <v>-633.74</v>
      </c>
    </row>
    <row r="13" spans="1:49" ht="15" customHeight="1" hidden="1">
      <c r="A13" s="8" t="s">
        <v>36</v>
      </c>
      <c r="B13" s="75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4"/>
      <c r="Q13" s="135"/>
      <c r="R13" s="135"/>
      <c r="S13" s="135"/>
      <c r="T13" s="135"/>
      <c r="U13" s="135"/>
      <c r="V13" s="136"/>
      <c r="W13" s="137"/>
      <c r="X13" s="62"/>
      <c r="Y13" s="62"/>
      <c r="Z13" s="62"/>
      <c r="AA13" s="62"/>
      <c r="AB13" s="62"/>
      <c r="AC13" s="62"/>
      <c r="AD13" s="62"/>
      <c r="AE13" s="62"/>
      <c r="AF13" s="76"/>
      <c r="AG13" s="76"/>
      <c r="AH13" s="76"/>
      <c r="AI13" s="138"/>
      <c r="AJ13" s="139"/>
      <c r="AK13" s="140"/>
      <c r="AL13" s="140"/>
      <c r="AM13" s="141"/>
      <c r="AN13" s="62"/>
      <c r="AO13" s="62"/>
      <c r="AP13" s="63"/>
      <c r="AQ13" s="1"/>
      <c r="AR13" s="1"/>
      <c r="AS13" s="1"/>
      <c r="AT13" s="1"/>
      <c r="AU13" s="1"/>
      <c r="AV13" s="1"/>
      <c r="AW13" s="98"/>
    </row>
    <row r="14" spans="1:49" ht="12.75" hidden="1">
      <c r="A14" s="13" t="s">
        <v>37</v>
      </c>
      <c r="B14" s="142">
        <v>101.8</v>
      </c>
      <c r="C14" s="186">
        <f aca="true" t="shared" si="1" ref="C14:C25">B14*8.65</f>
        <v>880.57</v>
      </c>
      <c r="D14" s="143">
        <f>C14*0.125</f>
        <v>110.07125</v>
      </c>
      <c r="E14" s="104">
        <v>71.78</v>
      </c>
      <c r="F14" s="104">
        <v>13.2</v>
      </c>
      <c r="G14" s="104">
        <v>96.91</v>
      </c>
      <c r="H14" s="104">
        <v>17.82</v>
      </c>
      <c r="I14" s="104">
        <v>233.28</v>
      </c>
      <c r="J14" s="104">
        <v>42.9</v>
      </c>
      <c r="K14" s="104">
        <v>161.51</v>
      </c>
      <c r="L14" s="104">
        <v>29.7</v>
      </c>
      <c r="M14" s="104">
        <v>57.42</v>
      </c>
      <c r="N14" s="105">
        <v>10.56</v>
      </c>
      <c r="O14" s="106">
        <f aca="true" t="shared" si="2" ref="O14:O23">E14+G14+I14+K14+M14</f>
        <v>620.9</v>
      </c>
      <c r="P14" s="107">
        <f aca="true" t="shared" si="3" ref="P14:P25">N14+L14+J14+H14+F14</f>
        <v>114.17999999999999</v>
      </c>
      <c r="Q14" s="187">
        <v>73</v>
      </c>
      <c r="R14" s="83">
        <v>98.54</v>
      </c>
      <c r="S14" s="83">
        <v>237.24</v>
      </c>
      <c r="T14" s="83">
        <v>164.24</v>
      </c>
      <c r="U14" s="83">
        <v>58.4</v>
      </c>
      <c r="V14" s="188">
        <f aca="true" t="shared" si="4" ref="V14:V25">SUM(Q14:U14)</f>
        <v>631.42</v>
      </c>
      <c r="W14" s="144">
        <f aca="true" t="shared" si="5" ref="W14:W25">D14+P14+V14</f>
        <v>855.67125</v>
      </c>
      <c r="X14" s="110"/>
      <c r="Y14" s="81">
        <f>0.6*B14*0.9</f>
        <v>54.972</v>
      </c>
      <c r="Z14" s="81">
        <f>B14*0.2*0.8913+0.01</f>
        <v>18.156868</v>
      </c>
      <c r="AA14" s="81">
        <f>0.85*B14*0.8852+0.01</f>
        <v>76.606356</v>
      </c>
      <c r="AB14" s="81">
        <f aca="true" t="shared" si="6" ref="AB14:AB25">AA14*0.18</f>
        <v>13.78914408</v>
      </c>
      <c r="AC14" s="81">
        <f>0.83*B14*0.887</f>
        <v>74.946178</v>
      </c>
      <c r="AD14" s="81">
        <f aca="true" t="shared" si="7" ref="AD14:AD25">AC14*0.18</f>
        <v>13.490312040000001</v>
      </c>
      <c r="AE14" s="81">
        <f>(1.91)*B14*0.887</f>
        <v>172.46650599999998</v>
      </c>
      <c r="AF14" s="81">
        <f aca="true" t="shared" si="8" ref="AF14:AF25">AE14*0.18</f>
        <v>31.043971079999995</v>
      </c>
      <c r="AG14" s="81">
        <v>0</v>
      </c>
      <c r="AH14" s="81">
        <f aca="true" t="shared" si="9" ref="AH14:AJ25">AG14*0.18</f>
        <v>0</v>
      </c>
      <c r="AI14" s="111"/>
      <c r="AJ14" s="111"/>
      <c r="AK14" s="15"/>
      <c r="AL14" s="15"/>
      <c r="AM14" s="15">
        <f>AK14*0.18</f>
        <v>0</v>
      </c>
      <c r="AN14" s="112">
        <v>508</v>
      </c>
      <c r="AO14" s="113">
        <v>0</v>
      </c>
      <c r="AP14" s="81">
        <f aca="true" t="shared" si="10" ref="AP14:AP25">AN14*AO14*1.12*1.18</f>
        <v>0</v>
      </c>
      <c r="AQ14" s="114"/>
      <c r="AR14" s="114">
        <f>AQ14*0.18</f>
        <v>0</v>
      </c>
      <c r="AS14" s="114">
        <f aca="true" t="shared" si="11" ref="AS14:AS25">SUM(Y14:AM14)</f>
        <v>455.4713352</v>
      </c>
      <c r="AT14" s="115"/>
      <c r="AU14" s="84">
        <f>AS14-(X14-AT14)</f>
        <v>455.4713352</v>
      </c>
      <c r="AV14" s="145">
        <f aca="true" t="shared" si="12" ref="AV14:AV25">W14-AS14</f>
        <v>400.1999148</v>
      </c>
      <c r="AW14" s="146">
        <f>V14-O14</f>
        <v>10.519999999999982</v>
      </c>
    </row>
    <row r="15" spans="1:49" ht="12.75" hidden="1">
      <c r="A15" s="13" t="s">
        <v>38</v>
      </c>
      <c r="B15" s="100">
        <v>101.8</v>
      </c>
      <c r="C15" s="147">
        <f t="shared" si="1"/>
        <v>880.57</v>
      </c>
      <c r="D15" s="143">
        <f>C15*0.125</f>
        <v>110.07125</v>
      </c>
      <c r="E15" s="104">
        <v>71.78</v>
      </c>
      <c r="F15" s="104">
        <v>13.2</v>
      </c>
      <c r="G15" s="104">
        <v>96.91</v>
      </c>
      <c r="H15" s="104">
        <v>17.82</v>
      </c>
      <c r="I15" s="104">
        <v>233.28</v>
      </c>
      <c r="J15" s="104">
        <v>42.9</v>
      </c>
      <c r="K15" s="104">
        <v>161.51</v>
      </c>
      <c r="L15" s="104">
        <v>29.7</v>
      </c>
      <c r="M15" s="104">
        <v>57.42</v>
      </c>
      <c r="N15" s="105">
        <v>10.56</v>
      </c>
      <c r="O15" s="106">
        <f t="shared" si="2"/>
        <v>620.9</v>
      </c>
      <c r="P15" s="107">
        <f t="shared" si="3"/>
        <v>114.17999999999999</v>
      </c>
      <c r="Q15" s="123">
        <v>71.84</v>
      </c>
      <c r="R15" s="123">
        <v>96.99</v>
      </c>
      <c r="S15" s="123">
        <v>233.48</v>
      </c>
      <c r="T15" s="123">
        <v>161.65</v>
      </c>
      <c r="U15" s="123">
        <v>57.47</v>
      </c>
      <c r="V15" s="100">
        <f t="shared" si="4"/>
        <v>621.43</v>
      </c>
      <c r="W15" s="110">
        <f t="shared" si="5"/>
        <v>845.68125</v>
      </c>
      <c r="X15" s="184"/>
      <c r="Y15" s="81">
        <f>0.6*B15*0.9</f>
        <v>54.972</v>
      </c>
      <c r="Z15" s="81">
        <f>B15*0.2*0.9152</f>
        <v>18.633472</v>
      </c>
      <c r="AA15" s="81">
        <f>0.85*B15*0.8853</f>
        <v>76.605009</v>
      </c>
      <c r="AB15" s="81">
        <f t="shared" si="6"/>
        <v>13.788901619999999</v>
      </c>
      <c r="AC15" s="81">
        <f>0.83*B15*0.9</f>
        <v>76.0446</v>
      </c>
      <c r="AD15" s="81">
        <f t="shared" si="7"/>
        <v>13.688028</v>
      </c>
      <c r="AE15" s="81">
        <f>(1.91)*B15*0.9</f>
        <v>174.9942</v>
      </c>
      <c r="AF15" s="81">
        <f t="shared" si="8"/>
        <v>31.498956</v>
      </c>
      <c r="AG15" s="81">
        <v>0</v>
      </c>
      <c r="AH15" s="81">
        <f t="shared" si="9"/>
        <v>0</v>
      </c>
      <c r="AI15" s="111"/>
      <c r="AJ15" s="111"/>
      <c r="AK15" s="15"/>
      <c r="AL15" s="15"/>
      <c r="AM15" s="82">
        <f>(AK15+AL15)*0.18</f>
        <v>0</v>
      </c>
      <c r="AN15" s="112">
        <v>407</v>
      </c>
      <c r="AO15" s="113">
        <v>0</v>
      </c>
      <c r="AP15" s="81">
        <f t="shared" si="10"/>
        <v>0</v>
      </c>
      <c r="AQ15" s="114"/>
      <c r="AR15" s="114">
        <f>AQ15*0.18</f>
        <v>0</v>
      </c>
      <c r="AS15" s="114">
        <f t="shared" si="11"/>
        <v>460.22516662000004</v>
      </c>
      <c r="AT15" s="115"/>
      <c r="AU15" s="84">
        <f aca="true" t="shared" si="13" ref="AU15:AU25">AS15-(X15-AT15)</f>
        <v>460.22516662000004</v>
      </c>
      <c r="AV15" s="145">
        <f t="shared" si="12"/>
        <v>385.45608337999994</v>
      </c>
      <c r="AW15" s="146">
        <f aca="true" t="shared" si="14" ref="AW15:AW25">V15-O15</f>
        <v>0.5299999999999727</v>
      </c>
    </row>
    <row r="16" spans="1:49" ht="13.5" hidden="1" thickBot="1">
      <c r="A16" s="148" t="s">
        <v>39</v>
      </c>
      <c r="B16" s="100">
        <v>101.8</v>
      </c>
      <c r="C16" s="147">
        <f t="shared" si="1"/>
        <v>880.57</v>
      </c>
      <c r="D16" s="149">
        <f>C16*0.125</f>
        <v>110.07125</v>
      </c>
      <c r="E16" s="104">
        <v>71.78</v>
      </c>
      <c r="F16" s="104">
        <v>13.2</v>
      </c>
      <c r="G16" s="104">
        <v>96.91</v>
      </c>
      <c r="H16" s="104">
        <v>17.82</v>
      </c>
      <c r="I16" s="104">
        <v>233.28</v>
      </c>
      <c r="J16" s="104">
        <v>42.9</v>
      </c>
      <c r="K16" s="104">
        <v>161.51</v>
      </c>
      <c r="L16" s="104">
        <v>29.7</v>
      </c>
      <c r="M16" s="104">
        <v>57.42</v>
      </c>
      <c r="N16" s="105">
        <v>10.56</v>
      </c>
      <c r="O16" s="106">
        <f t="shared" si="2"/>
        <v>620.9</v>
      </c>
      <c r="P16" s="107">
        <f t="shared" si="3"/>
        <v>114.17999999999999</v>
      </c>
      <c r="Q16" s="123">
        <v>71.75</v>
      </c>
      <c r="R16" s="123">
        <v>96.86</v>
      </c>
      <c r="S16" s="123">
        <v>233.15</v>
      </c>
      <c r="T16" s="123">
        <v>161.42</v>
      </c>
      <c r="U16" s="123">
        <v>57.39</v>
      </c>
      <c r="V16" s="100">
        <f t="shared" si="4"/>
        <v>620.5699999999999</v>
      </c>
      <c r="W16" s="110">
        <f t="shared" si="5"/>
        <v>844.82125</v>
      </c>
      <c r="X16" s="184"/>
      <c r="Y16" s="81">
        <f>0.6*B16*0.9</f>
        <v>54.972</v>
      </c>
      <c r="Z16" s="81">
        <f>B16*0.2*0.9081</f>
        <v>18.488916</v>
      </c>
      <c r="AA16" s="81">
        <f>0.85*B16*0.8909</f>
        <v>77.089577</v>
      </c>
      <c r="AB16" s="81">
        <f t="shared" si="6"/>
        <v>13.87612386</v>
      </c>
      <c r="AC16" s="81">
        <f>(0.83*B16)*0.8927</f>
        <v>75.4277938</v>
      </c>
      <c r="AD16" s="81">
        <f t="shared" si="7"/>
        <v>13.577002884</v>
      </c>
      <c r="AE16" s="81">
        <f>1.91*B16*0.8927</f>
        <v>173.5748026</v>
      </c>
      <c r="AF16" s="81">
        <f t="shared" si="8"/>
        <v>31.243464468</v>
      </c>
      <c r="AG16" s="81">
        <v>0</v>
      </c>
      <c r="AH16" s="81">
        <f t="shared" si="9"/>
        <v>0</v>
      </c>
      <c r="AI16" s="111"/>
      <c r="AJ16" s="111">
        <f t="shared" si="9"/>
        <v>0</v>
      </c>
      <c r="AK16" s="85"/>
      <c r="AL16" s="85"/>
      <c r="AM16" s="85">
        <f>(AK16)*0.18</f>
        <v>0</v>
      </c>
      <c r="AN16" s="112">
        <v>383</v>
      </c>
      <c r="AO16" s="113">
        <v>0</v>
      </c>
      <c r="AP16" s="81">
        <f t="shared" si="10"/>
        <v>0</v>
      </c>
      <c r="AQ16" s="114"/>
      <c r="AR16" s="114">
        <f>AQ16*0.18</f>
        <v>0</v>
      </c>
      <c r="AS16" s="114">
        <f t="shared" si="11"/>
        <v>458.2496806120001</v>
      </c>
      <c r="AT16" s="115"/>
      <c r="AU16" s="84">
        <f t="shared" si="13"/>
        <v>458.2496806120001</v>
      </c>
      <c r="AV16" s="145">
        <f t="shared" si="12"/>
        <v>386.5715693879999</v>
      </c>
      <c r="AW16" s="146">
        <f t="shared" si="14"/>
        <v>-0.3300000000000409</v>
      </c>
    </row>
    <row r="17" spans="1:49" ht="12.75" hidden="1">
      <c r="A17" s="150" t="s">
        <v>40</v>
      </c>
      <c r="B17" s="100">
        <v>101.8</v>
      </c>
      <c r="C17" s="120">
        <f t="shared" si="1"/>
        <v>880.57</v>
      </c>
      <c r="D17" s="149">
        <f>C17*0.125</f>
        <v>110.07125</v>
      </c>
      <c r="E17" s="104">
        <v>71.78</v>
      </c>
      <c r="F17" s="104">
        <v>13.2</v>
      </c>
      <c r="G17" s="104">
        <v>96.91</v>
      </c>
      <c r="H17" s="104">
        <v>17.82</v>
      </c>
      <c r="I17" s="104">
        <v>233.28</v>
      </c>
      <c r="J17" s="104">
        <v>42.9</v>
      </c>
      <c r="K17" s="104">
        <v>161.51</v>
      </c>
      <c r="L17" s="104">
        <v>29.7</v>
      </c>
      <c r="M17" s="104">
        <v>57.42</v>
      </c>
      <c r="N17" s="105">
        <v>10.56</v>
      </c>
      <c r="O17" s="151">
        <f t="shared" si="2"/>
        <v>620.9</v>
      </c>
      <c r="P17" s="107">
        <f t="shared" si="3"/>
        <v>114.17999999999999</v>
      </c>
      <c r="Q17" s="122">
        <v>71.74</v>
      </c>
      <c r="R17" s="123">
        <v>96.85</v>
      </c>
      <c r="S17" s="123">
        <v>233.15</v>
      </c>
      <c r="T17" s="123">
        <v>161.41</v>
      </c>
      <c r="U17" s="123">
        <v>57.39</v>
      </c>
      <c r="V17" s="100">
        <f t="shared" si="4"/>
        <v>620.54</v>
      </c>
      <c r="W17" s="152">
        <f t="shared" si="5"/>
        <v>844.79125</v>
      </c>
      <c r="X17" s="136"/>
      <c r="Y17" s="81">
        <f>0.6*B17*0.9</f>
        <v>54.972</v>
      </c>
      <c r="Z17" s="81">
        <f>B17*0.2*0.9234</f>
        <v>18.800424</v>
      </c>
      <c r="AA17" s="81">
        <f>0.85*B17*0.8909</f>
        <v>77.089577</v>
      </c>
      <c r="AB17" s="81">
        <f t="shared" si="6"/>
        <v>13.87612386</v>
      </c>
      <c r="AC17" s="81">
        <f>(0.83*B17)*0.8927</f>
        <v>75.4277938</v>
      </c>
      <c r="AD17" s="81">
        <f t="shared" si="7"/>
        <v>13.577002884</v>
      </c>
      <c r="AE17" s="81">
        <f>1.91*B17*0.8927</f>
        <v>173.5748026</v>
      </c>
      <c r="AF17" s="81">
        <f t="shared" si="8"/>
        <v>31.243464468</v>
      </c>
      <c r="AG17" s="81">
        <v>0</v>
      </c>
      <c r="AH17" s="81">
        <f t="shared" si="9"/>
        <v>0</v>
      </c>
      <c r="AI17" s="111"/>
      <c r="AJ17" s="126">
        <f t="shared" si="9"/>
        <v>0</v>
      </c>
      <c r="AK17" s="85"/>
      <c r="AL17" s="85"/>
      <c r="AM17" s="82">
        <f>(AK17+AL17)*0.18</f>
        <v>0</v>
      </c>
      <c r="AN17" s="153">
        <v>307</v>
      </c>
      <c r="AO17" s="113">
        <v>0</v>
      </c>
      <c r="AP17" s="81">
        <f t="shared" si="10"/>
        <v>0</v>
      </c>
      <c r="AQ17" s="114"/>
      <c r="AR17" s="114">
        <f>AQ17*0.18</f>
        <v>0</v>
      </c>
      <c r="AS17" s="114">
        <f t="shared" si="11"/>
        <v>458.5611886120001</v>
      </c>
      <c r="AT17" s="115"/>
      <c r="AU17" s="84">
        <f t="shared" si="13"/>
        <v>458.5611886120001</v>
      </c>
      <c r="AV17" s="145">
        <f t="shared" si="12"/>
        <v>386.2300613879999</v>
      </c>
      <c r="AW17" s="146">
        <f t="shared" si="14"/>
        <v>-0.36000000000001364</v>
      </c>
    </row>
    <row r="18" spans="1:49" ht="12.75" hidden="1">
      <c r="A18" s="13" t="s">
        <v>41</v>
      </c>
      <c r="B18" s="100">
        <v>101.8</v>
      </c>
      <c r="C18" s="120">
        <f t="shared" si="1"/>
        <v>880.57</v>
      </c>
      <c r="D18" s="149">
        <f>C18-E18-F18-G18-H18-I18-J18-K18-L18-M18-N18</f>
        <v>47.060000000000045</v>
      </c>
      <c r="E18" s="157">
        <v>94.35</v>
      </c>
      <c r="F18" s="157">
        <v>1.92</v>
      </c>
      <c r="G18" s="157">
        <v>127.63</v>
      </c>
      <c r="H18" s="157">
        <v>2.6</v>
      </c>
      <c r="I18" s="157">
        <v>306.89</v>
      </c>
      <c r="J18" s="157">
        <v>6.24</v>
      </c>
      <c r="K18" s="157">
        <v>212.55</v>
      </c>
      <c r="L18" s="157">
        <v>4.32</v>
      </c>
      <c r="M18" s="157">
        <v>75.48</v>
      </c>
      <c r="N18" s="189">
        <v>1.53</v>
      </c>
      <c r="O18" s="155">
        <f t="shared" si="2"/>
        <v>816.9000000000001</v>
      </c>
      <c r="P18" s="156">
        <f t="shared" si="3"/>
        <v>16.61</v>
      </c>
      <c r="Q18" s="123">
        <v>71.82</v>
      </c>
      <c r="R18" s="123">
        <v>96.97</v>
      </c>
      <c r="S18" s="123">
        <v>233.42</v>
      </c>
      <c r="T18" s="123">
        <v>161.61</v>
      </c>
      <c r="U18" s="123">
        <v>57.46</v>
      </c>
      <c r="V18" s="100">
        <f t="shared" si="4"/>
        <v>621.28</v>
      </c>
      <c r="W18" s="110">
        <f t="shared" si="5"/>
        <v>684.95</v>
      </c>
      <c r="X18" s="184"/>
      <c r="Y18" s="81">
        <f aca="true" t="shared" si="15" ref="Y18:Y25">0.6*B18</f>
        <v>61.08</v>
      </c>
      <c r="Z18" s="81">
        <f>B18*0.2*1.011</f>
        <v>20.583959999999998</v>
      </c>
      <c r="AA18" s="81">
        <f>0.85*B18*0.9899</f>
        <v>85.656047</v>
      </c>
      <c r="AB18" s="81">
        <f t="shared" si="6"/>
        <v>15.41808846</v>
      </c>
      <c r="AC18" s="81">
        <f>(0.83*B18)*0.992</f>
        <v>83.818048</v>
      </c>
      <c r="AD18" s="81">
        <f t="shared" si="7"/>
        <v>15.08724864</v>
      </c>
      <c r="AE18" s="81">
        <f>1.91*B18*0.992</f>
        <v>192.88249599999997</v>
      </c>
      <c r="AF18" s="81">
        <f t="shared" si="8"/>
        <v>34.71884927999999</v>
      </c>
      <c r="AG18" s="81">
        <v>0</v>
      </c>
      <c r="AH18" s="81">
        <f t="shared" si="9"/>
        <v>0</v>
      </c>
      <c r="AI18" s="111"/>
      <c r="AJ18" s="126">
        <f t="shared" si="9"/>
        <v>0</v>
      </c>
      <c r="AK18" s="85"/>
      <c r="AL18" s="85"/>
      <c r="AM18" s="82">
        <f>(AK18+AL18)*0.18</f>
        <v>0</v>
      </c>
      <c r="AN18" s="153">
        <v>263</v>
      </c>
      <c r="AO18" s="113">
        <v>0</v>
      </c>
      <c r="AP18" s="81">
        <f t="shared" si="10"/>
        <v>0</v>
      </c>
      <c r="AQ18" s="114"/>
      <c r="AR18" s="114">
        <f aca="true" t="shared" si="16" ref="AR18:AR25">AQ18*0.18</f>
        <v>0</v>
      </c>
      <c r="AS18" s="114">
        <f t="shared" si="11"/>
        <v>509.24473737999995</v>
      </c>
      <c r="AT18" s="115"/>
      <c r="AU18" s="84">
        <f t="shared" si="13"/>
        <v>509.24473737999995</v>
      </c>
      <c r="AV18" s="145">
        <f t="shared" si="12"/>
        <v>175.7052626200001</v>
      </c>
      <c r="AW18" s="146">
        <f t="shared" si="14"/>
        <v>-195.62000000000012</v>
      </c>
    </row>
    <row r="19" spans="1:49" ht="13.5" hidden="1" thickBot="1">
      <c r="A19" s="148" t="s">
        <v>42</v>
      </c>
      <c r="B19" s="100">
        <v>101.8</v>
      </c>
      <c r="C19" s="120">
        <f t="shared" si="1"/>
        <v>880.57</v>
      </c>
      <c r="D19" s="149">
        <f>C19-E19-F19-G19-H19-I19-J19-K19-L19-M19-N19</f>
        <v>43.44000000000014</v>
      </c>
      <c r="E19" s="157">
        <v>96.69</v>
      </c>
      <c r="F19" s="157">
        <v>0</v>
      </c>
      <c r="G19" s="157">
        <v>130.78</v>
      </c>
      <c r="H19" s="157">
        <v>0</v>
      </c>
      <c r="I19" s="157">
        <v>314.5</v>
      </c>
      <c r="J19" s="157">
        <v>0</v>
      </c>
      <c r="K19" s="157">
        <v>217.81</v>
      </c>
      <c r="L19" s="157">
        <v>0</v>
      </c>
      <c r="M19" s="157">
        <v>77.35</v>
      </c>
      <c r="N19" s="158">
        <v>0</v>
      </c>
      <c r="O19" s="151">
        <f t="shared" si="2"/>
        <v>837.13</v>
      </c>
      <c r="P19" s="107">
        <f t="shared" si="3"/>
        <v>0</v>
      </c>
      <c r="Q19" s="123">
        <v>94.39</v>
      </c>
      <c r="R19" s="123">
        <v>127.71</v>
      </c>
      <c r="S19" s="123">
        <v>307.1</v>
      </c>
      <c r="T19" s="123">
        <v>212.69</v>
      </c>
      <c r="U19" s="123">
        <v>75.53</v>
      </c>
      <c r="V19" s="100">
        <f t="shared" si="4"/>
        <v>817.4200000000001</v>
      </c>
      <c r="W19" s="110">
        <f t="shared" si="5"/>
        <v>860.8600000000002</v>
      </c>
      <c r="X19" s="184"/>
      <c r="Y19" s="81">
        <f t="shared" si="15"/>
        <v>61.08</v>
      </c>
      <c r="Z19" s="81">
        <f>B19*0.2*1.01045</f>
        <v>20.572762</v>
      </c>
      <c r="AA19" s="81">
        <f>0.85*B19*0.98824</f>
        <v>85.5124072</v>
      </c>
      <c r="AB19" s="81">
        <f t="shared" si="6"/>
        <v>15.392233295999999</v>
      </c>
      <c r="AC19" s="81">
        <f>(0.83*B19)*0.99023</f>
        <v>83.66849362</v>
      </c>
      <c r="AD19" s="81">
        <f t="shared" si="7"/>
        <v>15.060328851600001</v>
      </c>
      <c r="AE19" s="81">
        <f>(1.91)*B19*0.99023</f>
        <v>192.53834074</v>
      </c>
      <c r="AF19" s="81">
        <f t="shared" si="8"/>
        <v>34.6569013332</v>
      </c>
      <c r="AG19" s="81">
        <v>0</v>
      </c>
      <c r="AH19" s="81">
        <f t="shared" si="9"/>
        <v>0</v>
      </c>
      <c r="AI19" s="111"/>
      <c r="AJ19" s="111">
        <f t="shared" si="9"/>
        <v>0</v>
      </c>
      <c r="AK19" s="85"/>
      <c r="AL19" s="85"/>
      <c r="AM19" s="82">
        <f>(AK19+AL19)*0.18</f>
        <v>0</v>
      </c>
      <c r="AN19" s="153">
        <v>233</v>
      </c>
      <c r="AO19" s="113">
        <v>0</v>
      </c>
      <c r="AP19" s="81">
        <f t="shared" si="10"/>
        <v>0</v>
      </c>
      <c r="AQ19" s="114"/>
      <c r="AR19" s="114">
        <f t="shared" si="16"/>
        <v>0</v>
      </c>
      <c r="AS19" s="114">
        <f t="shared" si="11"/>
        <v>508.48146704079994</v>
      </c>
      <c r="AT19" s="115"/>
      <c r="AU19" s="84">
        <f t="shared" si="13"/>
        <v>508.48146704079994</v>
      </c>
      <c r="AV19" s="145">
        <f t="shared" si="12"/>
        <v>352.3785329592003</v>
      </c>
      <c r="AW19" s="146">
        <f t="shared" si="14"/>
        <v>-19.709999999999923</v>
      </c>
    </row>
    <row r="20" spans="1:49" ht="12.75" hidden="1">
      <c r="A20" s="150" t="s">
        <v>43</v>
      </c>
      <c r="B20" s="100">
        <v>101.8</v>
      </c>
      <c r="C20" s="120">
        <f t="shared" si="1"/>
        <v>880.57</v>
      </c>
      <c r="D20" s="149">
        <f>C20-E20-F20-G20-H20-I20-J20-K20-L20-M20-N20</f>
        <v>1302.23</v>
      </c>
      <c r="E20" s="157">
        <v>-48.87</v>
      </c>
      <c r="F20" s="157">
        <v>0</v>
      </c>
      <c r="G20" s="157">
        <v>-65.41</v>
      </c>
      <c r="H20" s="157">
        <v>0</v>
      </c>
      <c r="I20" s="157">
        <v>-158.57</v>
      </c>
      <c r="J20" s="157">
        <v>0</v>
      </c>
      <c r="K20" s="157">
        <v>-109.71</v>
      </c>
      <c r="L20" s="157">
        <v>0</v>
      </c>
      <c r="M20" s="157">
        <v>-39.1</v>
      </c>
      <c r="N20" s="158">
        <v>0</v>
      </c>
      <c r="O20" s="190">
        <f t="shared" si="2"/>
        <v>-421.66</v>
      </c>
      <c r="P20" s="107">
        <f t="shared" si="3"/>
        <v>0</v>
      </c>
      <c r="Q20" s="123">
        <v>45.97</v>
      </c>
      <c r="R20" s="123">
        <v>62.31</v>
      </c>
      <c r="S20" s="123">
        <v>149.64</v>
      </c>
      <c r="T20" s="123">
        <v>103.67</v>
      </c>
      <c r="U20" s="123">
        <v>36.77</v>
      </c>
      <c r="V20" s="100">
        <f t="shared" si="4"/>
        <v>398.35999999999996</v>
      </c>
      <c r="W20" s="110">
        <f t="shared" si="5"/>
        <v>1700.59</v>
      </c>
      <c r="X20" s="184"/>
      <c r="Y20" s="81">
        <f t="shared" si="15"/>
        <v>61.08</v>
      </c>
      <c r="Z20" s="81">
        <f>B20*0.2*0.99426</f>
        <v>20.2431336</v>
      </c>
      <c r="AA20" s="81">
        <f>0.85*B20*0.98824</f>
        <v>85.5124072</v>
      </c>
      <c r="AB20" s="81">
        <f t="shared" si="6"/>
        <v>15.392233295999999</v>
      </c>
      <c r="AC20" s="81">
        <f>0.83*B20*0.99023</f>
        <v>83.66849362</v>
      </c>
      <c r="AD20" s="81">
        <f t="shared" si="7"/>
        <v>15.060328851600001</v>
      </c>
      <c r="AE20" s="81">
        <f>1.91*B20*0.99023</f>
        <v>192.53834074</v>
      </c>
      <c r="AF20" s="81">
        <f t="shared" si="8"/>
        <v>34.6569013332</v>
      </c>
      <c r="AG20" s="81">
        <v>0</v>
      </c>
      <c r="AH20" s="81">
        <f t="shared" si="9"/>
        <v>0</v>
      </c>
      <c r="AI20" s="111"/>
      <c r="AJ20" s="126">
        <f t="shared" si="9"/>
        <v>0</v>
      </c>
      <c r="AK20" s="85"/>
      <c r="AL20" s="85"/>
      <c r="AM20" s="85">
        <f>AK20*0.18</f>
        <v>0</v>
      </c>
      <c r="AN20" s="159">
        <v>248</v>
      </c>
      <c r="AO20" s="113">
        <v>0</v>
      </c>
      <c r="AP20" s="81">
        <f t="shared" si="10"/>
        <v>0</v>
      </c>
      <c r="AQ20" s="114"/>
      <c r="AR20" s="114">
        <f t="shared" si="16"/>
        <v>0</v>
      </c>
      <c r="AS20" s="114">
        <f t="shared" si="11"/>
        <v>508.1518386408</v>
      </c>
      <c r="AT20" s="115"/>
      <c r="AU20" s="84">
        <f t="shared" si="13"/>
        <v>508.1518386408</v>
      </c>
      <c r="AV20" s="145">
        <f t="shared" si="12"/>
        <v>1192.4381613592</v>
      </c>
      <c r="AW20" s="146">
        <f t="shared" si="14"/>
        <v>820.02</v>
      </c>
    </row>
    <row r="21" spans="1:49" ht="12.75" hidden="1">
      <c r="A21" s="13" t="s">
        <v>44</v>
      </c>
      <c r="B21" s="100">
        <v>101.8</v>
      </c>
      <c r="C21" s="120">
        <f t="shared" si="1"/>
        <v>880.57</v>
      </c>
      <c r="D21" s="149">
        <f>C21-E21-F21-G21-H21-I21-J21-K21-L21-M21-N21</f>
        <v>481.99999999999994</v>
      </c>
      <c r="E21" s="157">
        <v>45.99</v>
      </c>
      <c r="F21" s="157">
        <v>0</v>
      </c>
      <c r="G21" s="157">
        <v>62.34</v>
      </c>
      <c r="H21" s="157">
        <v>0</v>
      </c>
      <c r="I21" s="157">
        <v>149.72</v>
      </c>
      <c r="J21" s="157">
        <v>0</v>
      </c>
      <c r="K21" s="157">
        <v>103.73</v>
      </c>
      <c r="L21" s="157">
        <v>0</v>
      </c>
      <c r="M21" s="157">
        <v>36.79</v>
      </c>
      <c r="N21" s="158">
        <v>0</v>
      </c>
      <c r="O21" s="190">
        <f t="shared" si="2"/>
        <v>398.57000000000005</v>
      </c>
      <c r="P21" s="107">
        <f t="shared" si="3"/>
        <v>0</v>
      </c>
      <c r="Q21" s="123">
        <v>1069.11</v>
      </c>
      <c r="R21" s="123">
        <v>62.51</v>
      </c>
      <c r="S21" s="123">
        <v>150.13</v>
      </c>
      <c r="T21" s="123">
        <v>104.02</v>
      </c>
      <c r="U21" s="123">
        <v>36.89</v>
      </c>
      <c r="V21" s="100">
        <f t="shared" si="4"/>
        <v>1422.66</v>
      </c>
      <c r="W21" s="110">
        <f t="shared" si="5"/>
        <v>1904.66</v>
      </c>
      <c r="X21" s="184"/>
      <c r="Y21" s="81">
        <f t="shared" si="15"/>
        <v>61.08</v>
      </c>
      <c r="Z21" s="81">
        <f>B21*0.2*0.99875</f>
        <v>20.33455</v>
      </c>
      <c r="AA21" s="81">
        <f>0.85*B21*0.9882</f>
        <v>85.508946</v>
      </c>
      <c r="AB21" s="81">
        <f t="shared" si="6"/>
        <v>15.391610279999998</v>
      </c>
      <c r="AC21" s="81">
        <f>0.83*B21*0.9902</f>
        <v>83.6659588</v>
      </c>
      <c r="AD21" s="81">
        <f t="shared" si="7"/>
        <v>15.059872583999999</v>
      </c>
      <c r="AE21" s="81">
        <f>1.91*B21*0.9902</f>
        <v>192.53250759999997</v>
      </c>
      <c r="AF21" s="81">
        <f t="shared" si="8"/>
        <v>34.65585136799999</v>
      </c>
      <c r="AG21" s="81">
        <v>0</v>
      </c>
      <c r="AH21" s="81">
        <f t="shared" si="9"/>
        <v>0</v>
      </c>
      <c r="AI21" s="111"/>
      <c r="AJ21" s="126">
        <f t="shared" si="9"/>
        <v>0</v>
      </c>
      <c r="AK21" s="85"/>
      <c r="AL21" s="85"/>
      <c r="AM21" s="82">
        <f>(AK21+AL21)*0.18</f>
        <v>0</v>
      </c>
      <c r="AN21" s="159">
        <v>293</v>
      </c>
      <c r="AO21" s="113">
        <v>0</v>
      </c>
      <c r="AP21" s="81">
        <f t="shared" si="10"/>
        <v>0</v>
      </c>
      <c r="AQ21" s="114"/>
      <c r="AR21" s="114">
        <f t="shared" si="16"/>
        <v>0</v>
      </c>
      <c r="AS21" s="114">
        <f t="shared" si="11"/>
        <v>508.229296632</v>
      </c>
      <c r="AT21" s="115"/>
      <c r="AU21" s="84">
        <f t="shared" si="13"/>
        <v>508.229296632</v>
      </c>
      <c r="AV21" s="145">
        <f t="shared" si="12"/>
        <v>1396.4307033680002</v>
      </c>
      <c r="AW21" s="146">
        <f t="shared" si="14"/>
        <v>1024.0900000000001</v>
      </c>
    </row>
    <row r="22" spans="1:49" ht="13.5" hidden="1" thickBot="1">
      <c r="A22" s="148" t="s">
        <v>45</v>
      </c>
      <c r="B22" s="100">
        <v>101.8</v>
      </c>
      <c r="C22" s="120">
        <f t="shared" si="1"/>
        <v>880.57</v>
      </c>
      <c r="D22" s="149">
        <f>C22-E22-F22-G22-H22-I22-J22-K22-L22-M22-N22</f>
        <v>375.06000000000006</v>
      </c>
      <c r="E22" s="104">
        <v>58.41</v>
      </c>
      <c r="F22" s="104">
        <v>0</v>
      </c>
      <c r="G22" s="104">
        <v>78.93</v>
      </c>
      <c r="H22" s="104">
        <v>0</v>
      </c>
      <c r="I22" s="104">
        <v>189.91</v>
      </c>
      <c r="J22" s="104">
        <v>0</v>
      </c>
      <c r="K22" s="104">
        <v>131.51</v>
      </c>
      <c r="L22" s="104">
        <v>0</v>
      </c>
      <c r="M22" s="104">
        <v>46.75</v>
      </c>
      <c r="N22" s="105">
        <v>0</v>
      </c>
      <c r="O22" s="190">
        <f t="shared" si="2"/>
        <v>505.51</v>
      </c>
      <c r="P22" s="107">
        <f t="shared" si="3"/>
        <v>0</v>
      </c>
      <c r="Q22" s="123">
        <v>45.67</v>
      </c>
      <c r="R22" s="123">
        <v>61.91</v>
      </c>
      <c r="S22" s="123">
        <v>148.7</v>
      </c>
      <c r="T22" s="123">
        <v>103.02</v>
      </c>
      <c r="U22" s="123">
        <v>36.54</v>
      </c>
      <c r="V22" s="100">
        <f t="shared" si="4"/>
        <v>395.84</v>
      </c>
      <c r="W22" s="110">
        <f t="shared" si="5"/>
        <v>770.9000000000001</v>
      </c>
      <c r="X22" s="184"/>
      <c r="Y22" s="81">
        <f t="shared" si="15"/>
        <v>61.08</v>
      </c>
      <c r="Z22" s="81">
        <f>B22*0.2*0.9997</f>
        <v>20.353892000000002</v>
      </c>
      <c r="AA22" s="81">
        <f>0.85*B22*0.9882</f>
        <v>85.508946</v>
      </c>
      <c r="AB22" s="81">
        <f t="shared" si="6"/>
        <v>15.391610279999998</v>
      </c>
      <c r="AC22" s="81">
        <f>(0.83*B22)*0.9902</f>
        <v>83.6659588</v>
      </c>
      <c r="AD22" s="81">
        <f t="shared" si="7"/>
        <v>15.059872583999999</v>
      </c>
      <c r="AE22" s="81">
        <f>1.91*B22*0.9902</f>
        <v>192.53250759999997</v>
      </c>
      <c r="AF22" s="81">
        <f t="shared" si="8"/>
        <v>34.65585136799999</v>
      </c>
      <c r="AG22" s="81">
        <v>0</v>
      </c>
      <c r="AH22" s="81">
        <f t="shared" si="9"/>
        <v>0</v>
      </c>
      <c r="AI22" s="111"/>
      <c r="AJ22" s="126">
        <f t="shared" si="9"/>
        <v>0</v>
      </c>
      <c r="AK22" s="85"/>
      <c r="AL22" s="85"/>
      <c r="AM22" s="82">
        <f>(AK22+AL22)*0.18</f>
        <v>0</v>
      </c>
      <c r="AN22" s="159">
        <v>349</v>
      </c>
      <c r="AO22" s="113">
        <v>0</v>
      </c>
      <c r="AP22" s="81">
        <f t="shared" si="10"/>
        <v>0</v>
      </c>
      <c r="AQ22" s="114"/>
      <c r="AR22" s="114">
        <f t="shared" si="16"/>
        <v>0</v>
      </c>
      <c r="AS22" s="114">
        <f t="shared" si="11"/>
        <v>508.248638632</v>
      </c>
      <c r="AT22" s="115"/>
      <c r="AU22" s="84">
        <f t="shared" si="13"/>
        <v>508.248638632</v>
      </c>
      <c r="AV22" s="145">
        <f t="shared" si="12"/>
        <v>262.6513613680001</v>
      </c>
      <c r="AW22" s="146">
        <f t="shared" si="14"/>
        <v>-109.67000000000002</v>
      </c>
    </row>
    <row r="23" spans="1:49" ht="12.75" hidden="1">
      <c r="A23" s="150" t="s">
        <v>33</v>
      </c>
      <c r="B23" s="191">
        <v>101.8</v>
      </c>
      <c r="C23" s="160">
        <f t="shared" si="1"/>
        <v>880.57</v>
      </c>
      <c r="D23" s="149">
        <f>C23-O23-P23</f>
        <v>474.24000000000007</v>
      </c>
      <c r="E23" s="104">
        <v>46.9</v>
      </c>
      <c r="F23" s="104">
        <v>0</v>
      </c>
      <c r="G23" s="104">
        <v>63.53</v>
      </c>
      <c r="H23" s="104">
        <v>0</v>
      </c>
      <c r="I23" s="104">
        <v>152.64</v>
      </c>
      <c r="J23" s="104">
        <v>0</v>
      </c>
      <c r="K23" s="104">
        <v>105.74</v>
      </c>
      <c r="L23" s="104">
        <v>0</v>
      </c>
      <c r="M23" s="104">
        <v>37.52</v>
      </c>
      <c r="N23" s="154">
        <v>0</v>
      </c>
      <c r="O23" s="161">
        <f t="shared" si="2"/>
        <v>406.33</v>
      </c>
      <c r="P23" s="162">
        <f t="shared" si="3"/>
        <v>0</v>
      </c>
      <c r="Q23" s="123">
        <v>42.83</v>
      </c>
      <c r="R23" s="123">
        <v>57.88</v>
      </c>
      <c r="S23" s="123">
        <v>139.26</v>
      </c>
      <c r="T23" s="123">
        <v>96.44</v>
      </c>
      <c r="U23" s="123">
        <v>34.28</v>
      </c>
      <c r="V23" s="154">
        <f t="shared" si="4"/>
        <v>370.68999999999994</v>
      </c>
      <c r="W23" s="125">
        <f t="shared" si="5"/>
        <v>844.9300000000001</v>
      </c>
      <c r="X23" s="163"/>
      <c r="Y23" s="86">
        <f t="shared" si="15"/>
        <v>61.08</v>
      </c>
      <c r="Z23" s="25">
        <f>B23*0.2</f>
        <v>20.36</v>
      </c>
      <c r="AA23" s="25">
        <f>0.85*B23</f>
        <v>86.53</v>
      </c>
      <c r="AB23" s="25">
        <f t="shared" si="6"/>
        <v>15.5754</v>
      </c>
      <c r="AC23" s="25">
        <f>(0.83*B23)</f>
        <v>84.494</v>
      </c>
      <c r="AD23" s="25">
        <f t="shared" si="7"/>
        <v>15.208919999999999</v>
      </c>
      <c r="AE23" s="25">
        <f>1.91*B23</f>
        <v>194.438</v>
      </c>
      <c r="AF23" s="25">
        <f t="shared" si="8"/>
        <v>34.998839999999994</v>
      </c>
      <c r="AG23" s="25">
        <v>0</v>
      </c>
      <c r="AH23" s="25">
        <f t="shared" si="9"/>
        <v>0</v>
      </c>
      <c r="AI23" s="111"/>
      <c r="AJ23" s="126">
        <f t="shared" si="9"/>
        <v>0</v>
      </c>
      <c r="AK23" s="82"/>
      <c r="AL23" s="82"/>
      <c r="AM23" s="82">
        <f>(AK23+AL23)*0.18</f>
        <v>0</v>
      </c>
      <c r="AN23" s="128">
        <v>425</v>
      </c>
      <c r="AO23" s="129">
        <v>0</v>
      </c>
      <c r="AP23" s="25">
        <f t="shared" si="10"/>
        <v>0</v>
      </c>
      <c r="AQ23" s="130"/>
      <c r="AR23" s="130">
        <f t="shared" si="16"/>
        <v>0</v>
      </c>
      <c r="AS23" s="114">
        <f t="shared" si="11"/>
        <v>512.68516</v>
      </c>
      <c r="AT23" s="131"/>
      <c r="AU23" s="84">
        <f t="shared" si="13"/>
        <v>512.68516</v>
      </c>
      <c r="AV23" s="145">
        <f t="shared" si="12"/>
        <v>332.24484000000007</v>
      </c>
      <c r="AW23" s="146">
        <f t="shared" si="14"/>
        <v>-35.64000000000004</v>
      </c>
    </row>
    <row r="24" spans="1:49" ht="12.75" hidden="1">
      <c r="A24" s="13" t="s">
        <v>34</v>
      </c>
      <c r="B24" s="191">
        <v>101.8</v>
      </c>
      <c r="C24" s="160">
        <f t="shared" si="1"/>
        <v>880.57</v>
      </c>
      <c r="D24" s="149">
        <f>C24-O24-P24</f>
        <v>474.24000000000007</v>
      </c>
      <c r="E24" s="104">
        <v>46.9</v>
      </c>
      <c r="F24" s="104">
        <v>0</v>
      </c>
      <c r="G24" s="104">
        <v>63.53</v>
      </c>
      <c r="H24" s="104">
        <v>0</v>
      </c>
      <c r="I24" s="104">
        <v>152.64</v>
      </c>
      <c r="J24" s="104">
        <v>0</v>
      </c>
      <c r="K24" s="104">
        <v>105.74</v>
      </c>
      <c r="L24" s="104">
        <v>0</v>
      </c>
      <c r="M24" s="104">
        <v>37.52</v>
      </c>
      <c r="N24" s="105">
        <v>0</v>
      </c>
      <c r="O24" s="161">
        <f>E24+G24+I24+K24+M24</f>
        <v>406.33</v>
      </c>
      <c r="P24" s="162">
        <f t="shared" si="3"/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54">
        <f t="shared" si="4"/>
        <v>0</v>
      </c>
      <c r="W24" s="125">
        <f t="shared" si="5"/>
        <v>474.24000000000007</v>
      </c>
      <c r="X24" s="125"/>
      <c r="Y24" s="25">
        <f t="shared" si="15"/>
        <v>61.08</v>
      </c>
      <c r="Z24" s="25">
        <f>B24*0.2</f>
        <v>20.36</v>
      </c>
      <c r="AA24" s="25">
        <f>0.85*B24</f>
        <v>86.53</v>
      </c>
      <c r="AB24" s="25">
        <f t="shared" si="6"/>
        <v>15.5754</v>
      </c>
      <c r="AC24" s="25">
        <f>(0.83*B24)</f>
        <v>84.494</v>
      </c>
      <c r="AD24" s="25">
        <f t="shared" si="7"/>
        <v>15.208919999999999</v>
      </c>
      <c r="AE24" s="25">
        <f>1.91*B24</f>
        <v>194.438</v>
      </c>
      <c r="AF24" s="25">
        <f t="shared" si="8"/>
        <v>34.998839999999994</v>
      </c>
      <c r="AG24" s="25">
        <v>0</v>
      </c>
      <c r="AH24" s="25">
        <f t="shared" si="9"/>
        <v>0</v>
      </c>
      <c r="AI24" s="111"/>
      <c r="AJ24" s="126">
        <f t="shared" si="9"/>
        <v>0</v>
      </c>
      <c r="AK24" s="82"/>
      <c r="AL24" s="82"/>
      <c r="AM24" s="82">
        <f>AK24*0.18</f>
        <v>0</v>
      </c>
      <c r="AN24" s="128">
        <v>470</v>
      </c>
      <c r="AO24" s="129">
        <v>0</v>
      </c>
      <c r="AP24" s="25">
        <f t="shared" si="10"/>
        <v>0</v>
      </c>
      <c r="AQ24" s="130"/>
      <c r="AR24" s="130">
        <f t="shared" si="16"/>
        <v>0</v>
      </c>
      <c r="AS24" s="114">
        <f t="shared" si="11"/>
        <v>512.68516</v>
      </c>
      <c r="AT24" s="131"/>
      <c r="AU24" s="84">
        <f t="shared" si="13"/>
        <v>512.68516</v>
      </c>
      <c r="AV24" s="145">
        <f t="shared" si="12"/>
        <v>-38.44515999999993</v>
      </c>
      <c r="AW24" s="146">
        <f t="shared" si="14"/>
        <v>-406.33</v>
      </c>
    </row>
    <row r="25" spans="1:49" s="119" customFormat="1" ht="12.75" hidden="1">
      <c r="A25" s="99" t="s">
        <v>35</v>
      </c>
      <c r="B25" s="192">
        <v>101.8</v>
      </c>
      <c r="C25" s="120">
        <f t="shared" si="1"/>
        <v>880.57</v>
      </c>
      <c r="D25" s="121">
        <f>C25-E25-F25-G25-H25-I25-J25-K25-L25-M25-N25</f>
        <v>474.2400000000001</v>
      </c>
      <c r="E25" s="165">
        <v>46.9</v>
      </c>
      <c r="F25" s="165">
        <v>0</v>
      </c>
      <c r="G25" s="165">
        <v>63.53</v>
      </c>
      <c r="H25" s="165">
        <v>0</v>
      </c>
      <c r="I25" s="165">
        <v>152.64</v>
      </c>
      <c r="J25" s="165">
        <v>0</v>
      </c>
      <c r="K25" s="165">
        <v>105.74</v>
      </c>
      <c r="L25" s="165">
        <v>0</v>
      </c>
      <c r="M25" s="165">
        <v>37.52</v>
      </c>
      <c r="N25" s="165">
        <v>0</v>
      </c>
      <c r="O25" s="106">
        <f>E25+G25+I25+K25+M25</f>
        <v>406.33</v>
      </c>
      <c r="P25" s="107">
        <f t="shared" si="3"/>
        <v>0</v>
      </c>
      <c r="Q25" s="123">
        <v>72.62</v>
      </c>
      <c r="R25" s="123">
        <v>98.33</v>
      </c>
      <c r="S25" s="123">
        <v>236.27</v>
      </c>
      <c r="T25" s="123">
        <v>163.66</v>
      </c>
      <c r="U25" s="123">
        <v>58.08</v>
      </c>
      <c r="V25" s="154">
        <f t="shared" si="4"/>
        <v>628.96</v>
      </c>
      <c r="W25" s="125">
        <f t="shared" si="5"/>
        <v>1103.2000000000003</v>
      </c>
      <c r="X25" s="125"/>
      <c r="Y25" s="25">
        <f t="shared" si="15"/>
        <v>61.08</v>
      </c>
      <c r="Z25" s="25">
        <f>B25*0.2</f>
        <v>20.36</v>
      </c>
      <c r="AA25" s="25">
        <f>0.85*B25</f>
        <v>86.53</v>
      </c>
      <c r="AB25" s="25">
        <f t="shared" si="6"/>
        <v>15.5754</v>
      </c>
      <c r="AC25" s="25">
        <f>(0.83*B25)</f>
        <v>84.494</v>
      </c>
      <c r="AD25" s="25">
        <f t="shared" si="7"/>
        <v>15.208919999999999</v>
      </c>
      <c r="AE25" s="25">
        <f>1.91*B25</f>
        <v>194.438</v>
      </c>
      <c r="AF25" s="25">
        <f t="shared" si="8"/>
        <v>34.998839999999994</v>
      </c>
      <c r="AG25" s="25">
        <v>0</v>
      </c>
      <c r="AH25" s="25">
        <f t="shared" si="9"/>
        <v>0</v>
      </c>
      <c r="AI25" s="111"/>
      <c r="AJ25" s="126">
        <f t="shared" si="9"/>
        <v>0</v>
      </c>
      <c r="AK25" s="82"/>
      <c r="AL25" s="82"/>
      <c r="AM25" s="82">
        <f>AK25*0.18</f>
        <v>0</v>
      </c>
      <c r="AN25" s="128">
        <v>514</v>
      </c>
      <c r="AO25" s="129">
        <v>0</v>
      </c>
      <c r="AP25" s="25">
        <f t="shared" si="10"/>
        <v>0</v>
      </c>
      <c r="AQ25" s="130"/>
      <c r="AR25" s="130">
        <f t="shared" si="16"/>
        <v>0</v>
      </c>
      <c r="AS25" s="114">
        <f t="shared" si="11"/>
        <v>512.68516</v>
      </c>
      <c r="AT25" s="131"/>
      <c r="AU25" s="84">
        <f t="shared" si="13"/>
        <v>512.68516</v>
      </c>
      <c r="AV25" s="145">
        <f t="shared" si="12"/>
        <v>590.5148400000003</v>
      </c>
      <c r="AW25" s="146">
        <f t="shared" si="14"/>
        <v>222.63000000000005</v>
      </c>
    </row>
    <row r="26" spans="1:49" s="24" customFormat="1" ht="12.75" hidden="1">
      <c r="A26" s="19" t="s">
        <v>3</v>
      </c>
      <c r="B26" s="20"/>
      <c r="C26" s="20">
        <f>SUM(C14:C25)</f>
        <v>10566.839999999998</v>
      </c>
      <c r="D26" s="20">
        <f aca="true" t="shared" si="17" ref="D26:AW26">SUM(D14:D25)</f>
        <v>4112.795000000001</v>
      </c>
      <c r="E26" s="20">
        <f t="shared" si="17"/>
        <v>674.39</v>
      </c>
      <c r="F26" s="20">
        <f t="shared" si="17"/>
        <v>54.72</v>
      </c>
      <c r="G26" s="20">
        <f t="shared" si="17"/>
        <v>912.5</v>
      </c>
      <c r="H26" s="20">
        <f t="shared" si="17"/>
        <v>73.88</v>
      </c>
      <c r="I26" s="20">
        <f t="shared" si="17"/>
        <v>2193.49</v>
      </c>
      <c r="J26" s="20">
        <f t="shared" si="17"/>
        <v>177.84</v>
      </c>
      <c r="K26" s="20">
        <f t="shared" si="17"/>
        <v>1519.1499999999999</v>
      </c>
      <c r="L26" s="20">
        <f t="shared" si="17"/>
        <v>123.12</v>
      </c>
      <c r="M26" s="20">
        <f t="shared" si="17"/>
        <v>539.51</v>
      </c>
      <c r="N26" s="20">
        <f t="shared" si="17"/>
        <v>43.77</v>
      </c>
      <c r="O26" s="20">
        <f t="shared" si="17"/>
        <v>5839.04</v>
      </c>
      <c r="P26" s="20">
        <f t="shared" si="17"/>
        <v>473.33</v>
      </c>
      <c r="Q26" s="20">
        <f t="shared" si="17"/>
        <v>1730.7399999999998</v>
      </c>
      <c r="R26" s="20">
        <f t="shared" si="17"/>
        <v>956.86</v>
      </c>
      <c r="S26" s="20">
        <f t="shared" si="17"/>
        <v>2301.54</v>
      </c>
      <c r="T26" s="20">
        <f t="shared" si="17"/>
        <v>1593.8300000000002</v>
      </c>
      <c r="U26" s="20">
        <f t="shared" si="17"/>
        <v>566.2</v>
      </c>
      <c r="V26" s="20">
        <f t="shared" si="17"/>
        <v>7149.169999999999</v>
      </c>
      <c r="W26" s="20">
        <f t="shared" si="17"/>
        <v>11735.295000000002</v>
      </c>
      <c r="X26" s="20">
        <f t="shared" si="17"/>
        <v>0</v>
      </c>
      <c r="Y26" s="20">
        <f t="shared" si="17"/>
        <v>708.5280000000001</v>
      </c>
      <c r="Z26" s="20">
        <f t="shared" si="17"/>
        <v>237.2479776</v>
      </c>
      <c r="AA26" s="20">
        <f t="shared" si="17"/>
        <v>994.6792724000001</v>
      </c>
      <c r="AB26" s="20">
        <f t="shared" si="17"/>
        <v>179.042269032</v>
      </c>
      <c r="AC26" s="20">
        <f t="shared" si="17"/>
        <v>973.81531844</v>
      </c>
      <c r="AD26" s="20">
        <f t="shared" si="17"/>
        <v>175.28675731920003</v>
      </c>
      <c r="AE26" s="20">
        <f t="shared" si="17"/>
        <v>2240.94850388</v>
      </c>
      <c r="AF26" s="20">
        <f t="shared" si="17"/>
        <v>403.37073069839994</v>
      </c>
      <c r="AG26" s="20">
        <f t="shared" si="17"/>
        <v>0</v>
      </c>
      <c r="AH26" s="20">
        <f t="shared" si="17"/>
        <v>0</v>
      </c>
      <c r="AI26" s="166">
        <f t="shared" si="17"/>
        <v>0</v>
      </c>
      <c r="AJ26" s="166">
        <f t="shared" si="17"/>
        <v>0</v>
      </c>
      <c r="AK26" s="21">
        <f t="shared" si="17"/>
        <v>0</v>
      </c>
      <c r="AL26" s="21">
        <f t="shared" si="17"/>
        <v>0</v>
      </c>
      <c r="AM26" s="21">
        <f t="shared" si="17"/>
        <v>0</v>
      </c>
      <c r="AN26" s="20">
        <f t="shared" si="17"/>
        <v>4400</v>
      </c>
      <c r="AO26" s="20">
        <f t="shared" si="17"/>
        <v>0</v>
      </c>
      <c r="AP26" s="20">
        <f t="shared" si="17"/>
        <v>0</v>
      </c>
      <c r="AQ26" s="20">
        <f t="shared" si="17"/>
        <v>0</v>
      </c>
      <c r="AR26" s="20">
        <f t="shared" si="17"/>
        <v>0</v>
      </c>
      <c r="AS26" s="20">
        <f t="shared" si="17"/>
        <v>5912.918829369601</v>
      </c>
      <c r="AT26" s="20">
        <f t="shared" si="17"/>
        <v>0</v>
      </c>
      <c r="AU26" s="20">
        <f t="shared" si="17"/>
        <v>5912.918829369601</v>
      </c>
      <c r="AV26" s="20">
        <f t="shared" si="17"/>
        <v>5822.376170630399</v>
      </c>
      <c r="AW26" s="167">
        <f t="shared" si="17"/>
        <v>1310.1299999999999</v>
      </c>
    </row>
    <row r="27" spans="1:49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2"/>
      <c r="T27" s="22"/>
      <c r="U27" s="22"/>
      <c r="V27" s="22"/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0"/>
      <c r="AI27" s="168"/>
      <c r="AJ27" s="168"/>
      <c r="AK27" s="80"/>
      <c r="AL27" s="80"/>
      <c r="AM27" s="80"/>
      <c r="AN27" s="23"/>
      <c r="AO27" s="23"/>
      <c r="AP27" s="169"/>
      <c r="AQ27" s="59"/>
      <c r="AR27" s="59"/>
      <c r="AS27" s="59"/>
      <c r="AT27" s="59"/>
      <c r="AU27" s="59"/>
      <c r="AV27" s="59"/>
      <c r="AW27" s="170"/>
    </row>
    <row r="28" spans="1:49" s="24" customFormat="1" ht="13.5" hidden="1" thickBot="1">
      <c r="A28" s="26" t="s">
        <v>46</v>
      </c>
      <c r="B28" s="27"/>
      <c r="C28" s="27">
        <f>C12+C26</f>
        <v>13208.55</v>
      </c>
      <c r="D28" s="27">
        <f aca="true" t="shared" si="18" ref="D28:AW28">D12+D26</f>
        <v>4747.663402700001</v>
      </c>
      <c r="E28" s="27">
        <f t="shared" si="18"/>
        <v>894.6099999999999</v>
      </c>
      <c r="F28" s="27">
        <f t="shared" si="18"/>
        <v>94.32</v>
      </c>
      <c r="G28" s="27">
        <f t="shared" si="18"/>
        <v>1209.81</v>
      </c>
      <c r="H28" s="27">
        <f t="shared" si="18"/>
        <v>127.34</v>
      </c>
      <c r="I28" s="27">
        <f t="shared" si="18"/>
        <v>2909.18</v>
      </c>
      <c r="J28" s="27">
        <f t="shared" si="18"/>
        <v>306.53999999999996</v>
      </c>
      <c r="K28" s="27">
        <f t="shared" si="18"/>
        <v>2014.6499999999999</v>
      </c>
      <c r="L28" s="27">
        <f t="shared" si="18"/>
        <v>212.22</v>
      </c>
      <c r="M28" s="27">
        <f t="shared" si="18"/>
        <v>715.6800000000001</v>
      </c>
      <c r="N28" s="27">
        <f t="shared" si="18"/>
        <v>75.45</v>
      </c>
      <c r="O28" s="27">
        <f t="shared" si="18"/>
        <v>7743.93</v>
      </c>
      <c r="P28" s="27">
        <f t="shared" si="18"/>
        <v>815.8699999999999</v>
      </c>
      <c r="Q28" s="27">
        <f t="shared" si="18"/>
        <v>1877.6899999999998</v>
      </c>
      <c r="R28" s="27">
        <f t="shared" si="18"/>
        <v>1155.27</v>
      </c>
      <c r="S28" s="27">
        <f t="shared" si="18"/>
        <v>2779.12</v>
      </c>
      <c r="T28" s="27">
        <f t="shared" si="18"/>
        <v>1924.4900000000002</v>
      </c>
      <c r="U28" s="27">
        <f t="shared" si="18"/>
        <v>683.75</v>
      </c>
      <c r="V28" s="27">
        <f t="shared" si="18"/>
        <v>8420.32</v>
      </c>
      <c r="W28" s="27">
        <f t="shared" si="18"/>
        <v>13983.853402700002</v>
      </c>
      <c r="X28" s="27">
        <f t="shared" si="18"/>
        <v>0</v>
      </c>
      <c r="Y28" s="27">
        <f t="shared" si="18"/>
        <v>891.7680000000001</v>
      </c>
      <c r="Z28" s="27">
        <f t="shared" si="18"/>
        <v>300.12983760000003</v>
      </c>
      <c r="AA28" s="27">
        <f t="shared" si="18"/>
        <v>1253.5363124</v>
      </c>
      <c r="AB28" s="27">
        <f>AB12+AB26</f>
        <v>225.636536232</v>
      </c>
      <c r="AC28" s="27">
        <f t="shared" si="18"/>
        <v>1214.07594164</v>
      </c>
      <c r="AD28" s="27">
        <f t="shared" si="18"/>
        <v>218.53366949520003</v>
      </c>
      <c r="AE28" s="27">
        <f t="shared" si="18"/>
        <v>2682.19637918</v>
      </c>
      <c r="AF28" s="27">
        <f t="shared" si="18"/>
        <v>482.7953482523999</v>
      </c>
      <c r="AG28" s="27">
        <f t="shared" si="18"/>
        <v>0</v>
      </c>
      <c r="AH28" s="27">
        <f t="shared" si="18"/>
        <v>0</v>
      </c>
      <c r="AI28" s="171">
        <f t="shared" si="18"/>
        <v>0</v>
      </c>
      <c r="AJ28" s="171">
        <f t="shared" si="18"/>
        <v>0</v>
      </c>
      <c r="AK28" s="172">
        <f t="shared" si="18"/>
        <v>275.3</v>
      </c>
      <c r="AL28" s="172">
        <f t="shared" si="18"/>
        <v>0</v>
      </c>
      <c r="AM28" s="172">
        <f t="shared" si="18"/>
        <v>49.554</v>
      </c>
      <c r="AN28" s="27">
        <f t="shared" si="18"/>
        <v>4400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7593.5260247996</v>
      </c>
      <c r="AT28" s="27">
        <f t="shared" si="18"/>
        <v>0</v>
      </c>
      <c r="AU28" s="27">
        <f t="shared" si="18"/>
        <v>7593.5260247996</v>
      </c>
      <c r="AV28" s="27">
        <f t="shared" si="18"/>
        <v>6390.327377900399</v>
      </c>
      <c r="AW28" s="27">
        <f t="shared" si="18"/>
        <v>676.3899999999999</v>
      </c>
    </row>
    <row r="29" spans="1:49" ht="15" customHeight="1" hidden="1">
      <c r="A29" s="8" t="s">
        <v>86</v>
      </c>
      <c r="B29" s="75"/>
      <c r="C29" s="132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4"/>
      <c r="Q29" s="135"/>
      <c r="R29" s="135"/>
      <c r="S29" s="135"/>
      <c r="T29" s="135"/>
      <c r="U29" s="135"/>
      <c r="V29" s="136"/>
      <c r="W29" s="137"/>
      <c r="X29" s="62"/>
      <c r="Y29" s="62"/>
      <c r="Z29" s="62"/>
      <c r="AA29" s="62"/>
      <c r="AB29" s="62"/>
      <c r="AC29" s="62"/>
      <c r="AD29" s="62"/>
      <c r="AE29" s="62"/>
      <c r="AF29" s="76"/>
      <c r="AG29" s="76"/>
      <c r="AH29" s="76"/>
      <c r="AI29" s="138"/>
      <c r="AJ29" s="139"/>
      <c r="AK29" s="140"/>
      <c r="AL29" s="140"/>
      <c r="AM29" s="141"/>
      <c r="AN29" s="62"/>
      <c r="AO29" s="62"/>
      <c r="AP29" s="63"/>
      <c r="AQ29" s="1"/>
      <c r="AR29" s="1"/>
      <c r="AS29" s="1"/>
      <c r="AT29" s="1"/>
      <c r="AU29" s="1"/>
      <c r="AV29" s="1"/>
      <c r="AW29" s="98"/>
    </row>
    <row r="30" spans="1:49" ht="12.75" hidden="1">
      <c r="A30" s="13" t="s">
        <v>37</v>
      </c>
      <c r="B30" s="192">
        <v>101.8</v>
      </c>
      <c r="C30" s="120">
        <f aca="true" t="shared" si="19" ref="C30:C41">B30*8.65</f>
        <v>880.57</v>
      </c>
      <c r="D30" s="121">
        <f>C30-E30-F30-G30-H30-I30-J30-K30-L30-M30-N30</f>
        <v>474.2400000000001</v>
      </c>
      <c r="E30" s="104">
        <v>46.9</v>
      </c>
      <c r="F30" s="104">
        <v>0</v>
      </c>
      <c r="G30" s="104">
        <v>63.53</v>
      </c>
      <c r="H30" s="104">
        <v>0</v>
      </c>
      <c r="I30" s="104">
        <v>152.64</v>
      </c>
      <c r="J30" s="104">
        <v>0</v>
      </c>
      <c r="K30" s="104">
        <v>105.74</v>
      </c>
      <c r="L30" s="104">
        <v>0</v>
      </c>
      <c r="M30" s="104">
        <v>37.52</v>
      </c>
      <c r="N30" s="105">
        <v>0</v>
      </c>
      <c r="O30" s="106">
        <f>E30+G30+I30+K30+M30</f>
        <v>406.33</v>
      </c>
      <c r="P30" s="173">
        <f aca="true" t="shared" si="20" ref="P30:P41">N30+L30+J30+H30+F30</f>
        <v>0</v>
      </c>
      <c r="Q30" s="122">
        <v>49.48</v>
      </c>
      <c r="R30" s="123">
        <v>67.03</v>
      </c>
      <c r="S30" s="123">
        <v>161.05</v>
      </c>
      <c r="T30" s="123">
        <v>111.56</v>
      </c>
      <c r="U30" s="123">
        <v>39.58</v>
      </c>
      <c r="V30" s="100">
        <f>SUM(Q30:U30)</f>
        <v>428.7</v>
      </c>
      <c r="W30" s="124">
        <f aca="true" t="shared" si="21" ref="W30:W41">D30+P30+V30</f>
        <v>902.94</v>
      </c>
      <c r="X30" s="125"/>
      <c r="Y30" s="25">
        <f aca="true" t="shared" si="22" ref="Y30:Y41">0.6*B30</f>
        <v>61.08</v>
      </c>
      <c r="Z30" s="25">
        <f aca="true" t="shared" si="23" ref="Z30:Z41">B30*0.2</f>
        <v>20.36</v>
      </c>
      <c r="AA30" s="25">
        <f aca="true" t="shared" si="24" ref="AA30:AA41">1*B30</f>
        <v>101.8</v>
      </c>
      <c r="AB30" s="25">
        <v>0</v>
      </c>
      <c r="AC30" s="25">
        <f>0.98*B30</f>
        <v>99.764</v>
      </c>
      <c r="AD30" s="25">
        <v>0</v>
      </c>
      <c r="AE30" s="25">
        <f aca="true" t="shared" si="25" ref="AE30:AE41">2.25*B30</f>
        <v>229.04999999999998</v>
      </c>
      <c r="AF30" s="25">
        <v>0</v>
      </c>
      <c r="AG30" s="25">
        <v>0</v>
      </c>
      <c r="AH30" s="25">
        <f>AG30*0.18</f>
        <v>0</v>
      </c>
      <c r="AI30" s="126"/>
      <c r="AJ30" s="126"/>
      <c r="AK30" s="82"/>
      <c r="AL30" s="82"/>
      <c r="AM30" s="82"/>
      <c r="AN30" s="128">
        <v>508</v>
      </c>
      <c r="AO30" s="129">
        <v>0</v>
      </c>
      <c r="AP30" s="25">
        <f aca="true" t="shared" si="26" ref="AP30:AP41">AN30*AO30*1.4</f>
        <v>0</v>
      </c>
      <c r="AQ30" s="130"/>
      <c r="AR30" s="130">
        <f aca="true" t="shared" si="27" ref="AR30:AR41">AQ30*0.18</f>
        <v>0</v>
      </c>
      <c r="AS30" s="130">
        <f>SUM(Y30:AR30)-AN30-AO30</f>
        <v>512.054</v>
      </c>
      <c r="AT30" s="131"/>
      <c r="AU30" s="84">
        <f>AS30-(X30-AT30)</f>
        <v>512.054</v>
      </c>
      <c r="AV30" s="145">
        <f aca="true" t="shared" si="28" ref="AV30:AV38">W30-AS30</f>
        <v>390.8860000000001</v>
      </c>
      <c r="AW30" s="146">
        <f>V30-O30</f>
        <v>22.370000000000005</v>
      </c>
    </row>
    <row r="31" spans="1:49" ht="12.75" hidden="1">
      <c r="A31" s="13" t="s">
        <v>38</v>
      </c>
      <c r="B31" s="192">
        <v>101.8</v>
      </c>
      <c r="C31" s="120">
        <f t="shared" si="19"/>
        <v>880.57</v>
      </c>
      <c r="D31" s="121">
        <f>C31-E31-F31-G31-H31-I31-J31-K31-L31-M31-N31</f>
        <v>474.2400000000001</v>
      </c>
      <c r="E31" s="104">
        <v>46.9</v>
      </c>
      <c r="F31" s="104">
        <v>0</v>
      </c>
      <c r="G31" s="104">
        <v>63.53</v>
      </c>
      <c r="H31" s="104">
        <v>0</v>
      </c>
      <c r="I31" s="104">
        <v>152.64</v>
      </c>
      <c r="J31" s="104">
        <v>0</v>
      </c>
      <c r="K31" s="104">
        <v>105.74</v>
      </c>
      <c r="L31" s="104">
        <v>0</v>
      </c>
      <c r="M31" s="104">
        <v>37.52</v>
      </c>
      <c r="N31" s="105">
        <v>0</v>
      </c>
      <c r="O31" s="106">
        <f>E31+G31+I31+K31+M31</f>
        <v>406.33</v>
      </c>
      <c r="P31" s="107">
        <f t="shared" si="20"/>
        <v>0</v>
      </c>
      <c r="Q31" s="123">
        <v>47.07</v>
      </c>
      <c r="R31" s="123">
        <v>63.76</v>
      </c>
      <c r="S31" s="123">
        <v>153.2</v>
      </c>
      <c r="T31" s="123">
        <v>106.13</v>
      </c>
      <c r="U31" s="123">
        <v>37.66</v>
      </c>
      <c r="V31" s="100">
        <f>SUM(Q31:U31)</f>
        <v>407.81999999999994</v>
      </c>
      <c r="W31" s="125">
        <f t="shared" si="21"/>
        <v>882.0600000000001</v>
      </c>
      <c r="X31" s="125"/>
      <c r="Y31" s="25">
        <f t="shared" si="22"/>
        <v>61.08</v>
      </c>
      <c r="Z31" s="25">
        <f t="shared" si="23"/>
        <v>20.36</v>
      </c>
      <c r="AA31" s="25">
        <f t="shared" si="24"/>
        <v>101.8</v>
      </c>
      <c r="AB31" s="25">
        <v>0</v>
      </c>
      <c r="AC31" s="25">
        <f>0.98*B31</f>
        <v>99.764</v>
      </c>
      <c r="AD31" s="25">
        <v>0</v>
      </c>
      <c r="AE31" s="25">
        <f t="shared" si="25"/>
        <v>229.04999999999998</v>
      </c>
      <c r="AF31" s="25">
        <v>0</v>
      </c>
      <c r="AG31" s="25">
        <v>0</v>
      </c>
      <c r="AH31" s="25">
        <f>AG31*0.18</f>
        <v>0</v>
      </c>
      <c r="AI31" s="126"/>
      <c r="AJ31" s="126"/>
      <c r="AK31" s="82"/>
      <c r="AL31" s="82"/>
      <c r="AM31" s="82"/>
      <c r="AN31" s="128">
        <v>407</v>
      </c>
      <c r="AO31" s="129">
        <v>0</v>
      </c>
      <c r="AP31" s="25">
        <f t="shared" si="26"/>
        <v>0</v>
      </c>
      <c r="AQ31" s="130"/>
      <c r="AR31" s="130">
        <f t="shared" si="27"/>
        <v>0</v>
      </c>
      <c r="AS31" s="130">
        <f>SUM(Y31:AR31)-AN31-AO31</f>
        <v>512.054</v>
      </c>
      <c r="AT31" s="131"/>
      <c r="AU31" s="84">
        <f aca="true" t="shared" si="29" ref="AU31:AU41">AS31-(X31-AT31)</f>
        <v>512.054</v>
      </c>
      <c r="AV31" s="145">
        <f t="shared" si="28"/>
        <v>370.0060000000001</v>
      </c>
      <c r="AW31" s="146">
        <f>V31-O31</f>
        <v>1.4899999999999523</v>
      </c>
    </row>
    <row r="32" spans="1:49" ht="13.5" hidden="1" thickBot="1">
      <c r="A32" s="148" t="s">
        <v>39</v>
      </c>
      <c r="B32" s="192">
        <v>101.8</v>
      </c>
      <c r="C32" s="120">
        <f t="shared" si="19"/>
        <v>880.57</v>
      </c>
      <c r="D32" s="121">
        <f>C32-E32-F32-G32-H32-I32-J32-K32-L32-M32-N32</f>
        <v>474.2400000000001</v>
      </c>
      <c r="E32" s="104">
        <v>46.9</v>
      </c>
      <c r="F32" s="104">
        <v>0</v>
      </c>
      <c r="G32" s="104">
        <v>63.53</v>
      </c>
      <c r="H32" s="104">
        <v>0</v>
      </c>
      <c r="I32" s="104">
        <v>152.64</v>
      </c>
      <c r="J32" s="104">
        <v>0</v>
      </c>
      <c r="K32" s="104">
        <v>105.74</v>
      </c>
      <c r="L32" s="104">
        <v>0</v>
      </c>
      <c r="M32" s="104">
        <v>37.52</v>
      </c>
      <c r="N32" s="105">
        <v>0</v>
      </c>
      <c r="O32" s="106">
        <f>E32+G32+I32+K32+M32</f>
        <v>406.33</v>
      </c>
      <c r="P32" s="107">
        <f t="shared" si="20"/>
        <v>0</v>
      </c>
      <c r="Q32" s="123">
        <v>46.92</v>
      </c>
      <c r="R32" s="123">
        <v>63.55</v>
      </c>
      <c r="S32" s="123">
        <v>152.7</v>
      </c>
      <c r="T32" s="123">
        <v>105.78</v>
      </c>
      <c r="U32" s="123">
        <v>37.53</v>
      </c>
      <c r="V32" s="100">
        <f>SUM(Q32:U32)</f>
        <v>406.4799999999999</v>
      </c>
      <c r="W32" s="125">
        <f t="shared" si="21"/>
        <v>880.72</v>
      </c>
      <c r="X32" s="125"/>
      <c r="Y32" s="25">
        <f t="shared" si="22"/>
        <v>61.08</v>
      </c>
      <c r="Z32" s="25">
        <f t="shared" si="23"/>
        <v>20.36</v>
      </c>
      <c r="AA32" s="25">
        <f t="shared" si="24"/>
        <v>101.8</v>
      </c>
      <c r="AB32" s="25">
        <v>0</v>
      </c>
      <c r="AC32" s="25">
        <f>0.98*B32</f>
        <v>99.764</v>
      </c>
      <c r="AD32" s="25">
        <v>0</v>
      </c>
      <c r="AE32" s="25">
        <f t="shared" si="25"/>
        <v>229.04999999999998</v>
      </c>
      <c r="AF32" s="25">
        <v>0</v>
      </c>
      <c r="AG32" s="25"/>
      <c r="AH32" s="25"/>
      <c r="AI32" s="126"/>
      <c r="AJ32" s="126"/>
      <c r="AK32" s="82"/>
      <c r="AL32" s="82"/>
      <c r="AM32" s="82"/>
      <c r="AN32" s="128">
        <v>383</v>
      </c>
      <c r="AO32" s="129">
        <v>0</v>
      </c>
      <c r="AP32" s="25">
        <f t="shared" si="26"/>
        <v>0</v>
      </c>
      <c r="AQ32" s="130"/>
      <c r="AR32" s="130">
        <f t="shared" si="27"/>
        <v>0</v>
      </c>
      <c r="AS32" s="130">
        <f>SUM(Y32:AR32)-AN32-AO32</f>
        <v>512.054</v>
      </c>
      <c r="AT32" s="131"/>
      <c r="AU32" s="84">
        <f t="shared" si="29"/>
        <v>512.054</v>
      </c>
      <c r="AV32" s="174">
        <f t="shared" si="28"/>
        <v>368.66600000000005</v>
      </c>
      <c r="AW32" s="175">
        <f>V32-O32</f>
        <v>0.14999999999992042</v>
      </c>
    </row>
    <row r="33" spans="1:49" ht="12.75" hidden="1">
      <c r="A33" s="150" t="s">
        <v>40</v>
      </c>
      <c r="B33" s="192">
        <v>101.8</v>
      </c>
      <c r="C33" s="120">
        <f t="shared" si="19"/>
        <v>880.57</v>
      </c>
      <c r="D33" s="121">
        <f>C33-E33-F33-G33-H33-I33-J33-K33-L33-M33-N33</f>
        <v>35.67999999999999</v>
      </c>
      <c r="E33" s="104">
        <v>97.6</v>
      </c>
      <c r="F33" s="104">
        <v>0</v>
      </c>
      <c r="G33" s="104">
        <v>131.97</v>
      </c>
      <c r="H33" s="104">
        <v>0</v>
      </c>
      <c r="I33" s="104">
        <v>317.42</v>
      </c>
      <c r="J33" s="104">
        <v>0</v>
      </c>
      <c r="K33" s="104">
        <v>219.82</v>
      </c>
      <c r="L33" s="104">
        <v>0</v>
      </c>
      <c r="M33" s="104">
        <v>78.08</v>
      </c>
      <c r="N33" s="105">
        <v>0</v>
      </c>
      <c r="O33" s="106">
        <f aca="true" t="shared" si="30" ref="O33:O41">E33+G33+I33+K33+M33</f>
        <v>844.89</v>
      </c>
      <c r="P33" s="107">
        <f t="shared" si="20"/>
        <v>0</v>
      </c>
      <c r="Q33" s="123">
        <v>46.83</v>
      </c>
      <c r="R33" s="123">
        <v>63.44</v>
      </c>
      <c r="S33" s="123">
        <v>152.41</v>
      </c>
      <c r="T33" s="123">
        <v>105.59</v>
      </c>
      <c r="U33" s="123">
        <v>37.47</v>
      </c>
      <c r="V33" s="100">
        <f aca="true" t="shared" si="31" ref="V33:V41">SUM(Q33:U33)</f>
        <v>405.74</v>
      </c>
      <c r="W33" s="125">
        <f t="shared" si="21"/>
        <v>441.42</v>
      </c>
      <c r="X33" s="125"/>
      <c r="Y33" s="25">
        <f t="shared" si="22"/>
        <v>61.08</v>
      </c>
      <c r="Z33" s="25">
        <f t="shared" si="23"/>
        <v>20.36</v>
      </c>
      <c r="AA33" s="25">
        <f t="shared" si="24"/>
        <v>101.8</v>
      </c>
      <c r="AB33" s="25">
        <v>0</v>
      </c>
      <c r="AC33" s="25">
        <f aca="true" t="shared" si="32" ref="AC33:AC41">(0.98*B33)</f>
        <v>99.764</v>
      </c>
      <c r="AD33" s="25">
        <v>0</v>
      </c>
      <c r="AE33" s="25">
        <f t="shared" si="25"/>
        <v>229.04999999999998</v>
      </c>
      <c r="AF33" s="25">
        <v>0</v>
      </c>
      <c r="AG33" s="25"/>
      <c r="AH33" s="25"/>
      <c r="AI33" s="126"/>
      <c r="AJ33" s="126"/>
      <c r="AK33" s="82"/>
      <c r="AL33" s="82"/>
      <c r="AM33" s="82"/>
      <c r="AN33" s="128">
        <v>307</v>
      </c>
      <c r="AO33" s="129">
        <v>0</v>
      </c>
      <c r="AP33" s="25">
        <f t="shared" si="26"/>
        <v>0</v>
      </c>
      <c r="AQ33" s="130"/>
      <c r="AR33" s="130">
        <f t="shared" si="27"/>
        <v>0</v>
      </c>
      <c r="AS33" s="130">
        <f>SUM(Y33:AR33)-AN33-AO33</f>
        <v>512.054</v>
      </c>
      <c r="AT33" s="131"/>
      <c r="AU33" s="84">
        <f t="shared" si="29"/>
        <v>512.054</v>
      </c>
      <c r="AV33" s="145">
        <f t="shared" si="28"/>
        <v>-70.63399999999996</v>
      </c>
      <c r="AW33" s="146">
        <f>V33-O33</f>
        <v>-439.15</v>
      </c>
    </row>
    <row r="34" spans="1:49" ht="12.75" hidden="1">
      <c r="A34" s="13" t="s">
        <v>41</v>
      </c>
      <c r="B34" s="100">
        <v>101.8</v>
      </c>
      <c r="C34" s="120">
        <f t="shared" si="19"/>
        <v>880.57</v>
      </c>
      <c r="D34" s="121">
        <f>C34-E34-F34-G34-H34-I34-J34-K34-L34-M34-N34</f>
        <v>35.67999999999999</v>
      </c>
      <c r="E34" s="104">
        <v>97.6</v>
      </c>
      <c r="F34" s="104">
        <v>0</v>
      </c>
      <c r="G34" s="104">
        <v>131.97</v>
      </c>
      <c r="H34" s="104">
        <v>0</v>
      </c>
      <c r="I34" s="104">
        <v>317.42</v>
      </c>
      <c r="J34" s="104">
        <v>0</v>
      </c>
      <c r="K34" s="104">
        <v>219.82</v>
      </c>
      <c r="L34" s="104">
        <v>0</v>
      </c>
      <c r="M34" s="104">
        <v>78.08</v>
      </c>
      <c r="N34" s="105">
        <v>0</v>
      </c>
      <c r="O34" s="106">
        <f t="shared" si="30"/>
        <v>844.89</v>
      </c>
      <c r="P34" s="107">
        <f t="shared" si="20"/>
        <v>0</v>
      </c>
      <c r="Q34" s="123">
        <v>46.92</v>
      </c>
      <c r="R34" s="123">
        <v>63.54</v>
      </c>
      <c r="S34" s="123">
        <v>152.67</v>
      </c>
      <c r="T34" s="123">
        <v>105.76</v>
      </c>
      <c r="U34" s="123">
        <v>37.53</v>
      </c>
      <c r="V34" s="100">
        <f t="shared" si="31"/>
        <v>406.41999999999996</v>
      </c>
      <c r="W34" s="125">
        <f t="shared" si="21"/>
        <v>442.09999999999997</v>
      </c>
      <c r="X34" s="125"/>
      <c r="Y34" s="25">
        <f t="shared" si="22"/>
        <v>61.08</v>
      </c>
      <c r="Z34" s="25">
        <f t="shared" si="23"/>
        <v>20.36</v>
      </c>
      <c r="AA34" s="25">
        <f t="shared" si="24"/>
        <v>101.8</v>
      </c>
      <c r="AB34" s="25">
        <v>0</v>
      </c>
      <c r="AC34" s="25">
        <f t="shared" si="32"/>
        <v>99.764</v>
      </c>
      <c r="AD34" s="25">
        <v>0</v>
      </c>
      <c r="AE34" s="25">
        <f t="shared" si="25"/>
        <v>229.04999999999998</v>
      </c>
      <c r="AF34" s="25">
        <v>0</v>
      </c>
      <c r="AG34" s="25"/>
      <c r="AH34" s="25"/>
      <c r="AI34" s="126"/>
      <c r="AJ34" s="126"/>
      <c r="AK34" s="82"/>
      <c r="AL34" s="82"/>
      <c r="AM34" s="82"/>
      <c r="AN34" s="128">
        <v>263</v>
      </c>
      <c r="AO34" s="129">
        <v>0</v>
      </c>
      <c r="AP34" s="25">
        <f t="shared" si="26"/>
        <v>0</v>
      </c>
      <c r="AQ34" s="130"/>
      <c r="AR34" s="130">
        <f t="shared" si="27"/>
        <v>0</v>
      </c>
      <c r="AS34" s="130">
        <f>SUM(Y34:AR34)-AN34-AO34</f>
        <v>512.054</v>
      </c>
      <c r="AT34" s="131"/>
      <c r="AU34" s="84">
        <f t="shared" si="29"/>
        <v>512.054</v>
      </c>
      <c r="AV34" s="145">
        <f t="shared" si="28"/>
        <v>-69.95400000000001</v>
      </c>
      <c r="AW34" s="146">
        <f aca="true" t="shared" si="33" ref="AW34:AW41">V34-O34</f>
        <v>-438.47</v>
      </c>
    </row>
    <row r="35" spans="1:49" ht="13.5" hidden="1" thickBot="1">
      <c r="A35" s="148" t="s">
        <v>42</v>
      </c>
      <c r="B35" s="100">
        <v>101.8</v>
      </c>
      <c r="C35" s="120">
        <f t="shared" si="19"/>
        <v>880.57</v>
      </c>
      <c r="D35" s="121">
        <f>(C35-E35-F35-G35-H35-I35-J35-K35-L35-M35-N35)*0.80125</f>
        <v>28.588599999999996</v>
      </c>
      <c r="E35" s="104">
        <v>97.6</v>
      </c>
      <c r="F35" s="104">
        <v>0</v>
      </c>
      <c r="G35" s="104">
        <v>131.97</v>
      </c>
      <c r="H35" s="104">
        <v>0</v>
      </c>
      <c r="I35" s="104">
        <v>317.42</v>
      </c>
      <c r="J35" s="104">
        <v>0</v>
      </c>
      <c r="K35" s="104">
        <v>219.82</v>
      </c>
      <c r="L35" s="104">
        <v>0</v>
      </c>
      <c r="M35" s="104">
        <v>78.08</v>
      </c>
      <c r="N35" s="105">
        <v>0</v>
      </c>
      <c r="O35" s="106">
        <f t="shared" si="30"/>
        <v>844.89</v>
      </c>
      <c r="P35" s="107">
        <f t="shared" si="20"/>
        <v>0</v>
      </c>
      <c r="Q35" s="123">
        <v>46.99</v>
      </c>
      <c r="R35" s="123">
        <v>63.65</v>
      </c>
      <c r="S35" s="123">
        <v>152.92</v>
      </c>
      <c r="T35" s="123">
        <v>105.93</v>
      </c>
      <c r="U35" s="123">
        <v>37.59</v>
      </c>
      <c r="V35" s="100">
        <f t="shared" si="31"/>
        <v>407.08000000000004</v>
      </c>
      <c r="W35" s="125">
        <f t="shared" si="21"/>
        <v>435.6686</v>
      </c>
      <c r="X35" s="125"/>
      <c r="Y35" s="25">
        <f t="shared" si="22"/>
        <v>61.08</v>
      </c>
      <c r="Z35" s="25">
        <f t="shared" si="23"/>
        <v>20.36</v>
      </c>
      <c r="AA35" s="25">
        <f t="shared" si="24"/>
        <v>101.8</v>
      </c>
      <c r="AB35" s="25">
        <v>0</v>
      </c>
      <c r="AC35" s="25">
        <f t="shared" si="32"/>
        <v>99.764</v>
      </c>
      <c r="AD35" s="25">
        <v>0</v>
      </c>
      <c r="AE35" s="25">
        <f t="shared" si="25"/>
        <v>229.04999999999998</v>
      </c>
      <c r="AF35" s="25">
        <v>0</v>
      </c>
      <c r="AG35" s="25"/>
      <c r="AH35" s="25"/>
      <c r="AI35" s="126"/>
      <c r="AJ35" s="126"/>
      <c r="AK35" s="82"/>
      <c r="AL35" s="82"/>
      <c r="AM35" s="82"/>
      <c r="AN35" s="128">
        <v>233</v>
      </c>
      <c r="AO35" s="129">
        <v>0</v>
      </c>
      <c r="AP35" s="25">
        <f t="shared" si="26"/>
        <v>0</v>
      </c>
      <c r="AQ35" s="130"/>
      <c r="AR35" s="130">
        <f t="shared" si="27"/>
        <v>0</v>
      </c>
      <c r="AS35" s="130">
        <f aca="true" t="shared" si="34" ref="AS35:AS41">SUM(Y35:AM35)+AP35</f>
        <v>512.054</v>
      </c>
      <c r="AT35" s="131"/>
      <c r="AU35" s="84">
        <f t="shared" si="29"/>
        <v>512.054</v>
      </c>
      <c r="AV35" s="174">
        <f t="shared" si="28"/>
        <v>-76.38539999999995</v>
      </c>
      <c r="AW35" s="175">
        <f t="shared" si="33"/>
        <v>-437.80999999999995</v>
      </c>
    </row>
    <row r="36" spans="1:49" ht="12.75" hidden="1">
      <c r="A36" s="150" t="s">
        <v>43</v>
      </c>
      <c r="B36" s="176">
        <v>100.8</v>
      </c>
      <c r="C36" s="120">
        <f t="shared" si="19"/>
        <v>871.92</v>
      </c>
      <c r="D36" s="121">
        <f>(C36-E36-F36-G36-H36-I36-J36-K36-L36-M36-N36)*0.805915</f>
        <v>28.75504719999994</v>
      </c>
      <c r="E36" s="104">
        <v>96.6</v>
      </c>
      <c r="F36" s="104">
        <v>0</v>
      </c>
      <c r="G36" s="104">
        <v>130.62</v>
      </c>
      <c r="H36" s="104">
        <v>0</v>
      </c>
      <c r="I36" s="104">
        <v>314.17</v>
      </c>
      <c r="J36" s="104">
        <v>0</v>
      </c>
      <c r="K36" s="104">
        <v>217.57</v>
      </c>
      <c r="L36" s="104">
        <v>0</v>
      </c>
      <c r="M36" s="104">
        <v>77.28</v>
      </c>
      <c r="N36" s="105">
        <v>0</v>
      </c>
      <c r="O36" s="106">
        <f t="shared" si="30"/>
        <v>836.24</v>
      </c>
      <c r="P36" s="107">
        <f t="shared" si="20"/>
        <v>0</v>
      </c>
      <c r="Q36" s="123">
        <v>46.81</v>
      </c>
      <c r="R36" s="123">
        <v>63.44</v>
      </c>
      <c r="S36" s="123">
        <v>152.42</v>
      </c>
      <c r="T36" s="123">
        <v>105.59</v>
      </c>
      <c r="U36" s="123">
        <v>37.46</v>
      </c>
      <c r="V36" s="100">
        <f t="shared" si="31"/>
        <v>405.71999999999997</v>
      </c>
      <c r="W36" s="125">
        <f t="shared" si="21"/>
        <v>434.4750471999999</v>
      </c>
      <c r="X36" s="125"/>
      <c r="Y36" s="25">
        <f t="shared" si="22"/>
        <v>60.48</v>
      </c>
      <c r="Z36" s="25">
        <f t="shared" si="23"/>
        <v>20.16</v>
      </c>
      <c r="AA36" s="25">
        <f t="shared" si="24"/>
        <v>100.8</v>
      </c>
      <c r="AB36" s="25">
        <v>0</v>
      </c>
      <c r="AC36" s="25">
        <f t="shared" si="32"/>
        <v>98.78399999999999</v>
      </c>
      <c r="AD36" s="25">
        <v>0</v>
      </c>
      <c r="AE36" s="25">
        <f t="shared" si="25"/>
        <v>226.79999999999998</v>
      </c>
      <c r="AF36" s="25">
        <v>0</v>
      </c>
      <c r="AG36" s="25"/>
      <c r="AH36" s="25"/>
      <c r="AI36" s="126"/>
      <c r="AJ36" s="126"/>
      <c r="AK36" s="82"/>
      <c r="AL36" s="82"/>
      <c r="AM36" s="82"/>
      <c r="AN36" s="128">
        <v>248</v>
      </c>
      <c r="AO36" s="129">
        <v>0</v>
      </c>
      <c r="AP36" s="25">
        <f t="shared" si="26"/>
        <v>0</v>
      </c>
      <c r="AQ36" s="130"/>
      <c r="AR36" s="130">
        <f t="shared" si="27"/>
        <v>0</v>
      </c>
      <c r="AS36" s="130">
        <f t="shared" si="34"/>
        <v>507.024</v>
      </c>
      <c r="AT36" s="131"/>
      <c r="AU36" s="84">
        <f t="shared" si="29"/>
        <v>507.024</v>
      </c>
      <c r="AV36" s="177">
        <f t="shared" si="28"/>
        <v>-72.54895280000011</v>
      </c>
      <c r="AW36" s="178">
        <f t="shared" si="33"/>
        <v>-430.52000000000004</v>
      </c>
    </row>
    <row r="37" spans="1:49" ht="12.75" hidden="1">
      <c r="A37" s="13" t="s">
        <v>44</v>
      </c>
      <c r="B37" s="100">
        <v>98.7</v>
      </c>
      <c r="C37" s="120">
        <f t="shared" si="19"/>
        <v>853.7550000000001</v>
      </c>
      <c r="D37" s="121">
        <f>(C37-E37-F37-G37-H37-I37-J37-K37-L37-M37-N37)*0.857717</f>
        <v>30.607631145000145</v>
      </c>
      <c r="E37" s="104">
        <v>94.5</v>
      </c>
      <c r="F37" s="104">
        <v>0</v>
      </c>
      <c r="G37" s="104">
        <v>127.79</v>
      </c>
      <c r="H37" s="104">
        <v>0</v>
      </c>
      <c r="I37" s="104">
        <v>307.34</v>
      </c>
      <c r="J37" s="104">
        <v>0</v>
      </c>
      <c r="K37" s="104">
        <v>212.84</v>
      </c>
      <c r="L37" s="104">
        <v>0</v>
      </c>
      <c r="M37" s="104">
        <v>75.6</v>
      </c>
      <c r="N37" s="105">
        <v>0</v>
      </c>
      <c r="O37" s="106">
        <f t="shared" si="30"/>
        <v>818.07</v>
      </c>
      <c r="P37" s="107">
        <f t="shared" si="20"/>
        <v>0</v>
      </c>
      <c r="Q37" s="123">
        <v>45.87</v>
      </c>
      <c r="R37" s="123">
        <v>62.12</v>
      </c>
      <c r="S37" s="123">
        <v>149.24</v>
      </c>
      <c r="T37" s="123">
        <v>103.38</v>
      </c>
      <c r="U37" s="123">
        <v>36.68</v>
      </c>
      <c r="V37" s="100">
        <f t="shared" si="31"/>
        <v>397.29</v>
      </c>
      <c r="W37" s="125">
        <f t="shared" si="21"/>
        <v>427.89763114500016</v>
      </c>
      <c r="X37" s="125"/>
      <c r="Y37" s="25">
        <f t="shared" si="22"/>
        <v>59.22</v>
      </c>
      <c r="Z37" s="25">
        <f t="shared" si="23"/>
        <v>19.740000000000002</v>
      </c>
      <c r="AA37" s="25">
        <f t="shared" si="24"/>
        <v>98.7</v>
      </c>
      <c r="AB37" s="25">
        <v>0</v>
      </c>
      <c r="AC37" s="25">
        <f t="shared" si="32"/>
        <v>96.726</v>
      </c>
      <c r="AD37" s="25">
        <v>0</v>
      </c>
      <c r="AE37" s="25">
        <f t="shared" si="25"/>
        <v>222.07500000000002</v>
      </c>
      <c r="AF37" s="25">
        <v>0</v>
      </c>
      <c r="AG37" s="25"/>
      <c r="AH37" s="25"/>
      <c r="AI37" s="126"/>
      <c r="AJ37" s="126"/>
      <c r="AK37" s="82"/>
      <c r="AL37" s="82">
        <f>47.8</f>
        <v>47.8</v>
      </c>
      <c r="AM37" s="82"/>
      <c r="AN37" s="128">
        <v>293</v>
      </c>
      <c r="AO37" s="129">
        <v>0</v>
      </c>
      <c r="AP37" s="25">
        <f t="shared" si="26"/>
        <v>0</v>
      </c>
      <c r="AQ37" s="130"/>
      <c r="AR37" s="130">
        <f t="shared" si="27"/>
        <v>0</v>
      </c>
      <c r="AS37" s="130">
        <f t="shared" si="34"/>
        <v>544.261</v>
      </c>
      <c r="AT37" s="131"/>
      <c r="AU37" s="84">
        <f t="shared" si="29"/>
        <v>544.261</v>
      </c>
      <c r="AV37" s="145">
        <f t="shared" si="28"/>
        <v>-116.3633688549998</v>
      </c>
      <c r="AW37" s="146">
        <f t="shared" si="33"/>
        <v>-420.78000000000003</v>
      </c>
    </row>
    <row r="38" spans="1:49" ht="13.5" hidden="1" thickBot="1">
      <c r="A38" s="148" t="s">
        <v>45</v>
      </c>
      <c r="B38" s="100">
        <v>98.7</v>
      </c>
      <c r="C38" s="120">
        <f t="shared" si="19"/>
        <v>853.7550000000001</v>
      </c>
      <c r="D38" s="121">
        <f>(C38-E38-F38-G38-H38-I38-J38-K38-L38-M38-N38)*0.87553</f>
        <v>31.243288050000153</v>
      </c>
      <c r="E38" s="104">
        <v>94.5</v>
      </c>
      <c r="F38" s="104">
        <v>0</v>
      </c>
      <c r="G38" s="104">
        <v>127.79</v>
      </c>
      <c r="H38" s="104">
        <v>0</v>
      </c>
      <c r="I38" s="104">
        <v>307.34</v>
      </c>
      <c r="J38" s="104">
        <v>0</v>
      </c>
      <c r="K38" s="104">
        <v>212.84</v>
      </c>
      <c r="L38" s="104">
        <v>0</v>
      </c>
      <c r="M38" s="104">
        <v>75.6</v>
      </c>
      <c r="N38" s="105">
        <v>0</v>
      </c>
      <c r="O38" s="106">
        <f t="shared" si="30"/>
        <v>818.07</v>
      </c>
      <c r="P38" s="107">
        <f t="shared" si="20"/>
        <v>0</v>
      </c>
      <c r="Q38" s="123">
        <v>45.89</v>
      </c>
      <c r="R38" s="123">
        <v>150.55</v>
      </c>
      <c r="S38" s="123">
        <v>362.17</v>
      </c>
      <c r="T38" s="123">
        <v>250.81</v>
      </c>
      <c r="U38" s="123">
        <v>89.1</v>
      </c>
      <c r="V38" s="100">
        <f t="shared" si="31"/>
        <v>898.5200000000001</v>
      </c>
      <c r="W38" s="125">
        <f t="shared" si="21"/>
        <v>929.7632880500003</v>
      </c>
      <c r="X38" s="125"/>
      <c r="Y38" s="25">
        <f t="shared" si="22"/>
        <v>59.22</v>
      </c>
      <c r="Z38" s="25">
        <f t="shared" si="23"/>
        <v>19.740000000000002</v>
      </c>
      <c r="AA38" s="25">
        <f t="shared" si="24"/>
        <v>98.7</v>
      </c>
      <c r="AB38" s="25">
        <v>0</v>
      </c>
      <c r="AC38" s="25">
        <f t="shared" si="32"/>
        <v>96.726</v>
      </c>
      <c r="AD38" s="25">
        <v>0</v>
      </c>
      <c r="AE38" s="25">
        <f t="shared" si="25"/>
        <v>222.07500000000002</v>
      </c>
      <c r="AF38" s="25">
        <v>0</v>
      </c>
      <c r="AG38" s="25"/>
      <c r="AH38" s="25"/>
      <c r="AI38" s="126"/>
      <c r="AJ38" s="126"/>
      <c r="AK38" s="82"/>
      <c r="AL38" s="82"/>
      <c r="AM38" s="82"/>
      <c r="AN38" s="128">
        <v>349</v>
      </c>
      <c r="AO38" s="129">
        <v>0</v>
      </c>
      <c r="AP38" s="25">
        <f t="shared" si="26"/>
        <v>0</v>
      </c>
      <c r="AQ38" s="130"/>
      <c r="AR38" s="130">
        <f t="shared" si="27"/>
        <v>0</v>
      </c>
      <c r="AS38" s="130">
        <f t="shared" si="34"/>
        <v>496.461</v>
      </c>
      <c r="AT38" s="131"/>
      <c r="AU38" s="84">
        <f t="shared" si="29"/>
        <v>496.461</v>
      </c>
      <c r="AV38" s="174">
        <f t="shared" si="28"/>
        <v>433.30228805000024</v>
      </c>
      <c r="AW38" s="175">
        <f t="shared" si="33"/>
        <v>80.45000000000005</v>
      </c>
    </row>
    <row r="39" spans="1:49" ht="12.75" hidden="1">
      <c r="A39" s="150" t="s">
        <v>33</v>
      </c>
      <c r="B39" s="100">
        <v>98.7</v>
      </c>
      <c r="C39" s="120">
        <f t="shared" si="19"/>
        <v>853.7550000000001</v>
      </c>
      <c r="D39" s="121">
        <f>(C39-E39-F39-G39-H39-I39-J39-K39-L39-M39-N39)*0.811308</f>
        <v>28.95152598000014</v>
      </c>
      <c r="E39" s="104">
        <v>94.5</v>
      </c>
      <c r="F39" s="104">
        <v>0</v>
      </c>
      <c r="G39" s="104">
        <v>127.79</v>
      </c>
      <c r="H39" s="104">
        <v>0</v>
      </c>
      <c r="I39" s="104">
        <v>307.34</v>
      </c>
      <c r="J39" s="104">
        <v>0</v>
      </c>
      <c r="K39" s="104">
        <v>212.84</v>
      </c>
      <c r="L39" s="104">
        <v>0</v>
      </c>
      <c r="M39" s="104">
        <v>75.6</v>
      </c>
      <c r="N39" s="105">
        <v>0</v>
      </c>
      <c r="O39" s="106">
        <f t="shared" si="30"/>
        <v>818.07</v>
      </c>
      <c r="P39" s="107">
        <f t="shared" si="20"/>
        <v>0</v>
      </c>
      <c r="Q39" s="123">
        <v>45.88</v>
      </c>
      <c r="R39" s="123">
        <v>62.16</v>
      </c>
      <c r="S39" s="123">
        <v>149.33</v>
      </c>
      <c r="T39" s="123">
        <v>103.45</v>
      </c>
      <c r="U39" s="123">
        <v>36.71</v>
      </c>
      <c r="V39" s="100">
        <f t="shared" si="31"/>
        <v>397.53</v>
      </c>
      <c r="W39" s="125">
        <f t="shared" si="21"/>
        <v>426.48152598000013</v>
      </c>
      <c r="X39" s="125"/>
      <c r="Y39" s="25">
        <f t="shared" si="22"/>
        <v>59.22</v>
      </c>
      <c r="Z39" s="25">
        <f t="shared" si="23"/>
        <v>19.740000000000002</v>
      </c>
      <c r="AA39" s="25">
        <f t="shared" si="24"/>
        <v>98.7</v>
      </c>
      <c r="AB39" s="25">
        <v>0</v>
      </c>
      <c r="AC39" s="25">
        <f t="shared" si="32"/>
        <v>96.726</v>
      </c>
      <c r="AD39" s="25">
        <v>0</v>
      </c>
      <c r="AE39" s="25">
        <f t="shared" si="25"/>
        <v>222.07500000000002</v>
      </c>
      <c r="AF39" s="25">
        <v>0</v>
      </c>
      <c r="AG39" s="25"/>
      <c r="AH39" s="25"/>
      <c r="AI39" s="126"/>
      <c r="AJ39" s="126"/>
      <c r="AK39" s="82"/>
      <c r="AL39" s="82"/>
      <c r="AM39" s="82"/>
      <c r="AN39" s="128">
        <v>425</v>
      </c>
      <c r="AO39" s="129">
        <v>0</v>
      </c>
      <c r="AP39" s="25">
        <f t="shared" si="26"/>
        <v>0</v>
      </c>
      <c r="AQ39" s="130"/>
      <c r="AR39" s="130">
        <f t="shared" si="27"/>
        <v>0</v>
      </c>
      <c r="AS39" s="130">
        <f t="shared" si="34"/>
        <v>496.461</v>
      </c>
      <c r="AT39" s="131"/>
      <c r="AU39" s="84">
        <f t="shared" si="29"/>
        <v>496.461</v>
      </c>
      <c r="AV39" s="179">
        <f>(W39-AS39)+(X39-AT39)</f>
        <v>-69.97947401999988</v>
      </c>
      <c r="AW39" s="180">
        <f t="shared" si="33"/>
        <v>-420.5400000000001</v>
      </c>
    </row>
    <row r="40" spans="1:49" ht="12.75" hidden="1">
      <c r="A40" s="13" t="s">
        <v>34</v>
      </c>
      <c r="B40" s="100">
        <v>98.7</v>
      </c>
      <c r="C40" s="120">
        <f t="shared" si="19"/>
        <v>853.7550000000001</v>
      </c>
      <c r="D40" s="121">
        <f>(C40-E40-F40-G40-H40-I40-J40-K40-L40-M40-N40)*0.870679</f>
        <v>31.07018011500015</v>
      </c>
      <c r="E40" s="104">
        <v>94.5</v>
      </c>
      <c r="F40" s="104">
        <v>0</v>
      </c>
      <c r="G40" s="104">
        <v>127.79</v>
      </c>
      <c r="H40" s="104">
        <v>0</v>
      </c>
      <c r="I40" s="104">
        <v>307.34</v>
      </c>
      <c r="J40" s="104">
        <v>0</v>
      </c>
      <c r="K40" s="104">
        <v>212.84</v>
      </c>
      <c r="L40" s="104">
        <v>0</v>
      </c>
      <c r="M40" s="104">
        <v>75.6</v>
      </c>
      <c r="N40" s="105">
        <v>0</v>
      </c>
      <c r="O40" s="106">
        <f t="shared" si="30"/>
        <v>818.07</v>
      </c>
      <c r="P40" s="107">
        <f t="shared" si="20"/>
        <v>0</v>
      </c>
      <c r="Q40" s="123">
        <v>45.88</v>
      </c>
      <c r="R40" s="123">
        <v>207.07</v>
      </c>
      <c r="S40" s="123">
        <v>498.23</v>
      </c>
      <c r="T40" s="123">
        <v>344.99</v>
      </c>
      <c r="U40" s="123">
        <v>122.58</v>
      </c>
      <c r="V40" s="100">
        <f t="shared" si="31"/>
        <v>1218.75</v>
      </c>
      <c r="W40" s="125">
        <f t="shared" si="21"/>
        <v>1249.820180115</v>
      </c>
      <c r="X40" s="125"/>
      <c r="Y40" s="25">
        <f t="shared" si="22"/>
        <v>59.22</v>
      </c>
      <c r="Z40" s="25">
        <f t="shared" si="23"/>
        <v>19.740000000000002</v>
      </c>
      <c r="AA40" s="25">
        <f t="shared" si="24"/>
        <v>98.7</v>
      </c>
      <c r="AB40" s="25">
        <v>0</v>
      </c>
      <c r="AC40" s="25">
        <f t="shared" si="32"/>
        <v>96.726</v>
      </c>
      <c r="AD40" s="25">
        <v>0</v>
      </c>
      <c r="AE40" s="25">
        <f t="shared" si="25"/>
        <v>222.07500000000002</v>
      </c>
      <c r="AF40" s="25">
        <v>0</v>
      </c>
      <c r="AG40" s="25"/>
      <c r="AH40" s="25"/>
      <c r="AI40" s="126"/>
      <c r="AJ40" s="126"/>
      <c r="AK40" s="82"/>
      <c r="AL40" s="82"/>
      <c r="AM40" s="82"/>
      <c r="AN40" s="128">
        <v>470</v>
      </c>
      <c r="AO40" s="129">
        <v>0</v>
      </c>
      <c r="AP40" s="25">
        <f t="shared" si="26"/>
        <v>0</v>
      </c>
      <c r="AQ40" s="130"/>
      <c r="AR40" s="130">
        <f t="shared" si="27"/>
        <v>0</v>
      </c>
      <c r="AS40" s="130">
        <f t="shared" si="34"/>
        <v>496.461</v>
      </c>
      <c r="AT40" s="131"/>
      <c r="AU40" s="84">
        <f t="shared" si="29"/>
        <v>496.461</v>
      </c>
      <c r="AV40" s="181">
        <f>(W40-AS40)+(X40-AT40)</f>
        <v>753.3591801150001</v>
      </c>
      <c r="AW40" s="182">
        <f t="shared" si="33"/>
        <v>400.67999999999995</v>
      </c>
    </row>
    <row r="41" spans="1:49" s="119" customFormat="1" ht="12.75" hidden="1">
      <c r="A41" s="99" t="s">
        <v>35</v>
      </c>
      <c r="B41" s="100">
        <v>98.7</v>
      </c>
      <c r="C41" s="120">
        <f t="shared" si="19"/>
        <v>853.7550000000001</v>
      </c>
      <c r="D41" s="121">
        <f>(C41-E41-F41-G41-H41-I41-J41-K41-L41-M41-N41)*0.91496</f>
        <v>32.65034760000016</v>
      </c>
      <c r="E41" s="104">
        <v>94.5</v>
      </c>
      <c r="F41" s="104">
        <v>0</v>
      </c>
      <c r="G41" s="104">
        <v>127.79</v>
      </c>
      <c r="H41" s="104">
        <v>0</v>
      </c>
      <c r="I41" s="104">
        <v>307.34</v>
      </c>
      <c r="J41" s="104">
        <v>0</v>
      </c>
      <c r="K41" s="104">
        <v>212.84</v>
      </c>
      <c r="L41" s="104">
        <v>0</v>
      </c>
      <c r="M41" s="104">
        <v>75.6</v>
      </c>
      <c r="N41" s="105">
        <v>0</v>
      </c>
      <c r="O41" s="106">
        <f t="shared" si="30"/>
        <v>818.07</v>
      </c>
      <c r="P41" s="107">
        <f t="shared" si="20"/>
        <v>0</v>
      </c>
      <c r="Q41" s="123">
        <v>29.86</v>
      </c>
      <c r="R41" s="123">
        <v>112.78</v>
      </c>
      <c r="S41" s="123">
        <v>271.3</v>
      </c>
      <c r="T41" s="123">
        <v>187.87</v>
      </c>
      <c r="U41" s="123">
        <v>66.75</v>
      </c>
      <c r="V41" s="100">
        <f t="shared" si="31"/>
        <v>668.56</v>
      </c>
      <c r="W41" s="125">
        <f t="shared" si="21"/>
        <v>701.2103476000001</v>
      </c>
      <c r="X41" s="125"/>
      <c r="Y41" s="25">
        <f t="shared" si="22"/>
        <v>59.22</v>
      </c>
      <c r="Z41" s="25">
        <f t="shared" si="23"/>
        <v>19.740000000000002</v>
      </c>
      <c r="AA41" s="25">
        <f t="shared" si="24"/>
        <v>98.7</v>
      </c>
      <c r="AB41" s="25">
        <v>0</v>
      </c>
      <c r="AC41" s="25">
        <f t="shared" si="32"/>
        <v>96.726</v>
      </c>
      <c r="AD41" s="25">
        <v>0</v>
      </c>
      <c r="AE41" s="25">
        <f t="shared" si="25"/>
        <v>222.07500000000002</v>
      </c>
      <c r="AF41" s="25">
        <v>0</v>
      </c>
      <c r="AG41" s="25"/>
      <c r="AH41" s="25"/>
      <c r="AI41" s="126"/>
      <c r="AJ41" s="126"/>
      <c r="AK41" s="82"/>
      <c r="AL41" s="82"/>
      <c r="AM41" s="82"/>
      <c r="AN41" s="128">
        <v>514</v>
      </c>
      <c r="AO41" s="129">
        <v>0</v>
      </c>
      <c r="AP41" s="25">
        <f t="shared" si="26"/>
        <v>0</v>
      </c>
      <c r="AQ41" s="130"/>
      <c r="AR41" s="130">
        <f t="shared" si="27"/>
        <v>0</v>
      </c>
      <c r="AS41" s="130">
        <f t="shared" si="34"/>
        <v>496.461</v>
      </c>
      <c r="AT41" s="131"/>
      <c r="AU41" s="84">
        <f t="shared" si="29"/>
        <v>496.461</v>
      </c>
      <c r="AV41" s="183">
        <f>(W41-AS41)+(X41-AT41)</f>
        <v>204.74934760000008</v>
      </c>
      <c r="AW41" s="182">
        <f t="shared" si="33"/>
        <v>-149.5100000000001</v>
      </c>
    </row>
    <row r="42" spans="1:49" s="24" customFormat="1" ht="12.75" hidden="1">
      <c r="A42" s="19" t="s">
        <v>3</v>
      </c>
      <c r="B42" s="20"/>
      <c r="C42" s="20">
        <f aca="true" t="shared" si="35" ref="C42:AW42">SUM(C30:C41)</f>
        <v>10424.115000000002</v>
      </c>
      <c r="D42" s="20">
        <f t="shared" si="35"/>
        <v>1705.946620090001</v>
      </c>
      <c r="E42" s="20">
        <f t="shared" si="35"/>
        <v>1002.6</v>
      </c>
      <c r="F42" s="20">
        <f t="shared" si="35"/>
        <v>0</v>
      </c>
      <c r="G42" s="20">
        <f t="shared" si="35"/>
        <v>1356.07</v>
      </c>
      <c r="H42" s="20">
        <f t="shared" si="35"/>
        <v>0</v>
      </c>
      <c r="I42" s="20">
        <f t="shared" si="35"/>
        <v>3261.0500000000006</v>
      </c>
      <c r="J42" s="20">
        <f t="shared" si="35"/>
        <v>0</v>
      </c>
      <c r="K42" s="20">
        <f t="shared" si="35"/>
        <v>2258.4499999999994</v>
      </c>
      <c r="L42" s="20">
        <f t="shared" si="35"/>
        <v>0</v>
      </c>
      <c r="M42" s="20">
        <f t="shared" si="35"/>
        <v>802.08</v>
      </c>
      <c r="N42" s="20">
        <f t="shared" si="35"/>
        <v>0</v>
      </c>
      <c r="O42" s="20">
        <f t="shared" si="35"/>
        <v>8680.249999999998</v>
      </c>
      <c r="P42" s="20">
        <f t="shared" si="35"/>
        <v>0</v>
      </c>
      <c r="Q42" s="20">
        <f t="shared" si="35"/>
        <v>544.4000000000001</v>
      </c>
      <c r="R42" s="20">
        <f t="shared" si="35"/>
        <v>1043.09</v>
      </c>
      <c r="S42" s="20">
        <f t="shared" si="35"/>
        <v>2507.6400000000003</v>
      </c>
      <c r="T42" s="20">
        <f t="shared" si="35"/>
        <v>1736.8400000000001</v>
      </c>
      <c r="U42" s="20">
        <f t="shared" si="35"/>
        <v>616.64</v>
      </c>
      <c r="V42" s="20">
        <f t="shared" si="35"/>
        <v>6448.609999999999</v>
      </c>
      <c r="W42" s="20">
        <f t="shared" si="35"/>
        <v>8154.556620090001</v>
      </c>
      <c r="X42" s="20">
        <f t="shared" si="35"/>
        <v>0</v>
      </c>
      <c r="Y42" s="20">
        <f t="shared" si="35"/>
        <v>723.0600000000001</v>
      </c>
      <c r="Z42" s="20">
        <f t="shared" si="35"/>
        <v>241.02000000000004</v>
      </c>
      <c r="AA42" s="20">
        <f t="shared" si="35"/>
        <v>1205.1000000000001</v>
      </c>
      <c r="AB42" s="20">
        <f t="shared" si="35"/>
        <v>0</v>
      </c>
      <c r="AC42" s="20">
        <f t="shared" si="35"/>
        <v>1180.998</v>
      </c>
      <c r="AD42" s="20">
        <f t="shared" si="35"/>
        <v>0</v>
      </c>
      <c r="AE42" s="20">
        <f t="shared" si="35"/>
        <v>2711.4749999999995</v>
      </c>
      <c r="AF42" s="20">
        <f t="shared" si="35"/>
        <v>0</v>
      </c>
      <c r="AG42" s="20">
        <f t="shared" si="35"/>
        <v>0</v>
      </c>
      <c r="AH42" s="20">
        <f t="shared" si="35"/>
        <v>0</v>
      </c>
      <c r="AI42" s="166">
        <f t="shared" si="35"/>
        <v>0</v>
      </c>
      <c r="AJ42" s="166">
        <f t="shared" si="35"/>
        <v>0</v>
      </c>
      <c r="AK42" s="21">
        <f t="shared" si="35"/>
        <v>0</v>
      </c>
      <c r="AL42" s="21">
        <f t="shared" si="35"/>
        <v>47.8</v>
      </c>
      <c r="AM42" s="21">
        <f t="shared" si="35"/>
        <v>0</v>
      </c>
      <c r="AN42" s="20">
        <f t="shared" si="35"/>
        <v>4400</v>
      </c>
      <c r="AO42" s="20">
        <f t="shared" si="35"/>
        <v>0</v>
      </c>
      <c r="AP42" s="20">
        <f t="shared" si="35"/>
        <v>0</v>
      </c>
      <c r="AQ42" s="20">
        <f t="shared" si="35"/>
        <v>0</v>
      </c>
      <c r="AR42" s="20">
        <f t="shared" si="35"/>
        <v>0</v>
      </c>
      <c r="AS42" s="20">
        <f t="shared" si="35"/>
        <v>6109.453000000001</v>
      </c>
      <c r="AT42" s="20">
        <f t="shared" si="35"/>
        <v>0</v>
      </c>
      <c r="AU42" s="20">
        <f t="shared" si="35"/>
        <v>6109.453000000001</v>
      </c>
      <c r="AV42" s="20">
        <f t="shared" si="35"/>
        <v>2045.1036200900007</v>
      </c>
      <c r="AW42" s="167">
        <f t="shared" si="35"/>
        <v>-2231.640000000001</v>
      </c>
    </row>
    <row r="43" spans="1:49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  <c r="S43" s="22"/>
      <c r="T43" s="22"/>
      <c r="U43" s="22"/>
      <c r="V43" s="22"/>
      <c r="W43" s="22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80"/>
      <c r="AI43" s="168"/>
      <c r="AJ43" s="168"/>
      <c r="AK43" s="80"/>
      <c r="AL43" s="80"/>
      <c r="AM43" s="80"/>
      <c r="AN43" s="23"/>
      <c r="AO43" s="23"/>
      <c r="AP43" s="169"/>
      <c r="AQ43" s="59"/>
      <c r="AR43" s="59"/>
      <c r="AS43" s="59"/>
      <c r="AT43" s="59"/>
      <c r="AU43" s="59"/>
      <c r="AV43" s="59"/>
      <c r="AW43" s="170"/>
    </row>
    <row r="44" spans="1:49" s="24" customFormat="1" ht="13.5" thickBot="1">
      <c r="A44" s="26" t="s">
        <v>46</v>
      </c>
      <c r="B44" s="27"/>
      <c r="C44" s="27">
        <f>C28+C42</f>
        <v>23632.665</v>
      </c>
      <c r="D44" s="27">
        <f aca="true" t="shared" si="36" ref="D44:AW44">D28+D42</f>
        <v>6453.610022790002</v>
      </c>
      <c r="E44" s="27">
        <f t="shared" si="36"/>
        <v>1897.21</v>
      </c>
      <c r="F44" s="27">
        <f t="shared" si="36"/>
        <v>94.32</v>
      </c>
      <c r="G44" s="27">
        <f t="shared" si="36"/>
        <v>2565.88</v>
      </c>
      <c r="H44" s="27">
        <f t="shared" si="36"/>
        <v>127.34</v>
      </c>
      <c r="I44" s="27">
        <f t="shared" si="36"/>
        <v>6170.2300000000005</v>
      </c>
      <c r="J44" s="27">
        <f t="shared" si="36"/>
        <v>306.53999999999996</v>
      </c>
      <c r="K44" s="27">
        <f t="shared" si="36"/>
        <v>4273.099999999999</v>
      </c>
      <c r="L44" s="27">
        <f t="shared" si="36"/>
        <v>212.22</v>
      </c>
      <c r="M44" s="27">
        <f t="shared" si="36"/>
        <v>1517.7600000000002</v>
      </c>
      <c r="N44" s="27">
        <f t="shared" si="36"/>
        <v>75.45</v>
      </c>
      <c r="O44" s="27">
        <f t="shared" si="36"/>
        <v>16424.18</v>
      </c>
      <c r="P44" s="27">
        <f t="shared" si="36"/>
        <v>815.8699999999999</v>
      </c>
      <c r="Q44" s="27">
        <f t="shared" si="36"/>
        <v>2422.09</v>
      </c>
      <c r="R44" s="27">
        <f t="shared" si="36"/>
        <v>2198.3599999999997</v>
      </c>
      <c r="S44" s="27">
        <f t="shared" si="36"/>
        <v>5286.76</v>
      </c>
      <c r="T44" s="27">
        <f t="shared" si="36"/>
        <v>3661.3300000000004</v>
      </c>
      <c r="U44" s="27">
        <f t="shared" si="36"/>
        <v>1300.3899999999999</v>
      </c>
      <c r="V44" s="27">
        <f t="shared" si="36"/>
        <v>14868.929999999998</v>
      </c>
      <c r="W44" s="27">
        <f t="shared" si="36"/>
        <v>22138.410022790005</v>
      </c>
      <c r="X44" s="27">
        <f t="shared" si="36"/>
        <v>0</v>
      </c>
      <c r="Y44" s="27">
        <f t="shared" si="36"/>
        <v>1614.8280000000002</v>
      </c>
      <c r="Z44" s="27">
        <f t="shared" si="36"/>
        <v>541.1498376000001</v>
      </c>
      <c r="AA44" s="27">
        <f t="shared" si="36"/>
        <v>2458.6363124</v>
      </c>
      <c r="AB44" s="27">
        <f t="shared" si="36"/>
        <v>225.636536232</v>
      </c>
      <c r="AC44" s="27">
        <f t="shared" si="36"/>
        <v>2395.07394164</v>
      </c>
      <c r="AD44" s="27">
        <f t="shared" si="36"/>
        <v>218.53366949520003</v>
      </c>
      <c r="AE44" s="27">
        <f t="shared" si="36"/>
        <v>5393.671379179999</v>
      </c>
      <c r="AF44" s="27">
        <f t="shared" si="36"/>
        <v>482.7953482523999</v>
      </c>
      <c r="AG44" s="27">
        <f t="shared" si="36"/>
        <v>0</v>
      </c>
      <c r="AH44" s="27">
        <f t="shared" si="36"/>
        <v>0</v>
      </c>
      <c r="AI44" s="171">
        <f t="shared" si="36"/>
        <v>0</v>
      </c>
      <c r="AJ44" s="171">
        <f t="shared" si="36"/>
        <v>0</v>
      </c>
      <c r="AK44" s="172">
        <f t="shared" si="36"/>
        <v>275.3</v>
      </c>
      <c r="AL44" s="172">
        <f t="shared" si="36"/>
        <v>47.8</v>
      </c>
      <c r="AM44" s="172">
        <f t="shared" si="36"/>
        <v>49.554</v>
      </c>
      <c r="AN44" s="27">
        <f t="shared" si="36"/>
        <v>8800</v>
      </c>
      <c r="AO44" s="27">
        <f t="shared" si="36"/>
        <v>0</v>
      </c>
      <c r="AP44" s="27">
        <f t="shared" si="36"/>
        <v>0</v>
      </c>
      <c r="AQ44" s="27">
        <f t="shared" si="36"/>
        <v>0</v>
      </c>
      <c r="AR44" s="27">
        <f t="shared" si="36"/>
        <v>0</v>
      </c>
      <c r="AS44" s="27">
        <f t="shared" si="36"/>
        <v>13702.979024799602</v>
      </c>
      <c r="AT44" s="27">
        <f t="shared" si="36"/>
        <v>0</v>
      </c>
      <c r="AU44" s="27">
        <f t="shared" si="36"/>
        <v>13702.979024799602</v>
      </c>
      <c r="AV44" s="27">
        <f t="shared" si="36"/>
        <v>8435.4309979904</v>
      </c>
      <c r="AW44" s="27">
        <f t="shared" si="36"/>
        <v>-1555.250000000001</v>
      </c>
    </row>
  </sheetData>
  <sheetProtection/>
  <mergeCells count="56">
    <mergeCell ref="AV3:AV6"/>
    <mergeCell ref="AW3:AW6"/>
    <mergeCell ref="AT4:AT6"/>
    <mergeCell ref="AU4:AU6"/>
    <mergeCell ref="AT3:AU3"/>
    <mergeCell ref="AN5:AP5"/>
    <mergeCell ref="AQ5:AQ6"/>
    <mergeCell ref="AR5:AR6"/>
    <mergeCell ref="AS5:AS6"/>
    <mergeCell ref="AL5:AL6"/>
    <mergeCell ref="AC5:AC6"/>
    <mergeCell ref="AD5:AD6"/>
    <mergeCell ref="E3:F4"/>
    <mergeCell ref="G3:H4"/>
    <mergeCell ref="I3:J4"/>
    <mergeCell ref="K3:L4"/>
    <mergeCell ref="M3:N4"/>
    <mergeCell ref="X3:X6"/>
    <mergeCell ref="Y3:AS4"/>
    <mergeCell ref="V5:V6"/>
    <mergeCell ref="AG5:AG6"/>
    <mergeCell ref="AH5:AH6"/>
    <mergeCell ref="W3:W6"/>
    <mergeCell ref="O3:P4"/>
    <mergeCell ref="Q3:V4"/>
    <mergeCell ref="S5:S6"/>
    <mergeCell ref="AJ5:AJ6"/>
    <mergeCell ref="Y5:Y6"/>
    <mergeCell ref="Z5:Z6"/>
    <mergeCell ref="AA5:AA6"/>
    <mergeCell ref="AB5:AB6"/>
    <mergeCell ref="G5:G6"/>
    <mergeCell ref="H5:H6"/>
    <mergeCell ref="P5:P6"/>
    <mergeCell ref="Q5:Q6"/>
    <mergeCell ref="R5:R6"/>
    <mergeCell ref="AK5:AK6"/>
    <mergeCell ref="J5:J6"/>
    <mergeCell ref="K5:K6"/>
    <mergeCell ref="L5:L6"/>
    <mergeCell ref="O5:O6"/>
    <mergeCell ref="AI5:AI6"/>
    <mergeCell ref="AE5:AE6"/>
    <mergeCell ref="AF5:AF6"/>
    <mergeCell ref="T5:T6"/>
    <mergeCell ref="U5:U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5">
      <selection activeCell="I3" sqref="I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8" t="s">
        <v>47</v>
      </c>
    </row>
    <row r="2" ht="18.75">
      <c r="E2" s="28" t="s">
        <v>48</v>
      </c>
    </row>
    <row r="6" spans="1:16" ht="12.75">
      <c r="A6" s="348" t="s">
        <v>72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12.75">
      <c r="A7" s="93" t="s">
        <v>88</v>
      </c>
      <c r="B7" s="93"/>
      <c r="C7" s="93"/>
      <c r="D7" s="93"/>
      <c r="E7" s="93"/>
      <c r="F7" s="93"/>
      <c r="G7" s="93"/>
      <c r="H7" s="92"/>
      <c r="I7" s="92"/>
      <c r="J7" s="92"/>
      <c r="K7" s="92"/>
      <c r="L7" s="92"/>
      <c r="M7" s="92"/>
      <c r="N7" s="92"/>
      <c r="O7" s="92"/>
      <c r="P7" s="92"/>
    </row>
    <row r="8" spans="1:16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5" ht="13.5" thickBot="1">
      <c r="A9" s="30" t="s">
        <v>49</v>
      </c>
      <c r="D9" s="4"/>
      <c r="E9" s="30">
        <v>8.65</v>
      </c>
    </row>
    <row r="10" spans="1:17" ht="12.75" customHeight="1">
      <c r="A10" s="349" t="s">
        <v>50</v>
      </c>
      <c r="B10" s="352" t="s">
        <v>0</v>
      </c>
      <c r="C10" s="355" t="s">
        <v>51</v>
      </c>
      <c r="D10" s="358" t="s">
        <v>2</v>
      </c>
      <c r="E10" s="379" t="s">
        <v>52</v>
      </c>
      <c r="F10" s="324"/>
      <c r="G10" s="346" t="s">
        <v>68</v>
      </c>
      <c r="H10" s="346"/>
      <c r="I10" s="382" t="s">
        <v>6</v>
      </c>
      <c r="J10" s="383"/>
      <c r="K10" s="383"/>
      <c r="L10" s="383"/>
      <c r="M10" s="383"/>
      <c r="N10" s="384"/>
      <c r="O10" s="385"/>
      <c r="P10" s="371" t="s">
        <v>53</v>
      </c>
      <c r="Q10" s="371" t="s">
        <v>8</v>
      </c>
    </row>
    <row r="11" spans="1:17" ht="12.75">
      <c r="A11" s="350"/>
      <c r="B11" s="353"/>
      <c r="C11" s="356"/>
      <c r="D11" s="359"/>
      <c r="E11" s="380"/>
      <c r="F11" s="381"/>
      <c r="G11" s="347"/>
      <c r="H11" s="347"/>
      <c r="I11" s="386"/>
      <c r="J11" s="387"/>
      <c r="K11" s="387"/>
      <c r="L11" s="387"/>
      <c r="M11" s="387"/>
      <c r="N11" s="388"/>
      <c r="O11" s="389"/>
      <c r="P11" s="372"/>
      <c r="Q11" s="372"/>
    </row>
    <row r="12" spans="1:17" ht="26.25" customHeight="1">
      <c r="A12" s="350"/>
      <c r="B12" s="353"/>
      <c r="C12" s="356"/>
      <c r="D12" s="359"/>
      <c r="E12" s="374" t="s">
        <v>54</v>
      </c>
      <c r="F12" s="327"/>
      <c r="G12" s="32" t="s">
        <v>55</v>
      </c>
      <c r="H12" s="375" t="s">
        <v>5</v>
      </c>
      <c r="I12" s="377" t="s">
        <v>56</v>
      </c>
      <c r="J12" s="366" t="s">
        <v>24</v>
      </c>
      <c r="K12" s="366" t="s">
        <v>57</v>
      </c>
      <c r="L12" s="366" t="s">
        <v>29</v>
      </c>
      <c r="M12" s="366" t="s">
        <v>58</v>
      </c>
      <c r="N12" s="367" t="s">
        <v>30</v>
      </c>
      <c r="O12" s="369" t="s">
        <v>31</v>
      </c>
      <c r="P12" s="372"/>
      <c r="Q12" s="372"/>
    </row>
    <row r="13" spans="1:17" ht="66.75" customHeight="1" thickBot="1">
      <c r="A13" s="351"/>
      <c r="B13" s="354"/>
      <c r="C13" s="357"/>
      <c r="D13" s="360"/>
      <c r="E13" s="33" t="s">
        <v>59</v>
      </c>
      <c r="F13" s="34" t="s">
        <v>15</v>
      </c>
      <c r="G13" s="35" t="s">
        <v>69</v>
      </c>
      <c r="H13" s="376"/>
      <c r="I13" s="378"/>
      <c r="J13" s="367"/>
      <c r="K13" s="367"/>
      <c r="L13" s="367"/>
      <c r="M13" s="367"/>
      <c r="N13" s="368"/>
      <c r="O13" s="370"/>
      <c r="P13" s="373"/>
      <c r="Q13" s="373"/>
    </row>
    <row r="14" spans="1:17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9</v>
      </c>
      <c r="H14" s="38">
        <v>11</v>
      </c>
      <c r="I14" s="36">
        <v>12</v>
      </c>
      <c r="J14" s="37">
        <v>13</v>
      </c>
      <c r="K14" s="37">
        <v>14</v>
      </c>
      <c r="L14" s="37">
        <v>15</v>
      </c>
      <c r="M14" s="37">
        <v>16</v>
      </c>
      <c r="N14" s="37">
        <v>17</v>
      </c>
      <c r="O14" s="39">
        <v>18</v>
      </c>
      <c r="P14" s="41">
        <v>19</v>
      </c>
      <c r="Q14" s="41">
        <v>20</v>
      </c>
    </row>
    <row r="15" spans="1:17" ht="12.75">
      <c r="A15" s="8" t="s">
        <v>32</v>
      </c>
      <c r="B15" s="9"/>
      <c r="C15" s="31"/>
      <c r="D15" s="8"/>
      <c r="E15" s="9"/>
      <c r="F15" s="10"/>
      <c r="G15" s="42"/>
      <c r="H15" s="31"/>
      <c r="I15" s="8"/>
      <c r="J15" s="9"/>
      <c r="K15" s="9"/>
      <c r="L15" s="9"/>
      <c r="M15" s="9"/>
      <c r="N15" s="31"/>
      <c r="O15" s="10"/>
      <c r="P15" s="43"/>
      <c r="Q15" s="44"/>
    </row>
    <row r="16" spans="1:19" ht="12.75">
      <c r="A16" s="13" t="s">
        <v>33</v>
      </c>
      <c r="B16" s="14">
        <f>Лист1!B9</f>
        <v>101.8</v>
      </c>
      <c r="C16" s="45">
        <f>Лист1!C9</f>
        <v>880.57</v>
      </c>
      <c r="D16" s="46">
        <f>Лист1!D9</f>
        <v>211.11170160000003</v>
      </c>
      <c r="E16" s="16">
        <f>Лист1!O9</f>
        <v>636.66</v>
      </c>
      <c r="F16" s="18">
        <f>Лист1!P9</f>
        <v>114.17999999999999</v>
      </c>
      <c r="G16" s="47">
        <f>Лист1!V9</f>
        <v>0</v>
      </c>
      <c r="H16" s="47">
        <f>Лист1!W9</f>
        <v>325.2917016</v>
      </c>
      <c r="I16" s="48">
        <f>Лист1!Y9</f>
        <v>61.08</v>
      </c>
      <c r="J16" s="16">
        <f>Лист1!AA9+Лист1!AB9</f>
        <v>101.8171024</v>
      </c>
      <c r="K16" s="16">
        <f>Лист1!Z9+Лист1!AC9+Лист1!AD9+Лист1!AE9+Лист1!AF9+Лист1!AG9+Лист1!AH9+Лист1!AI9+Лист1!AJ9</f>
        <v>289.60618300999994</v>
      </c>
      <c r="L16" s="17">
        <f>Лист1!AK9+Лист1!AL9+Лист1!AM9</f>
        <v>0</v>
      </c>
      <c r="M16" s="17">
        <f>Лист1!AP9</f>
        <v>0</v>
      </c>
      <c r="N16" s="49">
        <f>Лист1!AQ9</f>
        <v>0</v>
      </c>
      <c r="O16" s="18">
        <f>Лист1!AS9</f>
        <v>452.50328541</v>
      </c>
      <c r="P16" s="50">
        <f>Лист1!AV9</f>
        <v>-127.21158380999998</v>
      </c>
      <c r="Q16" s="50">
        <f>Лист1!AW9</f>
        <v>-636.66</v>
      </c>
      <c r="R16" s="1"/>
      <c r="S16" s="1"/>
    </row>
    <row r="17" spans="1:19" ht="12.75">
      <c r="A17" s="13" t="s">
        <v>34</v>
      </c>
      <c r="B17" s="14">
        <f>Лист1!B10</f>
        <v>101.8</v>
      </c>
      <c r="C17" s="45">
        <f>Лист1!C10</f>
        <v>880.57</v>
      </c>
      <c r="D17" s="46">
        <f>Лист1!D10</f>
        <v>211.11170160000003</v>
      </c>
      <c r="E17" s="16">
        <f>Лист1!O10</f>
        <v>636.66</v>
      </c>
      <c r="F17" s="18">
        <f>Лист1!P10</f>
        <v>114.17999999999999</v>
      </c>
      <c r="G17" s="47">
        <f>Лист1!V10</f>
        <v>476.34</v>
      </c>
      <c r="H17" s="47">
        <f>Лист1!W10</f>
        <v>801.6317016</v>
      </c>
      <c r="I17" s="48">
        <f>Лист1!Y10</f>
        <v>61.08</v>
      </c>
      <c r="J17" s="16">
        <f>Лист1!AA10+Лист1!AB10</f>
        <v>101.8171024</v>
      </c>
      <c r="K17" s="16">
        <f>Лист1!Z10+Лист1!AC10+Лист1!AD10+Лист1!AE10+Лист1!AF10+Лист1!AG10+Лист1!AH10+Лист1!AI10+Лист1!AJ10</f>
        <v>288.52180940999995</v>
      </c>
      <c r="L17" s="17">
        <f>Лист1!AK10+Лист1!AL10+Лист1!AM10</f>
        <v>0</v>
      </c>
      <c r="M17" s="17">
        <f>Лист1!AP10</f>
        <v>0</v>
      </c>
      <c r="N17" s="49">
        <f>Лист1!AQ10</f>
        <v>0</v>
      </c>
      <c r="O17" s="18">
        <f>Лист1!AS10</f>
        <v>451.41891180999994</v>
      </c>
      <c r="P17" s="50">
        <f>Лист1!AV10</f>
        <v>350.2127897900001</v>
      </c>
      <c r="Q17" s="50">
        <f>Лист1!AW10</f>
        <v>-160.32</v>
      </c>
      <c r="R17" s="1"/>
      <c r="S17" s="1"/>
    </row>
    <row r="18" spans="1:19" ht="13.5" thickBot="1">
      <c r="A18" s="51" t="s">
        <v>35</v>
      </c>
      <c r="B18" s="14">
        <f>Лист1!B11</f>
        <v>101.8</v>
      </c>
      <c r="C18" s="45">
        <f>Лист1!C11</f>
        <v>880.57</v>
      </c>
      <c r="D18" s="46">
        <f>Лист1!D11</f>
        <v>212.6449995</v>
      </c>
      <c r="E18" s="16">
        <f>Лист1!O11</f>
        <v>631.5699999999999</v>
      </c>
      <c r="F18" s="18">
        <f>Лист1!P11</f>
        <v>114.17999999999999</v>
      </c>
      <c r="G18" s="47">
        <f>Лист1!V11</f>
        <v>794.81</v>
      </c>
      <c r="H18" s="47">
        <f>Лист1!W11</f>
        <v>1121.6349995</v>
      </c>
      <c r="I18" s="48">
        <f>Лист1!Y11</f>
        <v>61.08</v>
      </c>
      <c r="J18" s="16">
        <f>Лист1!AA11+Лист1!AB11</f>
        <v>101.8171024</v>
      </c>
      <c r="K18" s="16">
        <f>Лист1!Z11+Лист1!AC11+Лист1!AD11+Лист1!AE11+Лист1!AF11+Лист1!AG11+Лист1!AH11+Лист1!AI11+Лист1!AJ11</f>
        <v>288.93389580999997</v>
      </c>
      <c r="L18" s="17">
        <f>Лист1!AK11+Лист1!AL11+Лист1!AM11</f>
        <v>324.85400000000004</v>
      </c>
      <c r="M18" s="17">
        <f>Лист1!AP11</f>
        <v>0</v>
      </c>
      <c r="N18" s="49">
        <f>Лист1!AQ11</f>
        <v>0</v>
      </c>
      <c r="O18" s="18">
        <f>Лист1!AS11</f>
        <v>776.6849982099999</v>
      </c>
      <c r="P18" s="50">
        <f>Лист1!AV11</f>
        <v>344.95000129000016</v>
      </c>
      <c r="Q18" s="50">
        <f>Лист1!AW11</f>
        <v>163.24</v>
      </c>
      <c r="R18" s="1"/>
      <c r="S18" s="1"/>
    </row>
    <row r="19" spans="1:19" s="24" customFormat="1" ht="13.5" thickBot="1">
      <c r="A19" s="52" t="s">
        <v>3</v>
      </c>
      <c r="B19" s="53"/>
      <c r="C19" s="58">
        <f aca="true" t="shared" si="0" ref="C19:P19">SUM(C16:C18)</f>
        <v>2641.71</v>
      </c>
      <c r="D19" s="58">
        <f t="shared" si="0"/>
        <v>634.8684027</v>
      </c>
      <c r="E19" s="58">
        <f t="shared" si="0"/>
        <v>1904.8899999999999</v>
      </c>
      <c r="F19" s="58">
        <f t="shared" si="0"/>
        <v>342.53999999999996</v>
      </c>
      <c r="G19" s="58">
        <f t="shared" si="0"/>
        <v>1271.1499999999999</v>
      </c>
      <c r="H19" s="58">
        <f t="shared" si="0"/>
        <v>2248.5584027</v>
      </c>
      <c r="I19" s="58">
        <f t="shared" si="0"/>
        <v>183.24</v>
      </c>
      <c r="J19" s="58">
        <f t="shared" si="0"/>
        <v>305.4513072</v>
      </c>
      <c r="K19" s="58">
        <f t="shared" si="0"/>
        <v>867.0618882299998</v>
      </c>
      <c r="L19" s="58">
        <f t="shared" si="0"/>
        <v>324.85400000000004</v>
      </c>
      <c r="M19" s="58">
        <f t="shared" si="0"/>
        <v>0</v>
      </c>
      <c r="N19" s="58">
        <f t="shared" si="0"/>
        <v>0</v>
      </c>
      <c r="O19" s="58">
        <f t="shared" si="0"/>
        <v>1680.6071954299998</v>
      </c>
      <c r="P19" s="58">
        <f t="shared" si="0"/>
        <v>567.9512072700003</v>
      </c>
      <c r="Q19" s="58">
        <f>SUM(Q16:Q18)</f>
        <v>-633.74</v>
      </c>
      <c r="R19" s="59"/>
      <c r="S19" s="59"/>
    </row>
    <row r="20" spans="1:19" ht="12.75">
      <c r="A20" s="8" t="s">
        <v>36</v>
      </c>
      <c r="B20" s="75"/>
      <c r="C20" s="60"/>
      <c r="D20" s="61"/>
      <c r="E20" s="62"/>
      <c r="F20" s="63"/>
      <c r="G20" s="64"/>
      <c r="H20" s="64"/>
      <c r="I20" s="65"/>
      <c r="J20" s="62"/>
      <c r="K20" s="62"/>
      <c r="L20" s="76"/>
      <c r="M20" s="76"/>
      <c r="N20" s="77"/>
      <c r="O20" s="63"/>
      <c r="P20" s="78"/>
      <c r="Q20" s="78"/>
      <c r="R20" s="1"/>
      <c r="S20" s="1"/>
    </row>
    <row r="21" spans="1:19" ht="12.75">
      <c r="A21" s="13" t="s">
        <v>37</v>
      </c>
      <c r="B21" s="14">
        <f>Лист1!B14</f>
        <v>101.8</v>
      </c>
      <c r="C21" s="45">
        <f>Лист1!C14</f>
        <v>880.57</v>
      </c>
      <c r="D21" s="46">
        <f>Лист1!D14</f>
        <v>110.07125</v>
      </c>
      <c r="E21" s="16">
        <f>Лист1!O14</f>
        <v>620.9</v>
      </c>
      <c r="F21" s="18">
        <f>Лист1!P14</f>
        <v>114.17999999999999</v>
      </c>
      <c r="G21" s="47">
        <f>Лист1!V14</f>
        <v>631.42</v>
      </c>
      <c r="H21" s="47">
        <f>Лист1!W14</f>
        <v>855.67125</v>
      </c>
      <c r="I21" s="48">
        <f>Лист1!Y14</f>
        <v>54.972</v>
      </c>
      <c r="J21" s="16">
        <f>Лист1!AA14+Лист1!AB14</f>
        <v>90.39550008</v>
      </c>
      <c r="K21" s="16">
        <f>Лист1!Z14+Лист1!AC14+Лист1!AD14+Лист1!AE14+Лист1!AF14+Лист1!AG14+Лист1!AH14+Лист1!AI14+Лист1!AJ14</f>
        <v>310.10383512</v>
      </c>
      <c r="L21" s="17">
        <f>Лист1!AK14+Лист1!AL14+Лист1!AM14</f>
        <v>0</v>
      </c>
      <c r="M21" s="17">
        <f>Лист1!AP14</f>
        <v>0</v>
      </c>
      <c r="N21" s="49">
        <f>Лист1!AQ14</f>
        <v>0</v>
      </c>
      <c r="O21" s="18">
        <f>Лист1!AS14</f>
        <v>455.4713352</v>
      </c>
      <c r="P21" s="50">
        <f>Лист1!AV14</f>
        <v>400.1999148</v>
      </c>
      <c r="Q21" s="50">
        <f>Лист1!AW14</f>
        <v>10.519999999999982</v>
      </c>
      <c r="R21" s="1"/>
      <c r="S21" s="1"/>
    </row>
    <row r="22" spans="1:19" ht="12.75">
      <c r="A22" s="13" t="s">
        <v>38</v>
      </c>
      <c r="B22" s="14">
        <f>Лист1!B15</f>
        <v>101.8</v>
      </c>
      <c r="C22" s="45">
        <f>Лист1!C15</f>
        <v>880.57</v>
      </c>
      <c r="D22" s="46">
        <f>Лист1!D15</f>
        <v>110.07125</v>
      </c>
      <c r="E22" s="16">
        <f>Лист1!O15</f>
        <v>620.9</v>
      </c>
      <c r="F22" s="18">
        <f>Лист1!P15</f>
        <v>114.17999999999999</v>
      </c>
      <c r="G22" s="47">
        <f>Лист1!V15</f>
        <v>621.43</v>
      </c>
      <c r="H22" s="47">
        <f>Лист1!W15</f>
        <v>845.68125</v>
      </c>
      <c r="I22" s="48">
        <f>Лист1!Y15</f>
        <v>54.972</v>
      </c>
      <c r="J22" s="16">
        <f>Лист1!AA15+Лист1!AB15</f>
        <v>90.39391062</v>
      </c>
      <c r="K22" s="16">
        <f>Лист1!Z15+Лист1!AC15+Лист1!AD15+Лист1!AE15+Лист1!AF15+Лист1!AG15+Лист1!AH15+Лист1!AI15+Лист1!AJ15</f>
        <v>314.859256</v>
      </c>
      <c r="L22" s="17">
        <f>Лист1!AK15+Лист1!AL15+Лист1!AM15</f>
        <v>0</v>
      </c>
      <c r="M22" s="17">
        <f>Лист1!AP15</f>
        <v>0</v>
      </c>
      <c r="N22" s="49">
        <f>Лист1!AQ15</f>
        <v>0</v>
      </c>
      <c r="O22" s="18">
        <f>Лист1!AS15</f>
        <v>460.22516662000004</v>
      </c>
      <c r="P22" s="50">
        <f>Лист1!AV15</f>
        <v>385.45608337999994</v>
      </c>
      <c r="Q22" s="50">
        <f>Лист1!AW15</f>
        <v>0.5299999999999727</v>
      </c>
      <c r="R22" s="1"/>
      <c r="S22" s="1"/>
    </row>
    <row r="23" spans="1:19" ht="12.75">
      <c r="A23" s="13" t="s">
        <v>39</v>
      </c>
      <c r="B23" s="14">
        <f>Лист1!B16</f>
        <v>101.8</v>
      </c>
      <c r="C23" s="45">
        <f>Лист1!C16</f>
        <v>880.57</v>
      </c>
      <c r="D23" s="46">
        <f>Лист1!D16</f>
        <v>110.07125</v>
      </c>
      <c r="E23" s="16">
        <f>Лист1!O16</f>
        <v>620.9</v>
      </c>
      <c r="F23" s="18">
        <f>Лист1!P16</f>
        <v>114.17999999999999</v>
      </c>
      <c r="G23" s="47">
        <f>Лист1!V16</f>
        <v>620.5699999999999</v>
      </c>
      <c r="H23" s="47">
        <f>Лист1!W16</f>
        <v>844.82125</v>
      </c>
      <c r="I23" s="48">
        <f>Лист1!Y16</f>
        <v>54.972</v>
      </c>
      <c r="J23" s="16">
        <f>Лист1!AA16+Лист1!AB16</f>
        <v>90.96570086</v>
      </c>
      <c r="K23" s="16">
        <f>Лист1!Z16+Лист1!AC16+Лист1!AD16+Лист1!AE16+Лист1!AF16+Лист1!AG16+Лист1!AH16+Лист1!AI16+Лист1!AJ16</f>
        <v>312.311979752</v>
      </c>
      <c r="L23" s="17">
        <f>Лист1!AK16+Лист1!AL16+Лист1!AM16</f>
        <v>0</v>
      </c>
      <c r="M23" s="17">
        <f>Лист1!AP16</f>
        <v>0</v>
      </c>
      <c r="N23" s="49">
        <f>Лист1!AQ16</f>
        <v>0</v>
      </c>
      <c r="O23" s="18">
        <f>Лист1!AS16</f>
        <v>458.2496806120001</v>
      </c>
      <c r="P23" s="50">
        <f>Лист1!AV16</f>
        <v>386.5715693879999</v>
      </c>
      <c r="Q23" s="50">
        <f>Лист1!AW16</f>
        <v>-0.3300000000000409</v>
      </c>
      <c r="R23" s="1"/>
      <c r="S23" s="1"/>
    </row>
    <row r="24" spans="1:19" ht="12.75">
      <c r="A24" s="13" t="s">
        <v>40</v>
      </c>
      <c r="B24" s="14">
        <f>Лист1!B17</f>
        <v>101.8</v>
      </c>
      <c r="C24" s="45">
        <f>Лист1!C17</f>
        <v>880.57</v>
      </c>
      <c r="D24" s="46">
        <f>Лист1!D17</f>
        <v>110.07125</v>
      </c>
      <c r="E24" s="16">
        <f>Лист1!O17</f>
        <v>620.9</v>
      </c>
      <c r="F24" s="18">
        <f>Лист1!P17</f>
        <v>114.17999999999999</v>
      </c>
      <c r="G24" s="47">
        <f>Лист1!V17</f>
        <v>620.54</v>
      </c>
      <c r="H24" s="47">
        <f>Лист1!W17</f>
        <v>844.79125</v>
      </c>
      <c r="I24" s="48">
        <f>Лист1!Y17</f>
        <v>54.972</v>
      </c>
      <c r="J24" s="16">
        <f>Лист1!AA17+Лист1!AB17</f>
        <v>90.96570086</v>
      </c>
      <c r="K24" s="16">
        <f>Лист1!Z17+Лист1!AC17+Лист1!AD17+Лист1!AE17+Лист1!AF17+Лист1!AG17+Лист1!AH17+Лист1!AI17+Лист1!AJ17</f>
        <v>312.623487752</v>
      </c>
      <c r="L24" s="17">
        <f>Лист1!AK17+Лист1!AL17+Лист1!AM17</f>
        <v>0</v>
      </c>
      <c r="M24" s="17">
        <f>Лист1!AP17</f>
        <v>0</v>
      </c>
      <c r="N24" s="49">
        <f>Лист1!AQ17</f>
        <v>0</v>
      </c>
      <c r="O24" s="18">
        <f>Лист1!AS17</f>
        <v>458.5611886120001</v>
      </c>
      <c r="P24" s="50">
        <f>Лист1!AV17</f>
        <v>386.2300613879999</v>
      </c>
      <c r="Q24" s="50">
        <f>Лист1!AW17</f>
        <v>-0.36000000000001364</v>
      </c>
      <c r="R24" s="1"/>
      <c r="S24" s="1"/>
    </row>
    <row r="25" spans="1:19" ht="12.75">
      <c r="A25" s="13" t="s">
        <v>41</v>
      </c>
      <c r="B25" s="14">
        <f>Лист1!B18</f>
        <v>101.8</v>
      </c>
      <c r="C25" s="45">
        <f>Лист1!C18</f>
        <v>880.57</v>
      </c>
      <c r="D25" s="46">
        <f>Лист1!D18</f>
        <v>47.060000000000045</v>
      </c>
      <c r="E25" s="16">
        <f>Лист1!O18</f>
        <v>816.9000000000001</v>
      </c>
      <c r="F25" s="18">
        <f>Лист1!P18</f>
        <v>16.61</v>
      </c>
      <c r="G25" s="47">
        <f>Лист1!V18</f>
        <v>621.28</v>
      </c>
      <c r="H25" s="47">
        <f>Лист1!W18</f>
        <v>684.95</v>
      </c>
      <c r="I25" s="48">
        <f>Лист1!Y18</f>
        <v>61.08</v>
      </c>
      <c r="J25" s="16">
        <f>Лист1!AA18+Лист1!AB18</f>
        <v>101.07413546000001</v>
      </c>
      <c r="K25" s="16">
        <f>Лист1!Z18+Лист1!AC18+Лист1!AD18+Лист1!AE18+Лист1!AF18+Лист1!AG18+Лист1!AH18+Лист1!AI18+Лист1!AJ18</f>
        <v>347.0906019199999</v>
      </c>
      <c r="L25" s="17">
        <f>Лист1!AK18+Лист1!AL18+Лист1!AM18</f>
        <v>0</v>
      </c>
      <c r="M25" s="17">
        <f>Лист1!AP18</f>
        <v>0</v>
      </c>
      <c r="N25" s="49">
        <f>Лист1!AQ18</f>
        <v>0</v>
      </c>
      <c r="O25" s="18">
        <f>Лист1!AS18</f>
        <v>509.24473737999995</v>
      </c>
      <c r="P25" s="50">
        <f>Лист1!AV18</f>
        <v>175.7052626200001</v>
      </c>
      <c r="Q25" s="50">
        <f>Лист1!AW18</f>
        <v>-195.62000000000012</v>
      </c>
      <c r="R25" s="1"/>
      <c r="S25" s="1"/>
    </row>
    <row r="26" spans="1:19" ht="12.75">
      <c r="A26" s="13" t="s">
        <v>42</v>
      </c>
      <c r="B26" s="14">
        <f>Лист1!B19</f>
        <v>101.8</v>
      </c>
      <c r="C26" s="45">
        <f>Лист1!C19</f>
        <v>880.57</v>
      </c>
      <c r="D26" s="46">
        <f>Лист1!D19</f>
        <v>43.44000000000014</v>
      </c>
      <c r="E26" s="16">
        <f>Лист1!O19</f>
        <v>837.13</v>
      </c>
      <c r="F26" s="18">
        <f>Лист1!P19</f>
        <v>0</v>
      </c>
      <c r="G26" s="47">
        <f>Лист1!V19</f>
        <v>817.4200000000001</v>
      </c>
      <c r="H26" s="47">
        <f>Лист1!W19</f>
        <v>860.8600000000002</v>
      </c>
      <c r="I26" s="48">
        <f>Лист1!Y19</f>
        <v>61.08</v>
      </c>
      <c r="J26" s="16">
        <f>Лист1!AA19+Лист1!AB19</f>
        <v>100.904640496</v>
      </c>
      <c r="K26" s="16">
        <f>Лист1!Z19+Лист1!AC19+Лист1!AD19+Лист1!AE19+Лист1!AF19+Лист1!AG19+Лист1!AH19+Лист1!AI19+Лист1!AJ19</f>
        <v>346.4968265448</v>
      </c>
      <c r="L26" s="17">
        <f>Лист1!AK19+Лист1!AL19+Лист1!AM19</f>
        <v>0</v>
      </c>
      <c r="M26" s="17">
        <f>Лист1!AP19</f>
        <v>0</v>
      </c>
      <c r="N26" s="49">
        <f>Лист1!AQ19</f>
        <v>0</v>
      </c>
      <c r="O26" s="18">
        <f>Лист1!AS19</f>
        <v>508.48146704079994</v>
      </c>
      <c r="P26" s="50">
        <f>Лист1!AV19</f>
        <v>352.3785329592003</v>
      </c>
      <c r="Q26" s="50">
        <f>Лист1!AW19</f>
        <v>-19.709999999999923</v>
      </c>
      <c r="R26" s="1"/>
      <c r="S26" s="1"/>
    </row>
    <row r="27" spans="1:19" ht="12.75">
      <c r="A27" s="13" t="s">
        <v>43</v>
      </c>
      <c r="B27" s="14">
        <f>Лист1!B20</f>
        <v>101.8</v>
      </c>
      <c r="C27" s="45">
        <f>Лист1!C20</f>
        <v>880.57</v>
      </c>
      <c r="D27" s="46">
        <f>Лист1!D20</f>
        <v>1302.23</v>
      </c>
      <c r="E27" s="16">
        <f>Лист1!O20</f>
        <v>-421.66</v>
      </c>
      <c r="F27" s="18">
        <f>Лист1!P20</f>
        <v>0</v>
      </c>
      <c r="G27" s="47">
        <f>Лист1!V20</f>
        <v>398.35999999999996</v>
      </c>
      <c r="H27" s="47">
        <f>Лист1!W20</f>
        <v>1700.59</v>
      </c>
      <c r="I27" s="48">
        <f>Лист1!Y20</f>
        <v>61.08</v>
      </c>
      <c r="J27" s="16">
        <f>Лист1!AA20+Лист1!AB20</f>
        <v>100.904640496</v>
      </c>
      <c r="K27" s="16">
        <f>Лист1!Z20+Лист1!AC20+Лист1!AD20+Лист1!AE20+Лист1!AF20+Лист1!AG20+Лист1!AH20+Лист1!AI20+Лист1!AJ20</f>
        <v>346.1671981448</v>
      </c>
      <c r="L27" s="17">
        <f>Лист1!AK20+Лист1!AL20+Лист1!AM20</f>
        <v>0</v>
      </c>
      <c r="M27" s="17">
        <f>Лист1!AP20</f>
        <v>0</v>
      </c>
      <c r="N27" s="49">
        <f>Лист1!AQ20</f>
        <v>0</v>
      </c>
      <c r="O27" s="18">
        <f>Лист1!AS20</f>
        <v>508.1518386408</v>
      </c>
      <c r="P27" s="50">
        <f>Лист1!AV20</f>
        <v>1192.4381613592</v>
      </c>
      <c r="Q27" s="50">
        <f>Лист1!AW20</f>
        <v>820.02</v>
      </c>
      <c r="R27" s="1"/>
      <c r="S27" s="1"/>
    </row>
    <row r="28" spans="1:19" ht="12.75">
      <c r="A28" s="13" t="s">
        <v>44</v>
      </c>
      <c r="B28" s="14">
        <f>Лист1!B21</f>
        <v>101.8</v>
      </c>
      <c r="C28" s="45">
        <f>Лист1!C21</f>
        <v>880.57</v>
      </c>
      <c r="D28" s="46">
        <f>Лист1!D21</f>
        <v>481.99999999999994</v>
      </c>
      <c r="E28" s="16">
        <f>Лист1!O21</f>
        <v>398.57000000000005</v>
      </c>
      <c r="F28" s="18">
        <f>Лист1!P21</f>
        <v>0</v>
      </c>
      <c r="G28" s="47">
        <f>Лист1!V21</f>
        <v>1422.66</v>
      </c>
      <c r="H28" s="47">
        <f>Лист1!W21</f>
        <v>1904.66</v>
      </c>
      <c r="I28" s="48">
        <f>Лист1!Y21</f>
        <v>61.08</v>
      </c>
      <c r="J28" s="16">
        <f>Лист1!AA21+Лист1!AB21</f>
        <v>100.90055627999999</v>
      </c>
      <c r="K28" s="16">
        <f>Лист1!Z21+Лист1!AC21+Лист1!AD21+Лист1!AE21+Лист1!AF21+Лист1!AG21+Лист1!AH21+Лист1!AI21+Лист1!AJ21</f>
        <v>346.24874035199997</v>
      </c>
      <c r="L28" s="17">
        <f>Лист1!AK21+Лист1!AL21+Лист1!AM21</f>
        <v>0</v>
      </c>
      <c r="M28" s="17">
        <f>Лист1!AP21</f>
        <v>0</v>
      </c>
      <c r="N28" s="49">
        <f>Лист1!AQ21</f>
        <v>0</v>
      </c>
      <c r="O28" s="18">
        <f>Лист1!AS21</f>
        <v>508.229296632</v>
      </c>
      <c r="P28" s="50">
        <f>Лист1!AV21</f>
        <v>1396.4307033680002</v>
      </c>
      <c r="Q28" s="50">
        <f>Лист1!AW21</f>
        <v>1024.0900000000001</v>
      </c>
      <c r="R28" s="1"/>
      <c r="S28" s="1"/>
    </row>
    <row r="29" spans="1:19" ht="12.75">
      <c r="A29" s="13" t="s">
        <v>45</v>
      </c>
      <c r="B29" s="14">
        <f>Лист1!B22</f>
        <v>101.8</v>
      </c>
      <c r="C29" s="45">
        <f>Лист1!C22</f>
        <v>880.57</v>
      </c>
      <c r="D29" s="46">
        <f>Лист1!D22</f>
        <v>375.06000000000006</v>
      </c>
      <c r="E29" s="16">
        <f>Лист1!O22</f>
        <v>505.51</v>
      </c>
      <c r="F29" s="18">
        <f>Лист1!P22</f>
        <v>0</v>
      </c>
      <c r="G29" s="47">
        <f>Лист1!V22</f>
        <v>395.84</v>
      </c>
      <c r="H29" s="47">
        <f>Лист1!W22</f>
        <v>770.9000000000001</v>
      </c>
      <c r="I29" s="48">
        <f>Лист1!Y22</f>
        <v>61.08</v>
      </c>
      <c r="J29" s="16">
        <f>Лист1!AA22+Лист1!AB22</f>
        <v>100.90055627999999</v>
      </c>
      <c r="K29" s="16">
        <f>Лист1!Z22+Лист1!AC22+Лист1!AD22+Лист1!AE22+Лист1!AF22+Лист1!AG22+Лист1!AH22+Лист1!AI22+Лист1!AJ22</f>
        <v>346.268082352</v>
      </c>
      <c r="L29" s="17">
        <f>Лист1!AK22+Лист1!AL22+Лист1!AM22</f>
        <v>0</v>
      </c>
      <c r="M29" s="17">
        <f>Лист1!AP22</f>
        <v>0</v>
      </c>
      <c r="N29" s="49">
        <f>Лист1!AQ22</f>
        <v>0</v>
      </c>
      <c r="O29" s="18">
        <f>Лист1!AS22</f>
        <v>508.248638632</v>
      </c>
      <c r="P29" s="50">
        <f>Лист1!AV22</f>
        <v>262.6513613680001</v>
      </c>
      <c r="Q29" s="50">
        <f>Лист1!AW22</f>
        <v>-109.67000000000002</v>
      </c>
      <c r="R29" s="1"/>
      <c r="S29" s="1"/>
    </row>
    <row r="30" spans="1:19" ht="12.75">
      <c r="A30" s="13" t="s">
        <v>33</v>
      </c>
      <c r="B30" s="14">
        <f>Лист1!B23</f>
        <v>101.8</v>
      </c>
      <c r="C30" s="45">
        <f>Лист1!C23</f>
        <v>880.57</v>
      </c>
      <c r="D30" s="46">
        <f>Лист1!D23</f>
        <v>474.24000000000007</v>
      </c>
      <c r="E30" s="16">
        <f>Лист1!O23</f>
        <v>406.33</v>
      </c>
      <c r="F30" s="18">
        <f>Лист1!P23</f>
        <v>0</v>
      </c>
      <c r="G30" s="47">
        <f>Лист1!V23</f>
        <v>370.68999999999994</v>
      </c>
      <c r="H30" s="47">
        <f>Лист1!W23</f>
        <v>844.9300000000001</v>
      </c>
      <c r="I30" s="48">
        <f>Лист1!Y23</f>
        <v>61.08</v>
      </c>
      <c r="J30" s="16">
        <f>Лист1!AA23+Лист1!AB23</f>
        <v>102.1054</v>
      </c>
      <c r="K30" s="16">
        <f>Лист1!Z23+Лист1!AC23+Лист1!AD23+Лист1!AE23+Лист1!AF23+Лист1!AG23+Лист1!AH23+Лист1!AI23+Лист1!AJ23</f>
        <v>349.4997599999999</v>
      </c>
      <c r="L30" s="17">
        <f>Лист1!AK23+Лист1!AL23+Лист1!AM23</f>
        <v>0</v>
      </c>
      <c r="M30" s="17">
        <f>Лист1!AP23</f>
        <v>0</v>
      </c>
      <c r="N30" s="49">
        <f>Лист1!AQ23</f>
        <v>0</v>
      </c>
      <c r="O30" s="18">
        <f>Лист1!AS23</f>
        <v>512.68516</v>
      </c>
      <c r="P30" s="50">
        <f>Лист1!AV23</f>
        <v>332.24484000000007</v>
      </c>
      <c r="Q30" s="50">
        <f>Лист1!AW23</f>
        <v>-35.64000000000004</v>
      </c>
      <c r="R30" s="1"/>
      <c r="S30" s="1"/>
    </row>
    <row r="31" spans="1:19" ht="12.75">
      <c r="A31" s="13" t="s">
        <v>34</v>
      </c>
      <c r="B31" s="14">
        <f>Лист1!B24</f>
        <v>101.8</v>
      </c>
      <c r="C31" s="45">
        <f>Лист1!C24</f>
        <v>880.57</v>
      </c>
      <c r="D31" s="46">
        <f>Лист1!D24</f>
        <v>474.24000000000007</v>
      </c>
      <c r="E31" s="16">
        <f>Лист1!O24</f>
        <v>406.33</v>
      </c>
      <c r="F31" s="18">
        <f>Лист1!P24</f>
        <v>0</v>
      </c>
      <c r="G31" s="47">
        <f>Лист1!V24</f>
        <v>0</v>
      </c>
      <c r="H31" s="47">
        <f>Лист1!W24</f>
        <v>474.24000000000007</v>
      </c>
      <c r="I31" s="48">
        <f>Лист1!Y24</f>
        <v>61.08</v>
      </c>
      <c r="J31" s="16">
        <f>Лист1!AA24+Лист1!AB24</f>
        <v>102.1054</v>
      </c>
      <c r="K31" s="16">
        <f>Лист1!Z24+Лист1!AC24+Лист1!AD24+Лист1!AE24+Лист1!AF24+Лист1!AG24+Лист1!AH24+Лист1!AI24+Лист1!AJ24</f>
        <v>349.4997599999999</v>
      </c>
      <c r="L31" s="17">
        <f>Лист1!AK24+Лист1!AL24+Лист1!AM24</f>
        <v>0</v>
      </c>
      <c r="M31" s="17">
        <f>Лист1!AP24</f>
        <v>0</v>
      </c>
      <c r="N31" s="49">
        <f>Лист1!AQ24</f>
        <v>0</v>
      </c>
      <c r="O31" s="18">
        <f>Лист1!AS24</f>
        <v>512.68516</v>
      </c>
      <c r="P31" s="50">
        <f>Лист1!AV24</f>
        <v>-38.44515999999993</v>
      </c>
      <c r="Q31" s="50">
        <f>Лист1!AW24</f>
        <v>-406.33</v>
      </c>
      <c r="R31" s="1"/>
      <c r="S31" s="1"/>
    </row>
    <row r="32" spans="1:19" ht="13.5" thickBot="1">
      <c r="A32" s="51" t="s">
        <v>35</v>
      </c>
      <c r="B32" s="14">
        <f>Лист1!B25</f>
        <v>101.8</v>
      </c>
      <c r="C32" s="45">
        <f>Лист1!C25</f>
        <v>880.57</v>
      </c>
      <c r="D32" s="46">
        <f>Лист1!D25</f>
        <v>474.2400000000001</v>
      </c>
      <c r="E32" s="16">
        <f>Лист1!O25</f>
        <v>406.33</v>
      </c>
      <c r="F32" s="18">
        <f>Лист1!P25</f>
        <v>0</v>
      </c>
      <c r="G32" s="47">
        <f>Лист1!V25</f>
        <v>628.96</v>
      </c>
      <c r="H32" s="47">
        <f>Лист1!W25</f>
        <v>1103.2000000000003</v>
      </c>
      <c r="I32" s="48">
        <f>Лист1!Y25</f>
        <v>61.08</v>
      </c>
      <c r="J32" s="16">
        <f>Лист1!AA25+Лист1!AB25</f>
        <v>102.1054</v>
      </c>
      <c r="K32" s="16">
        <f>Лист1!Z25+Лист1!AC25+Лист1!AD25+Лист1!AE25+Лист1!AF25+Лист1!AG25+Лист1!AH25+Лист1!AI25+Лист1!AJ25</f>
        <v>349.4997599999999</v>
      </c>
      <c r="L32" s="17">
        <f>Лист1!AK25+Лист1!AL25+Лист1!AM25</f>
        <v>0</v>
      </c>
      <c r="M32" s="17">
        <f>Лист1!AP25</f>
        <v>0</v>
      </c>
      <c r="N32" s="49">
        <f>Лист1!AQ25</f>
        <v>0</v>
      </c>
      <c r="O32" s="18">
        <f>Лист1!AS25</f>
        <v>512.68516</v>
      </c>
      <c r="P32" s="50">
        <f>Лист1!AV25</f>
        <v>590.5148400000003</v>
      </c>
      <c r="Q32" s="50">
        <f>Лист1!AW25</f>
        <v>222.63000000000005</v>
      </c>
      <c r="R32" s="1"/>
      <c r="S32" s="1"/>
    </row>
    <row r="33" spans="1:19" s="24" customFormat="1" ht="13.5" thickBot="1">
      <c r="A33" s="52" t="s">
        <v>3</v>
      </c>
      <c r="B33" s="53"/>
      <c r="C33" s="54">
        <f aca="true" t="shared" si="1" ref="C33:Q33">SUM(C21:C32)</f>
        <v>10566.839999999998</v>
      </c>
      <c r="D33" s="55">
        <f t="shared" si="1"/>
        <v>4112.795000000001</v>
      </c>
      <c r="E33" s="54">
        <f t="shared" si="1"/>
        <v>5839.04</v>
      </c>
      <c r="F33" s="56">
        <f t="shared" si="1"/>
        <v>473.33</v>
      </c>
      <c r="G33" s="57">
        <f t="shared" si="1"/>
        <v>7149.169999999999</v>
      </c>
      <c r="H33" s="54">
        <f t="shared" si="1"/>
        <v>11735.295000000002</v>
      </c>
      <c r="I33" s="55">
        <f t="shared" si="1"/>
        <v>708.5280000000001</v>
      </c>
      <c r="J33" s="54">
        <f t="shared" si="1"/>
        <v>1173.7215414319999</v>
      </c>
      <c r="K33" s="54">
        <f t="shared" si="1"/>
        <v>4030.6692879375987</v>
      </c>
      <c r="L33" s="54">
        <f t="shared" si="1"/>
        <v>0</v>
      </c>
      <c r="M33" s="54">
        <f t="shared" si="1"/>
        <v>0</v>
      </c>
      <c r="N33" s="54">
        <f t="shared" si="1"/>
        <v>0</v>
      </c>
      <c r="O33" s="56">
        <f t="shared" si="1"/>
        <v>5912.918829369601</v>
      </c>
      <c r="P33" s="58">
        <f t="shared" si="1"/>
        <v>5822.376170630399</v>
      </c>
      <c r="Q33" s="58">
        <f t="shared" si="1"/>
        <v>1310.1299999999999</v>
      </c>
      <c r="R33" s="59"/>
      <c r="S33" s="59"/>
    </row>
    <row r="34" spans="1:19" ht="13.5" thickBot="1">
      <c r="A34" s="361" t="s">
        <v>60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66"/>
      <c r="R34" s="1"/>
      <c r="S34" s="1"/>
    </row>
    <row r="35" spans="1:19" s="24" customFormat="1" ht="13.5" thickBot="1">
      <c r="A35" s="67" t="s">
        <v>46</v>
      </c>
      <c r="B35" s="68"/>
      <c r="C35" s="69">
        <f>C19+C33</f>
        <v>13208.55</v>
      </c>
      <c r="D35" s="70">
        <f aca="true" t="shared" si="2" ref="D35:Q35">D19+D33</f>
        <v>4747.663402700001</v>
      </c>
      <c r="E35" s="68">
        <f t="shared" si="2"/>
        <v>7743.93</v>
      </c>
      <c r="F35" s="69">
        <f t="shared" si="2"/>
        <v>815.8699999999999</v>
      </c>
      <c r="G35" s="70">
        <f t="shared" si="2"/>
        <v>8420.32</v>
      </c>
      <c r="H35" s="69">
        <f t="shared" si="2"/>
        <v>13983.853402700002</v>
      </c>
      <c r="I35" s="70">
        <f t="shared" si="2"/>
        <v>891.7680000000001</v>
      </c>
      <c r="J35" s="68">
        <f t="shared" si="2"/>
        <v>1479.1728486319998</v>
      </c>
      <c r="K35" s="68">
        <f t="shared" si="2"/>
        <v>4897.731176167598</v>
      </c>
      <c r="L35" s="68">
        <f t="shared" si="2"/>
        <v>324.85400000000004</v>
      </c>
      <c r="M35" s="68">
        <f t="shared" si="2"/>
        <v>0</v>
      </c>
      <c r="N35" s="68">
        <f t="shared" si="2"/>
        <v>0</v>
      </c>
      <c r="O35" s="71">
        <f>O19+O33</f>
        <v>7593.5260247996</v>
      </c>
      <c r="P35" s="72">
        <f t="shared" si="2"/>
        <v>6390.327377900399</v>
      </c>
      <c r="Q35" s="72">
        <f t="shared" si="2"/>
        <v>676.3899999999999</v>
      </c>
      <c r="R35" s="73"/>
      <c r="S35" s="59"/>
    </row>
    <row r="36" spans="1:19" ht="12.75">
      <c r="A36" s="8" t="s">
        <v>86</v>
      </c>
      <c r="B36" s="75"/>
      <c r="C36" s="60"/>
      <c r="D36" s="61"/>
      <c r="E36" s="62"/>
      <c r="F36" s="63"/>
      <c r="G36" s="64"/>
      <c r="H36" s="64"/>
      <c r="I36" s="65"/>
      <c r="J36" s="62"/>
      <c r="K36" s="62"/>
      <c r="L36" s="76"/>
      <c r="M36" s="76"/>
      <c r="N36" s="77"/>
      <c r="O36" s="63"/>
      <c r="P36" s="78"/>
      <c r="Q36" s="78"/>
      <c r="R36" s="1"/>
      <c r="S36" s="1"/>
    </row>
    <row r="37" spans="1:19" ht="12.75">
      <c r="A37" s="13" t="s">
        <v>37</v>
      </c>
      <c r="B37" s="14">
        <f>Лист1!B30</f>
        <v>101.8</v>
      </c>
      <c r="C37" s="45">
        <f>Лист1!C30</f>
        <v>880.57</v>
      </c>
      <c r="D37" s="46">
        <f>Лист1!D30</f>
        <v>474.2400000000001</v>
      </c>
      <c r="E37" s="16">
        <f>Лист1!O30</f>
        <v>406.33</v>
      </c>
      <c r="F37" s="18">
        <f>Лист1!P30</f>
        <v>0</v>
      </c>
      <c r="G37" s="47">
        <f>Лист1!V30</f>
        <v>428.7</v>
      </c>
      <c r="H37" s="47">
        <f>Лист1!W30</f>
        <v>902.94</v>
      </c>
      <c r="I37" s="48">
        <f>Лист1!Y30</f>
        <v>61.08</v>
      </c>
      <c r="J37" s="16">
        <f>Лист1!AA30+Лист1!AB30</f>
        <v>101.8</v>
      </c>
      <c r="K37" s="16">
        <f>Лист1!Z30+Лист1!AC30+Лист1!AD30+Лист1!AE30+Лист1!AF30+Лист1!AG30+Лист1!AH30+Лист1!AI30+Лист1!AJ30</f>
        <v>349.174</v>
      </c>
      <c r="L37" s="17">
        <f>Лист1!AK30+Лист1!AL30+Лист1!AM30</f>
        <v>0</v>
      </c>
      <c r="M37" s="17">
        <f>Лист1!AP30</f>
        <v>0</v>
      </c>
      <c r="N37" s="49">
        <f>Лист1!AQ30</f>
        <v>0</v>
      </c>
      <c r="O37" s="18">
        <f>Лист1!AS30</f>
        <v>512.054</v>
      </c>
      <c r="P37" s="50">
        <f>Лист1!AV30</f>
        <v>390.8860000000001</v>
      </c>
      <c r="Q37" s="50">
        <f>Лист1!AW30</f>
        <v>22.370000000000005</v>
      </c>
      <c r="R37" s="1"/>
      <c r="S37" s="1"/>
    </row>
    <row r="38" spans="1:19" ht="12.75">
      <c r="A38" s="13" t="s">
        <v>38</v>
      </c>
      <c r="B38" s="14">
        <f>Лист1!B31</f>
        <v>101.8</v>
      </c>
      <c r="C38" s="45">
        <f>Лист1!C31</f>
        <v>880.57</v>
      </c>
      <c r="D38" s="46">
        <f>Лист1!D31</f>
        <v>474.2400000000001</v>
      </c>
      <c r="E38" s="16">
        <f>Лист1!O31</f>
        <v>406.33</v>
      </c>
      <c r="F38" s="18">
        <f>Лист1!P31</f>
        <v>0</v>
      </c>
      <c r="G38" s="47">
        <f>Лист1!V31</f>
        <v>407.81999999999994</v>
      </c>
      <c r="H38" s="47">
        <f>Лист1!W31</f>
        <v>882.0600000000001</v>
      </c>
      <c r="I38" s="48">
        <f>Лист1!Y31</f>
        <v>61.08</v>
      </c>
      <c r="J38" s="16">
        <f>Лист1!AA31+Лист1!AB31</f>
        <v>101.8</v>
      </c>
      <c r="K38" s="16">
        <f>Лист1!Z31+Лист1!AC31+Лист1!AD31+Лист1!AE31+Лист1!AF31+Лист1!AG31+Лист1!AH31+Лист1!AI31+Лист1!AJ31</f>
        <v>349.174</v>
      </c>
      <c r="L38" s="17">
        <f>Лист1!AK31+Лист1!AL31+Лист1!AM31</f>
        <v>0</v>
      </c>
      <c r="M38" s="17">
        <f>Лист1!AP31</f>
        <v>0</v>
      </c>
      <c r="N38" s="49">
        <f>Лист1!AQ31</f>
        <v>0</v>
      </c>
      <c r="O38" s="18">
        <f>Лист1!AS31</f>
        <v>512.054</v>
      </c>
      <c r="P38" s="50">
        <f>Лист1!AV31</f>
        <v>370.0060000000001</v>
      </c>
      <c r="Q38" s="50">
        <f>Лист1!AW31</f>
        <v>1.4899999999999523</v>
      </c>
      <c r="R38" s="1"/>
      <c r="S38" s="1"/>
    </row>
    <row r="39" spans="1:19" ht="12.75">
      <c r="A39" s="13" t="s">
        <v>39</v>
      </c>
      <c r="B39" s="14">
        <f>Лист1!B32</f>
        <v>101.8</v>
      </c>
      <c r="C39" s="45">
        <f>Лист1!C32</f>
        <v>880.57</v>
      </c>
      <c r="D39" s="46">
        <f>Лист1!D32</f>
        <v>474.2400000000001</v>
      </c>
      <c r="E39" s="16">
        <f>Лист1!O32</f>
        <v>406.33</v>
      </c>
      <c r="F39" s="18">
        <f>Лист1!P32</f>
        <v>0</v>
      </c>
      <c r="G39" s="47">
        <f>Лист1!V32</f>
        <v>406.4799999999999</v>
      </c>
      <c r="H39" s="47">
        <f>Лист1!W32</f>
        <v>880.72</v>
      </c>
      <c r="I39" s="48">
        <f>Лист1!Y32</f>
        <v>61.08</v>
      </c>
      <c r="J39" s="16">
        <f>Лист1!AA32+Лист1!AB32</f>
        <v>101.8</v>
      </c>
      <c r="K39" s="16">
        <f>Лист1!Z32+Лист1!AC32+Лист1!AD32+Лист1!AE32+Лист1!AF32+Лист1!AG32+Лист1!AH32+Лист1!AI32+Лист1!AJ32</f>
        <v>349.174</v>
      </c>
      <c r="L39" s="17">
        <f>Лист1!AK32+Лист1!AL32+Лист1!AM32</f>
        <v>0</v>
      </c>
      <c r="M39" s="17">
        <f>Лист1!AP32</f>
        <v>0</v>
      </c>
      <c r="N39" s="49">
        <f>Лист1!AQ32</f>
        <v>0</v>
      </c>
      <c r="O39" s="18">
        <f>Лист1!AS32</f>
        <v>512.054</v>
      </c>
      <c r="P39" s="50">
        <f>Лист1!AV32</f>
        <v>368.66600000000005</v>
      </c>
      <c r="Q39" s="50">
        <f>Лист1!AW32</f>
        <v>0.14999999999992042</v>
      </c>
      <c r="R39" s="1"/>
      <c r="S39" s="1"/>
    </row>
    <row r="40" spans="1:19" ht="12.75">
      <c r="A40" s="13" t="s">
        <v>40</v>
      </c>
      <c r="B40" s="14">
        <f>Лист1!B33</f>
        <v>101.8</v>
      </c>
      <c r="C40" s="45">
        <f>Лист1!C33</f>
        <v>880.57</v>
      </c>
      <c r="D40" s="46">
        <f>Лист1!D33</f>
        <v>35.67999999999999</v>
      </c>
      <c r="E40" s="16">
        <f>Лист1!O33</f>
        <v>844.89</v>
      </c>
      <c r="F40" s="18">
        <f>Лист1!P33</f>
        <v>0</v>
      </c>
      <c r="G40" s="47">
        <f>Лист1!V33</f>
        <v>405.74</v>
      </c>
      <c r="H40" s="47">
        <f>Лист1!W33</f>
        <v>441.42</v>
      </c>
      <c r="I40" s="48">
        <f>Лист1!Y33</f>
        <v>61.08</v>
      </c>
      <c r="J40" s="16">
        <f>Лист1!AA33+Лист1!AB33</f>
        <v>101.8</v>
      </c>
      <c r="K40" s="16">
        <f>Лист1!Z33+Лист1!AC33+Лист1!AD33+Лист1!AE33+Лист1!AF33+Лист1!AG33+Лист1!AH33+Лист1!AI33+Лист1!AJ33</f>
        <v>349.174</v>
      </c>
      <c r="L40" s="17">
        <f>Лист1!AK33+Лист1!AL33+Лист1!AM33</f>
        <v>0</v>
      </c>
      <c r="M40" s="17">
        <f>Лист1!AP33</f>
        <v>0</v>
      </c>
      <c r="N40" s="49">
        <f>Лист1!AQ33</f>
        <v>0</v>
      </c>
      <c r="O40" s="18">
        <f>Лист1!AS33</f>
        <v>512.054</v>
      </c>
      <c r="P40" s="50">
        <f>Лист1!AV33</f>
        <v>-70.63399999999996</v>
      </c>
      <c r="Q40" s="50">
        <f>Лист1!AW33</f>
        <v>-439.15</v>
      </c>
      <c r="R40" s="1"/>
      <c r="S40" s="1"/>
    </row>
    <row r="41" spans="1:19" ht="12.75">
      <c r="A41" s="13" t="s">
        <v>41</v>
      </c>
      <c r="B41" s="14">
        <f>Лист1!B34</f>
        <v>101.8</v>
      </c>
      <c r="C41" s="45">
        <f>Лист1!C34</f>
        <v>880.57</v>
      </c>
      <c r="D41" s="46">
        <f>Лист1!D34</f>
        <v>35.67999999999999</v>
      </c>
      <c r="E41" s="16">
        <f>Лист1!O34</f>
        <v>844.89</v>
      </c>
      <c r="F41" s="18">
        <f>Лист1!P34</f>
        <v>0</v>
      </c>
      <c r="G41" s="47">
        <f>Лист1!V34</f>
        <v>406.41999999999996</v>
      </c>
      <c r="H41" s="47">
        <f>Лист1!W34</f>
        <v>442.09999999999997</v>
      </c>
      <c r="I41" s="48">
        <f>Лист1!Y34</f>
        <v>61.08</v>
      </c>
      <c r="J41" s="16">
        <f>Лист1!AA34+Лист1!AB34</f>
        <v>101.8</v>
      </c>
      <c r="K41" s="16">
        <f>Лист1!Z34+Лист1!AC34+Лист1!AD34+Лист1!AE34+Лист1!AF34+Лист1!AG34+Лист1!AH34+Лист1!AI34+Лист1!AJ34</f>
        <v>349.174</v>
      </c>
      <c r="L41" s="17">
        <f>Лист1!AK34+Лист1!AL34+Лист1!AM34</f>
        <v>0</v>
      </c>
      <c r="M41" s="17">
        <f>Лист1!AP34</f>
        <v>0</v>
      </c>
      <c r="N41" s="49">
        <f>Лист1!AQ34</f>
        <v>0</v>
      </c>
      <c r="O41" s="18">
        <f>Лист1!AS34</f>
        <v>512.054</v>
      </c>
      <c r="P41" s="50">
        <f>Лист1!AV34</f>
        <v>-69.95400000000001</v>
      </c>
      <c r="Q41" s="50">
        <f>Лист1!AW34</f>
        <v>-438.47</v>
      </c>
      <c r="R41" s="1"/>
      <c r="S41" s="1"/>
    </row>
    <row r="42" spans="1:19" ht="12.75">
      <c r="A42" s="13" t="s">
        <v>42</v>
      </c>
      <c r="B42" s="14">
        <f>Лист1!B35</f>
        <v>101.8</v>
      </c>
      <c r="C42" s="45">
        <f>Лист1!C35</f>
        <v>880.57</v>
      </c>
      <c r="D42" s="46">
        <f>Лист1!D35</f>
        <v>28.588599999999996</v>
      </c>
      <c r="E42" s="16">
        <f>Лист1!O35</f>
        <v>844.89</v>
      </c>
      <c r="F42" s="18">
        <f>Лист1!P35</f>
        <v>0</v>
      </c>
      <c r="G42" s="47">
        <f>Лист1!V35</f>
        <v>407.08000000000004</v>
      </c>
      <c r="H42" s="47">
        <f>Лист1!W35</f>
        <v>435.6686</v>
      </c>
      <c r="I42" s="48">
        <f>Лист1!Y35</f>
        <v>61.08</v>
      </c>
      <c r="J42" s="16">
        <f>Лист1!AA35+Лист1!AB35</f>
        <v>101.8</v>
      </c>
      <c r="K42" s="16">
        <f>Лист1!Z35+Лист1!AC35+Лист1!AD35+Лист1!AE35+Лист1!AF35+Лист1!AG35+Лист1!AH35+Лист1!AI35+Лист1!AJ35</f>
        <v>349.174</v>
      </c>
      <c r="L42" s="17">
        <f>Лист1!AK35+Лист1!AL35+Лист1!AM35</f>
        <v>0</v>
      </c>
      <c r="M42" s="17">
        <f>Лист1!AP35</f>
        <v>0</v>
      </c>
      <c r="N42" s="49">
        <f>Лист1!AQ35</f>
        <v>0</v>
      </c>
      <c r="O42" s="18">
        <f>Лист1!AS35</f>
        <v>512.054</v>
      </c>
      <c r="P42" s="50">
        <f>Лист1!AV35</f>
        <v>-76.38539999999995</v>
      </c>
      <c r="Q42" s="50">
        <f>Лист1!AW35</f>
        <v>-437.80999999999995</v>
      </c>
      <c r="R42" s="1"/>
      <c r="S42" s="1"/>
    </row>
    <row r="43" spans="1:19" ht="12.75">
      <c r="A43" s="13" t="s">
        <v>43</v>
      </c>
      <c r="B43" s="14">
        <f>Лист1!B36</f>
        <v>100.8</v>
      </c>
      <c r="C43" s="45">
        <f>Лист1!C36</f>
        <v>871.92</v>
      </c>
      <c r="D43" s="46">
        <f>Лист1!D36</f>
        <v>28.75504719999994</v>
      </c>
      <c r="E43" s="16">
        <f>Лист1!O36</f>
        <v>836.24</v>
      </c>
      <c r="F43" s="18">
        <f>Лист1!P36</f>
        <v>0</v>
      </c>
      <c r="G43" s="47">
        <f>Лист1!V36</f>
        <v>405.71999999999997</v>
      </c>
      <c r="H43" s="47">
        <f>Лист1!W36</f>
        <v>434.4750471999999</v>
      </c>
      <c r="I43" s="48">
        <f>Лист1!Y36</f>
        <v>60.48</v>
      </c>
      <c r="J43" s="16">
        <f>Лист1!AA36+Лист1!AB36</f>
        <v>100.8</v>
      </c>
      <c r="K43" s="16">
        <f>Лист1!Z36+Лист1!AC36+Лист1!AD36+Лист1!AE36+Лист1!AF36+Лист1!AG36+Лист1!AH36+Лист1!AI36+Лист1!AJ36</f>
        <v>345.74399999999997</v>
      </c>
      <c r="L43" s="17">
        <f>Лист1!AK36+Лист1!AL36+Лист1!AM36</f>
        <v>0</v>
      </c>
      <c r="M43" s="17">
        <f>Лист1!AP36</f>
        <v>0</v>
      </c>
      <c r="N43" s="49">
        <f>Лист1!AQ36</f>
        <v>0</v>
      </c>
      <c r="O43" s="18">
        <f>Лист1!AS36</f>
        <v>507.024</v>
      </c>
      <c r="P43" s="50">
        <f>Лист1!AV36</f>
        <v>-72.54895280000011</v>
      </c>
      <c r="Q43" s="50">
        <f>Лист1!AW36</f>
        <v>-430.52000000000004</v>
      </c>
      <c r="R43" s="1"/>
      <c r="S43" s="1"/>
    </row>
    <row r="44" spans="1:19" ht="12.75">
      <c r="A44" s="13" t="s">
        <v>44</v>
      </c>
      <c r="B44" s="14">
        <f>Лист1!B37</f>
        <v>98.7</v>
      </c>
      <c r="C44" s="45">
        <f>Лист1!C37</f>
        <v>853.7550000000001</v>
      </c>
      <c r="D44" s="46">
        <f>Лист1!D37</f>
        <v>30.607631145000145</v>
      </c>
      <c r="E44" s="16">
        <f>Лист1!O37</f>
        <v>818.07</v>
      </c>
      <c r="F44" s="18">
        <f>Лист1!P37</f>
        <v>0</v>
      </c>
      <c r="G44" s="47">
        <f>Лист1!V37</f>
        <v>397.29</v>
      </c>
      <c r="H44" s="47">
        <f>Лист1!W37</f>
        <v>427.89763114500016</v>
      </c>
      <c r="I44" s="48">
        <f>Лист1!Y37</f>
        <v>59.22</v>
      </c>
      <c r="J44" s="16">
        <f>Лист1!AA37+Лист1!AB37</f>
        <v>98.7</v>
      </c>
      <c r="K44" s="16">
        <f>Лист1!Z37+Лист1!AC37+Лист1!AD37+Лист1!AE37+Лист1!AF37+Лист1!AG37+Лист1!AH37+Лист1!AI37+Лист1!AJ37</f>
        <v>338.54100000000005</v>
      </c>
      <c r="L44" s="17">
        <f>Лист1!AK37+Лист1!AL37+Лист1!AM37</f>
        <v>47.8</v>
      </c>
      <c r="M44" s="17">
        <f>Лист1!AP37</f>
        <v>0</v>
      </c>
      <c r="N44" s="49">
        <f>Лист1!AQ37</f>
        <v>0</v>
      </c>
      <c r="O44" s="18">
        <f>Лист1!AS37</f>
        <v>544.261</v>
      </c>
      <c r="P44" s="50">
        <f>Лист1!AV37</f>
        <v>-116.3633688549998</v>
      </c>
      <c r="Q44" s="50">
        <f>Лист1!AW37</f>
        <v>-420.78000000000003</v>
      </c>
      <c r="R44" s="1"/>
      <c r="S44" s="1"/>
    </row>
    <row r="45" spans="1:19" ht="12.75">
      <c r="A45" s="13" t="s">
        <v>45</v>
      </c>
      <c r="B45" s="14">
        <f>Лист1!B38</f>
        <v>98.7</v>
      </c>
      <c r="C45" s="45">
        <f>Лист1!C38</f>
        <v>853.7550000000001</v>
      </c>
      <c r="D45" s="46">
        <f>Лист1!D38</f>
        <v>31.243288050000153</v>
      </c>
      <c r="E45" s="16">
        <f>Лист1!O38</f>
        <v>818.07</v>
      </c>
      <c r="F45" s="18">
        <f>Лист1!P38</f>
        <v>0</v>
      </c>
      <c r="G45" s="47">
        <f>Лист1!V38</f>
        <v>898.5200000000001</v>
      </c>
      <c r="H45" s="47">
        <f>Лист1!W38</f>
        <v>929.7632880500003</v>
      </c>
      <c r="I45" s="48">
        <f>Лист1!Y38</f>
        <v>59.22</v>
      </c>
      <c r="J45" s="16">
        <f>Лист1!AA38+Лист1!AB38</f>
        <v>98.7</v>
      </c>
      <c r="K45" s="16">
        <f>Лист1!Z38+Лист1!AC38+Лист1!AD38+Лист1!AE38+Лист1!AF38+Лист1!AG38+Лист1!AH38+Лист1!AI38+Лист1!AJ38</f>
        <v>338.54100000000005</v>
      </c>
      <c r="L45" s="17">
        <f>Лист1!AK38+Лист1!AL38+Лист1!AM38</f>
        <v>0</v>
      </c>
      <c r="M45" s="17">
        <f>Лист1!AP38</f>
        <v>0</v>
      </c>
      <c r="N45" s="49">
        <f>Лист1!AQ38</f>
        <v>0</v>
      </c>
      <c r="O45" s="18">
        <f>Лист1!AS38</f>
        <v>496.461</v>
      </c>
      <c r="P45" s="50">
        <f>Лист1!AV38</f>
        <v>433.30228805000024</v>
      </c>
      <c r="Q45" s="50">
        <f>Лист1!AW38</f>
        <v>80.45000000000005</v>
      </c>
      <c r="R45" s="1"/>
      <c r="S45" s="1"/>
    </row>
    <row r="46" spans="1:19" ht="12.75">
      <c r="A46" s="13" t="s">
        <v>33</v>
      </c>
      <c r="B46" s="14">
        <f>Лист1!B39</f>
        <v>98.7</v>
      </c>
      <c r="C46" s="45">
        <f>Лист1!C39</f>
        <v>853.7550000000001</v>
      </c>
      <c r="D46" s="46">
        <f>Лист1!D39</f>
        <v>28.95152598000014</v>
      </c>
      <c r="E46" s="16">
        <f>Лист1!O39</f>
        <v>818.07</v>
      </c>
      <c r="F46" s="18">
        <f>Лист1!P39</f>
        <v>0</v>
      </c>
      <c r="G46" s="47">
        <f>Лист1!V39</f>
        <v>397.53</v>
      </c>
      <c r="H46" s="47">
        <f>Лист1!W39</f>
        <v>426.48152598000013</v>
      </c>
      <c r="I46" s="48">
        <f>Лист1!Y39</f>
        <v>59.22</v>
      </c>
      <c r="J46" s="16">
        <f>Лист1!AA39+Лист1!AB39</f>
        <v>98.7</v>
      </c>
      <c r="K46" s="16">
        <f>Лист1!Z39+Лист1!AC39+Лист1!AD39+Лист1!AE39+Лист1!AF39+Лист1!AG39+Лист1!AH39+Лист1!AI39+Лист1!AJ39</f>
        <v>338.54100000000005</v>
      </c>
      <c r="L46" s="17">
        <f>Лист1!AK39+Лист1!AL39+Лист1!AM39</f>
        <v>0</v>
      </c>
      <c r="M46" s="17">
        <f>Лист1!AP39</f>
        <v>0</v>
      </c>
      <c r="N46" s="49">
        <f>Лист1!AQ39</f>
        <v>0</v>
      </c>
      <c r="O46" s="18">
        <f>Лист1!AS39</f>
        <v>496.461</v>
      </c>
      <c r="P46" s="50">
        <f>Лист1!AV39</f>
        <v>-69.97947401999988</v>
      </c>
      <c r="Q46" s="50">
        <f>Лист1!AW39</f>
        <v>-420.5400000000001</v>
      </c>
      <c r="R46" s="1"/>
      <c r="S46" s="1"/>
    </row>
    <row r="47" spans="1:19" ht="12.75">
      <c r="A47" s="13" t="s">
        <v>34</v>
      </c>
      <c r="B47" s="14">
        <f>Лист1!B40</f>
        <v>98.7</v>
      </c>
      <c r="C47" s="45">
        <f>Лист1!C40</f>
        <v>853.7550000000001</v>
      </c>
      <c r="D47" s="46">
        <f>Лист1!D40</f>
        <v>31.07018011500015</v>
      </c>
      <c r="E47" s="16">
        <f>Лист1!O40</f>
        <v>818.07</v>
      </c>
      <c r="F47" s="18">
        <f>Лист1!P40</f>
        <v>0</v>
      </c>
      <c r="G47" s="47">
        <f>Лист1!V40</f>
        <v>1218.75</v>
      </c>
      <c r="H47" s="47">
        <f>Лист1!W40</f>
        <v>1249.820180115</v>
      </c>
      <c r="I47" s="48">
        <f>Лист1!Y40</f>
        <v>59.22</v>
      </c>
      <c r="J47" s="16">
        <f>Лист1!AA40+Лист1!AB40</f>
        <v>98.7</v>
      </c>
      <c r="K47" s="16">
        <f>Лист1!Z40+Лист1!AC40+Лист1!AD40+Лист1!AE40+Лист1!AF40+Лист1!AG40+Лист1!AH40+Лист1!AI40+Лист1!AJ40</f>
        <v>338.54100000000005</v>
      </c>
      <c r="L47" s="17">
        <f>Лист1!AK40+Лист1!AL40+Лист1!AM40</f>
        <v>0</v>
      </c>
      <c r="M47" s="17">
        <f>Лист1!AP40</f>
        <v>0</v>
      </c>
      <c r="N47" s="49">
        <f>Лист1!AQ40</f>
        <v>0</v>
      </c>
      <c r="O47" s="18">
        <f>Лист1!AS40</f>
        <v>496.461</v>
      </c>
      <c r="P47" s="50">
        <f>Лист1!AV40</f>
        <v>753.3591801150001</v>
      </c>
      <c r="Q47" s="50">
        <f>Лист1!AW40</f>
        <v>400.67999999999995</v>
      </c>
      <c r="R47" s="1"/>
      <c r="S47" s="1"/>
    </row>
    <row r="48" spans="1:19" ht="13.5" thickBot="1">
      <c r="A48" s="51" t="s">
        <v>35</v>
      </c>
      <c r="B48" s="14">
        <f>Лист1!B41</f>
        <v>98.7</v>
      </c>
      <c r="C48" s="45">
        <f>Лист1!C41</f>
        <v>853.7550000000001</v>
      </c>
      <c r="D48" s="46">
        <f>Лист1!D41</f>
        <v>32.65034760000016</v>
      </c>
      <c r="E48" s="16">
        <f>Лист1!O41</f>
        <v>818.07</v>
      </c>
      <c r="F48" s="18">
        <f>Лист1!P41</f>
        <v>0</v>
      </c>
      <c r="G48" s="47">
        <f>Лист1!V41</f>
        <v>668.56</v>
      </c>
      <c r="H48" s="47">
        <f>Лист1!W41</f>
        <v>701.2103476000001</v>
      </c>
      <c r="I48" s="48">
        <f>Лист1!Y41</f>
        <v>59.22</v>
      </c>
      <c r="J48" s="16">
        <f>Лист1!AA41+Лист1!AB41</f>
        <v>98.7</v>
      </c>
      <c r="K48" s="16">
        <f>Лист1!Z41+Лист1!AC41+Лист1!AD41+Лист1!AE41+Лист1!AF41+Лист1!AG41+Лист1!AH41+Лист1!AI41+Лист1!AJ41</f>
        <v>338.54100000000005</v>
      </c>
      <c r="L48" s="17">
        <f>Лист1!AK41+Лист1!AL41+Лист1!AM41</f>
        <v>0</v>
      </c>
      <c r="M48" s="17">
        <f>Лист1!AP41</f>
        <v>0</v>
      </c>
      <c r="N48" s="49">
        <f>Лист1!AQ41</f>
        <v>0</v>
      </c>
      <c r="O48" s="18">
        <f>Лист1!AS41</f>
        <v>496.461</v>
      </c>
      <c r="P48" s="50">
        <f>Лист1!AV41</f>
        <v>204.74934760000008</v>
      </c>
      <c r="Q48" s="50">
        <f>Лист1!AW41</f>
        <v>-149.5100000000001</v>
      </c>
      <c r="R48" s="1"/>
      <c r="S48" s="1"/>
    </row>
    <row r="49" spans="1:19" s="24" customFormat="1" ht="13.5" thickBot="1">
      <c r="A49" s="52" t="s">
        <v>3</v>
      </c>
      <c r="B49" s="53"/>
      <c r="C49" s="54">
        <f aca="true" t="shared" si="3" ref="C49:Q49">SUM(C37:C48)</f>
        <v>10424.115000000002</v>
      </c>
      <c r="D49" s="55">
        <f t="shared" si="3"/>
        <v>1705.946620090001</v>
      </c>
      <c r="E49" s="54">
        <f t="shared" si="3"/>
        <v>8680.249999999998</v>
      </c>
      <c r="F49" s="56">
        <f t="shared" si="3"/>
        <v>0</v>
      </c>
      <c r="G49" s="57">
        <f t="shared" si="3"/>
        <v>6448.609999999999</v>
      </c>
      <c r="H49" s="54">
        <f t="shared" si="3"/>
        <v>8154.556620090001</v>
      </c>
      <c r="I49" s="55">
        <f t="shared" si="3"/>
        <v>723.0600000000001</v>
      </c>
      <c r="J49" s="54">
        <f t="shared" si="3"/>
        <v>1205.1000000000001</v>
      </c>
      <c r="K49" s="54">
        <f t="shared" si="3"/>
        <v>4133.493</v>
      </c>
      <c r="L49" s="54">
        <f t="shared" si="3"/>
        <v>47.8</v>
      </c>
      <c r="M49" s="54">
        <f t="shared" si="3"/>
        <v>0</v>
      </c>
      <c r="N49" s="54">
        <f t="shared" si="3"/>
        <v>0</v>
      </c>
      <c r="O49" s="56">
        <f t="shared" si="3"/>
        <v>6109.453000000001</v>
      </c>
      <c r="P49" s="58">
        <f t="shared" si="3"/>
        <v>2045.1036200900007</v>
      </c>
      <c r="Q49" s="58">
        <f t="shared" si="3"/>
        <v>-2231.640000000001</v>
      </c>
      <c r="R49" s="59"/>
      <c r="S49" s="59"/>
    </row>
    <row r="50" spans="1:19" ht="13.5" thickBot="1">
      <c r="A50" s="361" t="s">
        <v>60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66"/>
      <c r="R50" s="1"/>
      <c r="S50" s="1"/>
    </row>
    <row r="51" spans="1:19" s="24" customFormat="1" ht="13.5" thickBot="1">
      <c r="A51" s="67" t="s">
        <v>46</v>
      </c>
      <c r="B51" s="68"/>
      <c r="C51" s="69">
        <f>C35+C49</f>
        <v>23632.665</v>
      </c>
      <c r="D51" s="70">
        <f aca="true" t="shared" si="4" ref="D51:N51">D35+D49</f>
        <v>6453.610022790002</v>
      </c>
      <c r="E51" s="68">
        <f t="shared" si="4"/>
        <v>16424.18</v>
      </c>
      <c r="F51" s="69">
        <f t="shared" si="4"/>
        <v>815.8699999999999</v>
      </c>
      <c r="G51" s="70">
        <f t="shared" si="4"/>
        <v>14868.929999999998</v>
      </c>
      <c r="H51" s="69">
        <f t="shared" si="4"/>
        <v>22138.410022790005</v>
      </c>
      <c r="I51" s="70">
        <f t="shared" si="4"/>
        <v>1614.8280000000002</v>
      </c>
      <c r="J51" s="68">
        <f t="shared" si="4"/>
        <v>2684.272848632</v>
      </c>
      <c r="K51" s="68">
        <f t="shared" si="4"/>
        <v>9031.224176167598</v>
      </c>
      <c r="L51" s="68">
        <f t="shared" si="4"/>
        <v>372.65400000000005</v>
      </c>
      <c r="M51" s="68">
        <f t="shared" si="4"/>
        <v>0</v>
      </c>
      <c r="N51" s="68">
        <f t="shared" si="4"/>
        <v>0</v>
      </c>
      <c r="O51" s="71">
        <f>O35+O49</f>
        <v>13702.979024799602</v>
      </c>
      <c r="P51" s="72">
        <f>P35+P49</f>
        <v>8435.4309979904</v>
      </c>
      <c r="Q51" s="72">
        <f>Q35+Q49</f>
        <v>-1555.250000000001</v>
      </c>
      <c r="R51" s="73"/>
      <c r="S51" s="59"/>
    </row>
    <row r="54" spans="1:19" ht="12.75">
      <c r="A54" s="87" t="s">
        <v>70</v>
      </c>
      <c r="B54" s="88"/>
      <c r="C54" s="88"/>
      <c r="D54" s="193" t="s">
        <v>87</v>
      </c>
      <c r="E54" s="88"/>
      <c r="F54" s="88"/>
      <c r="R54" s="1"/>
      <c r="S54" s="1"/>
    </row>
    <row r="55" spans="1:19" ht="12.75">
      <c r="A55" s="89" t="s">
        <v>61</v>
      </c>
      <c r="B55" s="89" t="s">
        <v>62</v>
      </c>
      <c r="C55" s="363" t="s">
        <v>63</v>
      </c>
      <c r="D55" s="363"/>
      <c r="E55" s="88"/>
      <c r="F55" s="88"/>
      <c r="R55" s="1"/>
      <c r="S55" s="1"/>
    </row>
    <row r="56" spans="1:19" ht="12.75">
      <c r="A56" s="90">
        <v>2742.93</v>
      </c>
      <c r="B56" s="91">
        <v>3312</v>
      </c>
      <c r="C56" s="364">
        <f>A56-B56</f>
        <v>-569.0700000000002</v>
      </c>
      <c r="D56" s="365"/>
      <c r="E56" s="88"/>
      <c r="F56" s="88"/>
      <c r="R56" s="1"/>
      <c r="S56" s="1"/>
    </row>
    <row r="57" spans="1:19" ht="12.75">
      <c r="A57" s="74"/>
      <c r="R57" s="1"/>
      <c r="S57" s="1"/>
    </row>
    <row r="58" spans="1:19" ht="12.75">
      <c r="A58" s="74"/>
      <c r="R58" s="1"/>
      <c r="S58" s="1"/>
    </row>
    <row r="59" spans="1:19" ht="12.75">
      <c r="A59" s="2" t="s">
        <v>64</v>
      </c>
      <c r="G59" s="2" t="s">
        <v>65</v>
      </c>
      <c r="R59" s="1"/>
      <c r="S59" s="1"/>
    </row>
    <row r="60" ht="12.75">
      <c r="A60" s="1"/>
    </row>
    <row r="61" ht="12.75">
      <c r="A61" s="1"/>
    </row>
    <row r="62" ht="12.75">
      <c r="A62" s="1" t="s">
        <v>66</v>
      </c>
    </row>
    <row r="63" ht="12.75">
      <c r="A63" s="2" t="s">
        <v>67</v>
      </c>
    </row>
  </sheetData>
  <sheetProtection/>
  <mergeCells count="23">
    <mergeCell ref="Q10:Q13"/>
    <mergeCell ref="E12:F12"/>
    <mergeCell ref="H12:H13"/>
    <mergeCell ref="I12:I13"/>
    <mergeCell ref="J12:J13"/>
    <mergeCell ref="K12:K13"/>
    <mergeCell ref="L12:L13"/>
    <mergeCell ref="E10:F11"/>
    <mergeCell ref="I10:O11"/>
    <mergeCell ref="P10:P13"/>
    <mergeCell ref="A50:P50"/>
    <mergeCell ref="C55:D55"/>
    <mergeCell ref="C56:D56"/>
    <mergeCell ref="A34:P34"/>
    <mergeCell ref="M12:M13"/>
    <mergeCell ref="N12:N13"/>
    <mergeCell ref="O12:O13"/>
    <mergeCell ref="G10:H11"/>
    <mergeCell ref="A6:P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pane xSplit="2" ySplit="2" topLeftCell="J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43" sqref="Q43"/>
    </sheetView>
  </sheetViews>
  <sheetFormatPr defaultColWidth="9.00390625" defaultRowHeight="12.75"/>
  <cols>
    <col min="1" max="1" width="8.75390625" style="196" bestFit="1" customWidth="1"/>
    <col min="2" max="2" width="9.125" style="196" customWidth="1"/>
    <col min="3" max="3" width="10.125" style="196" customWidth="1"/>
    <col min="4" max="4" width="10.375" style="196" customWidth="1"/>
    <col min="5" max="5" width="11.125" style="196" customWidth="1"/>
    <col min="6" max="6" width="10.875" style="196" customWidth="1"/>
    <col min="7" max="8" width="12.125" style="196" customWidth="1"/>
    <col min="9" max="9" width="12.00390625" style="196" customWidth="1"/>
    <col min="10" max="10" width="11.125" style="196" customWidth="1"/>
    <col min="11" max="11" width="11.00390625" style="196" customWidth="1"/>
    <col min="12" max="12" width="12.375" style="196" customWidth="1"/>
    <col min="13" max="13" width="10.125" style="196" bestFit="1" customWidth="1"/>
    <col min="14" max="14" width="15.625" style="196" customWidth="1"/>
    <col min="15" max="15" width="16.375" style="196" customWidth="1"/>
    <col min="16" max="16" width="14.625" style="196" customWidth="1"/>
    <col min="17" max="17" width="11.625" style="196" customWidth="1"/>
    <col min="18" max="18" width="11.25390625" style="196" customWidth="1"/>
    <col min="19" max="19" width="10.625" style="196" customWidth="1"/>
    <col min="20" max="20" width="9.25390625" style="196" customWidth="1"/>
    <col min="21" max="21" width="10.125" style="196" bestFit="1" customWidth="1"/>
    <col min="22" max="22" width="10.125" style="196" customWidth="1"/>
    <col min="23" max="23" width="12.625" style="196" customWidth="1"/>
    <col min="24" max="24" width="9.25390625" style="196" bestFit="1" customWidth="1"/>
    <col min="25" max="25" width="11.625" style="196" customWidth="1"/>
    <col min="26" max="26" width="9.25390625" style="196" customWidth="1"/>
    <col min="27" max="27" width="10.625" style="196" customWidth="1"/>
    <col min="28" max="28" width="10.75390625" style="196" customWidth="1"/>
    <col min="29" max="29" width="12.125" style="196" customWidth="1"/>
    <col min="30" max="16384" width="9.125" style="196" customWidth="1"/>
  </cols>
  <sheetData>
    <row r="1" spans="1:16" ht="21" customHeight="1">
      <c r="A1" s="280" t="s">
        <v>103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95"/>
    </row>
    <row r="2" spans="1:16" ht="15" customHeight="1">
      <c r="A2" s="195"/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ht="13.5" thickBot="1"/>
    <row r="4" spans="1:29" ht="31.5" customHeight="1" thickBot="1">
      <c r="A4" s="349" t="s">
        <v>89</v>
      </c>
      <c r="B4" s="283" t="s">
        <v>0</v>
      </c>
      <c r="C4" s="285" t="s">
        <v>1</v>
      </c>
      <c r="D4" s="390" t="s">
        <v>2</v>
      </c>
      <c r="E4" s="281" t="s">
        <v>90</v>
      </c>
      <c r="F4" s="314"/>
      <c r="G4" s="324"/>
      <c r="H4" s="324" t="s">
        <v>91</v>
      </c>
      <c r="I4" s="392" t="s">
        <v>3</v>
      </c>
      <c r="J4" s="394" t="s">
        <v>4</v>
      </c>
      <c r="K4" s="395"/>
      <c r="L4" s="396"/>
      <c r="M4" s="400" t="s">
        <v>21</v>
      </c>
      <c r="N4" s="311" t="s">
        <v>92</v>
      </c>
      <c r="O4" s="342" t="s">
        <v>75</v>
      </c>
      <c r="P4" s="331" t="s">
        <v>6</v>
      </c>
      <c r="Q4" s="332"/>
      <c r="R4" s="332"/>
      <c r="S4" s="332"/>
      <c r="T4" s="332"/>
      <c r="U4" s="332"/>
      <c r="V4" s="332"/>
      <c r="W4" s="332"/>
      <c r="X4" s="332"/>
      <c r="Y4" s="333"/>
      <c r="Z4" s="343" t="s">
        <v>76</v>
      </c>
      <c r="AA4" s="344"/>
      <c r="AB4" s="336" t="s">
        <v>7</v>
      </c>
      <c r="AC4" s="336" t="s">
        <v>8</v>
      </c>
    </row>
    <row r="5" spans="1:29" ht="20.25" customHeight="1" thickBot="1">
      <c r="A5" s="350"/>
      <c r="B5" s="284"/>
      <c r="C5" s="286"/>
      <c r="D5" s="391"/>
      <c r="E5" s="315"/>
      <c r="F5" s="316"/>
      <c r="G5" s="325"/>
      <c r="H5" s="327"/>
      <c r="I5" s="393"/>
      <c r="J5" s="397"/>
      <c r="K5" s="398"/>
      <c r="L5" s="399"/>
      <c r="M5" s="401"/>
      <c r="N5" s="312"/>
      <c r="O5" s="297"/>
      <c r="P5" s="310"/>
      <c r="Q5" s="334"/>
      <c r="R5" s="334"/>
      <c r="S5" s="334"/>
      <c r="T5" s="334"/>
      <c r="U5" s="334"/>
      <c r="V5" s="334"/>
      <c r="W5" s="334"/>
      <c r="X5" s="334"/>
      <c r="Y5" s="335"/>
      <c r="Z5" s="339" t="s">
        <v>77</v>
      </c>
      <c r="AA5" s="342" t="s">
        <v>78</v>
      </c>
      <c r="AB5" s="337"/>
      <c r="AC5" s="337"/>
    </row>
    <row r="6" spans="1:29" ht="27" customHeight="1">
      <c r="A6" s="350"/>
      <c r="B6" s="284"/>
      <c r="C6" s="286"/>
      <c r="D6" s="391"/>
      <c r="E6" s="281" t="s">
        <v>93</v>
      </c>
      <c r="F6" s="392" t="s">
        <v>11</v>
      </c>
      <c r="G6" s="392" t="s">
        <v>13</v>
      </c>
      <c r="H6" s="327"/>
      <c r="I6" s="393"/>
      <c r="J6" s="282" t="s">
        <v>93</v>
      </c>
      <c r="K6" s="393" t="s">
        <v>11</v>
      </c>
      <c r="L6" s="326" t="s">
        <v>13</v>
      </c>
      <c r="M6" s="401"/>
      <c r="N6" s="312"/>
      <c r="O6" s="297"/>
      <c r="P6" s="402" t="s">
        <v>22</v>
      </c>
      <c r="Q6" s="404" t="s">
        <v>23</v>
      </c>
      <c r="R6" s="404" t="s">
        <v>93</v>
      </c>
      <c r="S6" s="410"/>
      <c r="T6" s="410"/>
      <c r="U6" s="412" t="s">
        <v>94</v>
      </c>
      <c r="V6" s="414" t="s">
        <v>95</v>
      </c>
      <c r="W6" s="416" t="s">
        <v>96</v>
      </c>
      <c r="X6" s="408" t="s">
        <v>30</v>
      </c>
      <c r="Y6" s="408" t="s">
        <v>25</v>
      </c>
      <c r="Z6" s="340"/>
      <c r="AA6" s="297"/>
      <c r="AB6" s="337"/>
      <c r="AC6" s="337"/>
    </row>
    <row r="7" spans="1:29" ht="26.25" customHeight="1" thickBot="1">
      <c r="A7" s="351"/>
      <c r="B7" s="284"/>
      <c r="C7" s="286"/>
      <c r="D7" s="391"/>
      <c r="E7" s="406"/>
      <c r="F7" s="393"/>
      <c r="G7" s="407"/>
      <c r="H7" s="381"/>
      <c r="I7" s="393"/>
      <c r="J7" s="406"/>
      <c r="K7" s="393"/>
      <c r="L7" s="326"/>
      <c r="M7" s="401"/>
      <c r="N7" s="312"/>
      <c r="O7" s="297"/>
      <c r="P7" s="403"/>
      <c r="Q7" s="405"/>
      <c r="R7" s="405"/>
      <c r="S7" s="411"/>
      <c r="T7" s="411"/>
      <c r="U7" s="413"/>
      <c r="V7" s="415"/>
      <c r="W7" s="417"/>
      <c r="X7" s="409"/>
      <c r="Y7" s="409"/>
      <c r="Z7" s="340"/>
      <c r="AA7" s="297"/>
      <c r="AB7" s="337"/>
      <c r="AC7" s="337"/>
    </row>
    <row r="8" spans="1:42" s="24" customFormat="1" ht="13.5" thickBot="1">
      <c r="A8" s="199" t="s">
        <v>46</v>
      </c>
      <c r="B8" s="27"/>
      <c r="C8" s="27">
        <f>Лист1!C44</f>
        <v>23632.665</v>
      </c>
      <c r="D8" s="27">
        <f>Лист1!D44</f>
        <v>6453.610022790002</v>
      </c>
      <c r="E8" s="172">
        <f>Лист1!E44+Лист1!G44+Лист1!K44</f>
        <v>8736.189999999999</v>
      </c>
      <c r="F8" s="172">
        <f>Лист1!I44</f>
        <v>6170.2300000000005</v>
      </c>
      <c r="G8" s="200">
        <f>Лист1!M44</f>
        <v>1517.7600000000002</v>
      </c>
      <c r="H8" s="172">
        <f>Лист1!F44+Лист1!H44+Лист1!J44+Лист1!L44+Лист1!N44</f>
        <v>815.87</v>
      </c>
      <c r="I8" s="172">
        <f>Лист1!O44</f>
        <v>16424.18</v>
      </c>
      <c r="J8" s="172">
        <f>Лист1!Q44+Лист1!R44+Лист1!T44</f>
        <v>8281.78</v>
      </c>
      <c r="K8" s="172">
        <f>Лист1!S44</f>
        <v>5286.76</v>
      </c>
      <c r="L8" s="172">
        <f>Лист1!U44</f>
        <v>1300.3899999999999</v>
      </c>
      <c r="M8" s="172">
        <f>Лист1!V44</f>
        <v>14868.929999999998</v>
      </c>
      <c r="N8" s="172">
        <f>Лист1!W44</f>
        <v>22138.410022790005</v>
      </c>
      <c r="O8" s="172">
        <f>'[1]Лист1'!X44</f>
        <v>0</v>
      </c>
      <c r="P8" s="172">
        <f>Лист1!Y44</f>
        <v>1614.8280000000002</v>
      </c>
      <c r="Q8" s="172">
        <f>Лист1!Z44</f>
        <v>541.1498376000001</v>
      </c>
      <c r="R8" s="201">
        <f>Лист1!AA44+Лист1!AB44+Лист1!AC44+Лист1!AD44+Лист1!AE44+Лист1!AF44+Лист1!AI44+Лист1!AJ44</f>
        <v>11174.3471871996</v>
      </c>
      <c r="U8" s="201">
        <f>Лист1!AK44+Лист1!AM44</f>
        <v>324.85400000000004</v>
      </c>
      <c r="V8" s="201">
        <f>Лист1!AL44</f>
        <v>47.8</v>
      </c>
      <c r="W8" s="201">
        <v>0</v>
      </c>
      <c r="X8" s="201">
        <v>0</v>
      </c>
      <c r="Y8" s="201">
        <v>0</v>
      </c>
      <c r="Z8" s="201">
        <f>'[2]Лист1'!$BC$39</f>
        <v>0</v>
      </c>
      <c r="AA8" s="27">
        <f>Лист1!AU44</f>
        <v>13702.979024799602</v>
      </c>
      <c r="AB8" s="27">
        <f>Лист1!AV44</f>
        <v>8435.4309979904</v>
      </c>
      <c r="AC8" s="27">
        <f>Лист1!AW44</f>
        <v>-1555.250000000001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59"/>
    </row>
    <row r="9" spans="1:29" ht="12.75">
      <c r="A9" s="202" t="s">
        <v>97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</row>
    <row r="10" spans="1:38" ht="12.75">
      <c r="A10" s="203" t="s">
        <v>37</v>
      </c>
      <c r="B10" s="100">
        <v>98.7</v>
      </c>
      <c r="C10" s="120">
        <f>B10*8.67</f>
        <v>855.729</v>
      </c>
      <c r="D10" s="121">
        <v>0</v>
      </c>
      <c r="E10" s="204">
        <v>542.59</v>
      </c>
      <c r="F10" s="204">
        <v>263.61</v>
      </c>
      <c r="G10" s="204">
        <v>91.54</v>
      </c>
      <c r="H10" s="204"/>
      <c r="I10" s="205">
        <f>E10+F10+G10</f>
        <v>897.74</v>
      </c>
      <c r="J10" s="123">
        <v>0</v>
      </c>
      <c r="K10" s="123">
        <v>376.18</v>
      </c>
      <c r="L10" s="142">
        <v>92.53</v>
      </c>
      <c r="M10" s="100">
        <f>SUM(J10:L10)</f>
        <v>468.71000000000004</v>
      </c>
      <c r="N10" s="206">
        <f aca="true" t="shared" si="0" ref="N10:N21">M10+D10</f>
        <v>468.71000000000004</v>
      </c>
      <c r="O10" s="206"/>
      <c r="P10" s="207">
        <f aca="true" t="shared" si="1" ref="P10:P21">0.67*B10</f>
        <v>66.129</v>
      </c>
      <c r="Q10" s="207">
        <f aca="true" t="shared" si="2" ref="Q10:Q21">B10*0.2</f>
        <v>19.740000000000002</v>
      </c>
      <c r="R10" s="207">
        <f>(4.23*B10)</f>
        <v>417.50100000000003</v>
      </c>
      <c r="S10" s="207"/>
      <c r="T10" s="207"/>
      <c r="U10" s="208"/>
      <c r="V10" s="208"/>
      <c r="W10" s="208"/>
      <c r="X10" s="209"/>
      <c r="Y10" s="210"/>
      <c r="Z10" s="210">
        <f aca="true" t="shared" si="3" ref="Z10:Z21">Y10*0.18</f>
        <v>0</v>
      </c>
      <c r="AA10" s="210">
        <f aca="true" t="shared" si="4" ref="AA10:AA21">SUM(P10:Z10)</f>
        <v>503.37</v>
      </c>
      <c r="AB10" s="211">
        <f>N10-AA10</f>
        <v>-34.65999999999997</v>
      </c>
      <c r="AC10" s="210">
        <f>M10-I10</f>
        <v>-429.03</v>
      </c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9" ht="12.75">
      <c r="A11" s="203" t="s">
        <v>38</v>
      </c>
      <c r="B11" s="212">
        <v>98.7</v>
      </c>
      <c r="C11" s="120">
        <f>B11*8.67</f>
        <v>855.729</v>
      </c>
      <c r="D11" s="121">
        <v>0</v>
      </c>
      <c r="E11" s="213">
        <v>542.59</v>
      </c>
      <c r="F11" s="214">
        <v>263.61</v>
      </c>
      <c r="G11" s="215">
        <v>91.54</v>
      </c>
      <c r="H11" s="216"/>
      <c r="I11" s="217">
        <f>E11+F11+G11</f>
        <v>897.74</v>
      </c>
      <c r="J11" s="122">
        <v>247.48</v>
      </c>
      <c r="K11" s="214">
        <v>130.12</v>
      </c>
      <c r="L11" s="218">
        <v>44.12</v>
      </c>
      <c r="M11" s="219">
        <f>SUM(J11:L11)</f>
        <v>421.72</v>
      </c>
      <c r="N11" s="206">
        <f t="shared" si="0"/>
        <v>421.72</v>
      </c>
      <c r="O11" s="206"/>
      <c r="P11" s="207">
        <f t="shared" si="1"/>
        <v>66.129</v>
      </c>
      <c r="Q11" s="207">
        <f t="shared" si="2"/>
        <v>19.740000000000002</v>
      </c>
      <c r="R11" s="207">
        <f>(4.23*B11)</f>
        <v>417.50100000000003</v>
      </c>
      <c r="S11" s="220"/>
      <c r="T11" s="220"/>
      <c r="U11" s="208"/>
      <c r="V11" s="208"/>
      <c r="W11" s="208"/>
      <c r="X11" s="209"/>
      <c r="Y11" s="210"/>
      <c r="Z11" s="210">
        <f t="shared" si="3"/>
        <v>0</v>
      </c>
      <c r="AA11" s="210">
        <f t="shared" si="4"/>
        <v>503.37</v>
      </c>
      <c r="AB11" s="211">
        <f aca="true" t="shared" si="5" ref="AB11:AB21">N11-AA11</f>
        <v>-81.64999999999998</v>
      </c>
      <c r="AC11" s="210">
        <f aca="true" t="shared" si="6" ref="AC11:AC21">M11-I11</f>
        <v>-476.02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</row>
    <row r="12" spans="1:29" ht="12.75">
      <c r="A12" s="203" t="s">
        <v>39</v>
      </c>
      <c r="B12" s="221">
        <v>98.7</v>
      </c>
      <c r="C12" s="120">
        <f>B12*8.67</f>
        <v>855.729</v>
      </c>
      <c r="D12" s="121">
        <v>0</v>
      </c>
      <c r="E12" s="213">
        <v>542.59</v>
      </c>
      <c r="F12" s="204">
        <v>263.61</v>
      </c>
      <c r="G12" s="204">
        <v>91.54</v>
      </c>
      <c r="H12" s="216"/>
      <c r="I12" s="222">
        <f>E12+F12+G12</f>
        <v>897.74</v>
      </c>
      <c r="J12" s="223">
        <v>262.61</v>
      </c>
      <c r="K12" s="223">
        <v>128.13</v>
      </c>
      <c r="L12" s="223">
        <v>44.38</v>
      </c>
      <c r="M12" s="100">
        <f>SUM(J12:L12)</f>
        <v>435.12</v>
      </c>
      <c r="N12" s="206">
        <f t="shared" si="0"/>
        <v>435.12</v>
      </c>
      <c r="O12" s="206"/>
      <c r="P12" s="207">
        <f t="shared" si="1"/>
        <v>66.129</v>
      </c>
      <c r="Q12" s="207">
        <f t="shared" si="2"/>
        <v>19.740000000000002</v>
      </c>
      <c r="R12" s="207">
        <f>(4.23*B12)</f>
        <v>417.50100000000003</v>
      </c>
      <c r="S12" s="220"/>
      <c r="T12" s="220"/>
      <c r="U12" s="208"/>
      <c r="V12" s="208"/>
      <c r="W12" s="208"/>
      <c r="X12" s="209"/>
      <c r="Y12" s="210"/>
      <c r="Z12" s="210">
        <f t="shared" si="3"/>
        <v>0</v>
      </c>
      <c r="AA12" s="210">
        <f t="shared" si="4"/>
        <v>503.37</v>
      </c>
      <c r="AB12" s="211">
        <f t="shared" si="5"/>
        <v>-68.25</v>
      </c>
      <c r="AC12" s="210">
        <f t="shared" si="6"/>
        <v>-462.62</v>
      </c>
    </row>
    <row r="13" spans="1:37" ht="12.75">
      <c r="A13" s="224" t="s">
        <v>40</v>
      </c>
      <c r="B13" s="100">
        <v>98.7</v>
      </c>
      <c r="C13" s="120">
        <f aca="true" t="shared" si="7" ref="C13:C21">B13*8.55</f>
        <v>843.8850000000001</v>
      </c>
      <c r="D13" s="274">
        <v>0</v>
      </c>
      <c r="E13" s="213">
        <v>542.59</v>
      </c>
      <c r="F13" s="204">
        <v>263.61</v>
      </c>
      <c r="G13" s="204">
        <v>91.54</v>
      </c>
      <c r="H13" s="225"/>
      <c r="I13" s="226">
        <f>E13+F13+G13</f>
        <v>897.74</v>
      </c>
      <c r="J13" s="123">
        <v>645.52</v>
      </c>
      <c r="K13" s="123">
        <v>493.78</v>
      </c>
      <c r="L13" s="142">
        <v>153.26</v>
      </c>
      <c r="M13" s="227">
        <f>SUM(J13:L13)</f>
        <v>1292.56</v>
      </c>
      <c r="N13" s="228">
        <f t="shared" si="0"/>
        <v>1292.56</v>
      </c>
      <c r="O13" s="228"/>
      <c r="P13" s="229">
        <f t="shared" si="1"/>
        <v>66.129</v>
      </c>
      <c r="Q13" s="229">
        <f t="shared" si="2"/>
        <v>19.740000000000002</v>
      </c>
      <c r="R13" s="229">
        <f>(4.23*B13)</f>
        <v>417.50100000000003</v>
      </c>
      <c r="S13" s="229"/>
      <c r="T13" s="229"/>
      <c r="U13" s="230"/>
      <c r="V13" s="230"/>
      <c r="W13" s="230"/>
      <c r="X13" s="231"/>
      <c r="Y13" s="232"/>
      <c r="Z13" s="232">
        <f t="shared" si="3"/>
        <v>0</v>
      </c>
      <c r="AA13" s="232">
        <f t="shared" si="4"/>
        <v>503.37</v>
      </c>
      <c r="AB13" s="211">
        <f t="shared" si="5"/>
        <v>789.1899999999999</v>
      </c>
      <c r="AC13" s="210">
        <f t="shared" si="6"/>
        <v>394.81999999999994</v>
      </c>
      <c r="AD13" s="195"/>
      <c r="AE13" s="195"/>
      <c r="AF13" s="195"/>
      <c r="AG13" s="195"/>
      <c r="AH13" s="195"/>
      <c r="AI13" s="195"/>
      <c r="AJ13" s="195"/>
      <c r="AK13" s="195"/>
    </row>
    <row r="14" spans="1:37" ht="12.75">
      <c r="A14" s="224" t="s">
        <v>41</v>
      </c>
      <c r="B14" s="100">
        <v>98.7</v>
      </c>
      <c r="C14" s="120">
        <f t="shared" si="7"/>
        <v>843.8850000000001</v>
      </c>
      <c r="D14" s="274">
        <v>0</v>
      </c>
      <c r="E14" s="204">
        <v>542.59</v>
      </c>
      <c r="F14" s="204">
        <v>263.61</v>
      </c>
      <c r="G14" s="225">
        <v>91.54</v>
      </c>
      <c r="H14" s="216"/>
      <c r="I14" s="233">
        <f>SUM(E14:G14)</f>
        <v>897.74</v>
      </c>
      <c r="J14" s="123">
        <v>263.59</v>
      </c>
      <c r="K14" s="123">
        <v>128.01</v>
      </c>
      <c r="L14" s="142">
        <v>44.4</v>
      </c>
      <c r="M14" s="234">
        <f>SUM(J14:L14)</f>
        <v>435.99999999999994</v>
      </c>
      <c r="N14" s="235">
        <f t="shared" si="0"/>
        <v>435.99999999999994</v>
      </c>
      <c r="O14" s="228"/>
      <c r="P14" s="229">
        <f t="shared" si="1"/>
        <v>66.129</v>
      </c>
      <c r="Q14" s="229">
        <f t="shared" si="2"/>
        <v>19.740000000000002</v>
      </c>
      <c r="R14" s="229">
        <f>(4.23*B14)</f>
        <v>417.50100000000003</v>
      </c>
      <c r="S14" s="229"/>
      <c r="T14" s="229"/>
      <c r="U14" s="230"/>
      <c r="V14" s="230"/>
      <c r="W14" s="230"/>
      <c r="X14" s="231"/>
      <c r="Y14" s="232"/>
      <c r="Z14" s="232">
        <f t="shared" si="3"/>
        <v>0</v>
      </c>
      <c r="AA14" s="232">
        <f t="shared" si="4"/>
        <v>503.37</v>
      </c>
      <c r="AB14" s="211">
        <f t="shared" si="5"/>
        <v>-67.37000000000006</v>
      </c>
      <c r="AC14" s="210">
        <f t="shared" si="6"/>
        <v>-461.74000000000007</v>
      </c>
      <c r="AD14" s="195"/>
      <c r="AE14" s="195"/>
      <c r="AF14" s="195"/>
      <c r="AG14" s="195"/>
      <c r="AH14" s="195"/>
      <c r="AI14" s="195"/>
      <c r="AJ14" s="195"/>
      <c r="AK14" s="195"/>
    </row>
    <row r="15" spans="1:37" ht="12.75">
      <c r="A15" s="224" t="s">
        <v>42</v>
      </c>
      <c r="B15" s="236">
        <v>98.7</v>
      </c>
      <c r="C15" s="120">
        <f t="shared" si="7"/>
        <v>843.8850000000001</v>
      </c>
      <c r="D15" s="237">
        <v>0</v>
      </c>
      <c r="E15" s="204">
        <v>542.59</v>
      </c>
      <c r="F15" s="204">
        <v>263.61</v>
      </c>
      <c r="G15" s="225">
        <v>91.54</v>
      </c>
      <c r="H15" s="216"/>
      <c r="I15" s="238">
        <f aca="true" t="shared" si="8" ref="I15:I21">SUM(E15:G15)</f>
        <v>897.74</v>
      </c>
      <c r="J15" s="239">
        <v>830.81</v>
      </c>
      <c r="K15" s="239">
        <v>523.8</v>
      </c>
      <c r="L15" s="240">
        <v>169.8</v>
      </c>
      <c r="M15" s="241">
        <v>1524.41</v>
      </c>
      <c r="N15" s="228">
        <f t="shared" si="0"/>
        <v>1524.41</v>
      </c>
      <c r="O15" s="228"/>
      <c r="P15" s="229">
        <f t="shared" si="1"/>
        <v>66.129</v>
      </c>
      <c r="Q15" s="229">
        <f t="shared" si="2"/>
        <v>19.740000000000002</v>
      </c>
      <c r="R15" s="229">
        <f aca="true" t="shared" si="9" ref="R15:R21">3.25*B15</f>
        <v>320.77500000000003</v>
      </c>
      <c r="S15" s="229"/>
      <c r="T15" s="229"/>
      <c r="U15" s="230"/>
      <c r="V15" s="230"/>
      <c r="W15" s="230"/>
      <c r="X15" s="230"/>
      <c r="Y15" s="229"/>
      <c r="Z15" s="232">
        <f t="shared" si="3"/>
        <v>0</v>
      </c>
      <c r="AA15" s="242">
        <f t="shared" si="4"/>
        <v>406.644</v>
      </c>
      <c r="AB15" s="211">
        <f t="shared" si="5"/>
        <v>1117.766</v>
      </c>
      <c r="AC15" s="210">
        <f t="shared" si="6"/>
        <v>626.6700000000001</v>
      </c>
      <c r="AD15" s="195"/>
      <c r="AE15" s="195"/>
      <c r="AF15" s="195"/>
      <c r="AG15" s="195"/>
      <c r="AH15" s="195"/>
      <c r="AI15" s="195"/>
      <c r="AJ15" s="195"/>
      <c r="AK15" s="195"/>
    </row>
    <row r="16" spans="1:33" ht="12.75">
      <c r="A16" s="224" t="s">
        <v>43</v>
      </c>
      <c r="B16" s="275">
        <v>98.7</v>
      </c>
      <c r="C16" s="120">
        <f t="shared" si="7"/>
        <v>843.8850000000001</v>
      </c>
      <c r="D16" s="237">
        <v>0</v>
      </c>
      <c r="E16" s="243">
        <v>542.59</v>
      </c>
      <c r="F16" s="243">
        <v>263.61</v>
      </c>
      <c r="G16" s="244">
        <v>91.54</v>
      </c>
      <c r="H16" s="245"/>
      <c r="I16" s="238">
        <f t="shared" si="8"/>
        <v>897.74</v>
      </c>
      <c r="J16" s="123">
        <v>723.83</v>
      </c>
      <c r="K16" s="123">
        <v>411.62</v>
      </c>
      <c r="L16" s="123">
        <v>136.92</v>
      </c>
      <c r="M16" s="246">
        <f aca="true" t="shared" si="10" ref="M16:M21">SUM(J16:L16)</f>
        <v>1272.3700000000001</v>
      </c>
      <c r="N16" s="247">
        <f t="shared" si="0"/>
        <v>1272.3700000000001</v>
      </c>
      <c r="O16" s="228"/>
      <c r="P16" s="229">
        <f t="shared" si="1"/>
        <v>66.129</v>
      </c>
      <c r="Q16" s="229">
        <f t="shared" si="2"/>
        <v>19.740000000000002</v>
      </c>
      <c r="R16" s="229">
        <f t="shared" si="9"/>
        <v>320.77500000000003</v>
      </c>
      <c r="S16" s="229"/>
      <c r="T16" s="229"/>
      <c r="U16" s="230"/>
      <c r="V16" s="230"/>
      <c r="W16" s="230"/>
      <c r="X16" s="231"/>
      <c r="Y16" s="232"/>
      <c r="Z16" s="232">
        <f t="shared" si="3"/>
        <v>0</v>
      </c>
      <c r="AA16" s="232">
        <f t="shared" si="4"/>
        <v>406.644</v>
      </c>
      <c r="AB16" s="211">
        <f t="shared" si="5"/>
        <v>865.7260000000001</v>
      </c>
      <c r="AC16" s="210">
        <f t="shared" si="6"/>
        <v>374.6300000000001</v>
      </c>
      <c r="AD16" s="195"/>
      <c r="AE16" s="195"/>
      <c r="AF16" s="195"/>
      <c r="AG16" s="195"/>
    </row>
    <row r="17" spans="1:32" ht="12.75">
      <c r="A17" s="224" t="s">
        <v>44</v>
      </c>
      <c r="B17" s="275">
        <v>98.7</v>
      </c>
      <c r="C17" s="120">
        <f t="shared" si="7"/>
        <v>843.8850000000001</v>
      </c>
      <c r="D17" s="237">
        <v>0</v>
      </c>
      <c r="E17" s="204">
        <v>542.59</v>
      </c>
      <c r="F17" s="204">
        <v>263.61</v>
      </c>
      <c r="G17" s="204">
        <v>91.54</v>
      </c>
      <c r="H17" s="216"/>
      <c r="I17" s="238">
        <f t="shared" si="8"/>
        <v>897.74</v>
      </c>
      <c r="J17" s="123">
        <v>263.6</v>
      </c>
      <c r="K17" s="123">
        <v>128.01</v>
      </c>
      <c r="L17" s="123">
        <v>44.4</v>
      </c>
      <c r="M17" s="246">
        <f t="shared" si="10"/>
        <v>436.01</v>
      </c>
      <c r="N17" s="247">
        <f t="shared" si="0"/>
        <v>436.01</v>
      </c>
      <c r="O17" s="228"/>
      <c r="P17" s="229">
        <f t="shared" si="1"/>
        <v>66.129</v>
      </c>
      <c r="Q17" s="229">
        <f t="shared" si="2"/>
        <v>19.740000000000002</v>
      </c>
      <c r="R17" s="229">
        <f t="shared" si="9"/>
        <v>320.77500000000003</v>
      </c>
      <c r="S17" s="229"/>
      <c r="T17" s="229"/>
      <c r="U17" s="230"/>
      <c r="V17" s="230"/>
      <c r="W17" s="230"/>
      <c r="X17" s="231"/>
      <c r="Y17" s="232"/>
      <c r="Z17" s="232">
        <f t="shared" si="3"/>
        <v>0</v>
      </c>
      <c r="AA17" s="232">
        <f t="shared" si="4"/>
        <v>406.644</v>
      </c>
      <c r="AB17" s="211">
        <f t="shared" si="5"/>
        <v>29.365999999999985</v>
      </c>
      <c r="AC17" s="210">
        <f t="shared" si="6"/>
        <v>-461.73</v>
      </c>
      <c r="AD17" s="195"/>
      <c r="AE17" s="195"/>
      <c r="AF17" s="195"/>
    </row>
    <row r="18" spans="1:32" ht="12.75">
      <c r="A18" s="224" t="s">
        <v>45</v>
      </c>
      <c r="B18" s="100">
        <v>98.7</v>
      </c>
      <c r="C18" s="120">
        <f t="shared" si="7"/>
        <v>843.8850000000001</v>
      </c>
      <c r="D18" s="237">
        <v>0</v>
      </c>
      <c r="E18" s="204">
        <v>542.59</v>
      </c>
      <c r="F18" s="204">
        <v>263.61</v>
      </c>
      <c r="G18" s="204">
        <v>91.54</v>
      </c>
      <c r="H18" s="216"/>
      <c r="I18" s="238">
        <f t="shared" si="8"/>
        <v>897.74</v>
      </c>
      <c r="J18" s="123">
        <v>263.6</v>
      </c>
      <c r="K18" s="123">
        <v>128.01</v>
      </c>
      <c r="L18" s="123">
        <v>44.39</v>
      </c>
      <c r="M18" s="248">
        <f t="shared" si="10"/>
        <v>436</v>
      </c>
      <c r="N18" s="247">
        <f t="shared" si="0"/>
        <v>436</v>
      </c>
      <c r="O18" s="228"/>
      <c r="P18" s="229">
        <f t="shared" si="1"/>
        <v>66.129</v>
      </c>
      <c r="Q18" s="229">
        <f t="shared" si="2"/>
        <v>19.740000000000002</v>
      </c>
      <c r="R18" s="229">
        <f t="shared" si="9"/>
        <v>320.77500000000003</v>
      </c>
      <c r="S18" s="229"/>
      <c r="T18" s="229"/>
      <c r="U18" s="230"/>
      <c r="V18" s="230"/>
      <c r="W18" s="230"/>
      <c r="X18" s="231"/>
      <c r="Y18" s="232"/>
      <c r="Z18" s="232">
        <f t="shared" si="3"/>
        <v>0</v>
      </c>
      <c r="AA18" s="232">
        <f t="shared" si="4"/>
        <v>406.644</v>
      </c>
      <c r="AB18" s="211">
        <f t="shared" si="5"/>
        <v>29.355999999999995</v>
      </c>
      <c r="AC18" s="210">
        <f t="shared" si="6"/>
        <v>-461.74</v>
      </c>
      <c r="AD18" s="195"/>
      <c r="AE18" s="195"/>
      <c r="AF18" s="195"/>
    </row>
    <row r="19" spans="1:32" ht="12.75">
      <c r="A19" s="224" t="s">
        <v>33</v>
      </c>
      <c r="B19" s="100">
        <v>98.7</v>
      </c>
      <c r="C19" s="120">
        <f t="shared" si="7"/>
        <v>843.8850000000001</v>
      </c>
      <c r="D19" s="237">
        <v>0</v>
      </c>
      <c r="E19" s="204">
        <v>542.59</v>
      </c>
      <c r="F19" s="204">
        <v>263.61</v>
      </c>
      <c r="G19" s="215">
        <v>91.54</v>
      </c>
      <c r="H19" s="222"/>
      <c r="I19" s="238">
        <f t="shared" si="8"/>
        <v>897.74</v>
      </c>
      <c r="J19" s="223">
        <v>805.98</v>
      </c>
      <c r="K19" s="223">
        <v>408.6</v>
      </c>
      <c r="L19" s="221">
        <v>140.23</v>
      </c>
      <c r="M19" s="248">
        <f t="shared" si="10"/>
        <v>1354.81</v>
      </c>
      <c r="N19" s="247">
        <f t="shared" si="0"/>
        <v>1354.81</v>
      </c>
      <c r="O19" s="228"/>
      <c r="P19" s="229">
        <f t="shared" si="1"/>
        <v>66.129</v>
      </c>
      <c r="Q19" s="229">
        <f t="shared" si="2"/>
        <v>19.740000000000002</v>
      </c>
      <c r="R19" s="229">
        <f t="shared" si="9"/>
        <v>320.77500000000003</v>
      </c>
      <c r="S19" s="229"/>
      <c r="T19" s="229"/>
      <c r="U19" s="230"/>
      <c r="V19" s="230"/>
      <c r="W19" s="230"/>
      <c r="X19" s="231"/>
      <c r="Y19" s="232"/>
      <c r="Z19" s="232">
        <f t="shared" si="3"/>
        <v>0</v>
      </c>
      <c r="AA19" s="232">
        <f t="shared" si="4"/>
        <v>406.644</v>
      </c>
      <c r="AB19" s="211">
        <f t="shared" si="5"/>
        <v>948.1659999999999</v>
      </c>
      <c r="AC19" s="210">
        <f t="shared" si="6"/>
        <v>457.06999999999994</v>
      </c>
      <c r="AD19" s="195"/>
      <c r="AE19" s="195"/>
      <c r="AF19" s="195"/>
    </row>
    <row r="20" spans="1:32" ht="12.75">
      <c r="A20" s="203" t="s">
        <v>34</v>
      </c>
      <c r="B20" s="100">
        <v>98.7</v>
      </c>
      <c r="C20" s="120">
        <f t="shared" si="7"/>
        <v>843.8850000000001</v>
      </c>
      <c r="D20" s="237">
        <v>0</v>
      </c>
      <c r="E20" s="204">
        <v>542.59</v>
      </c>
      <c r="F20" s="204">
        <v>263.61</v>
      </c>
      <c r="G20" s="204">
        <v>91.54</v>
      </c>
      <c r="H20" s="216"/>
      <c r="I20" s="238">
        <f t="shared" si="8"/>
        <v>897.74</v>
      </c>
      <c r="J20" s="223">
        <v>271.49</v>
      </c>
      <c r="K20" s="223">
        <v>131.83</v>
      </c>
      <c r="L20" s="223">
        <v>45.72</v>
      </c>
      <c r="M20" s="248">
        <f t="shared" si="10"/>
        <v>449.0400000000001</v>
      </c>
      <c r="N20" s="247">
        <f t="shared" si="0"/>
        <v>449.0400000000001</v>
      </c>
      <c r="O20" s="228"/>
      <c r="P20" s="229">
        <f t="shared" si="1"/>
        <v>66.129</v>
      </c>
      <c r="Q20" s="229">
        <f t="shared" si="2"/>
        <v>19.740000000000002</v>
      </c>
      <c r="R20" s="229">
        <f t="shared" si="9"/>
        <v>320.77500000000003</v>
      </c>
      <c r="S20" s="229"/>
      <c r="T20" s="229"/>
      <c r="U20" s="230"/>
      <c r="V20" s="230"/>
      <c r="W20" s="230"/>
      <c r="X20" s="231"/>
      <c r="Y20" s="232"/>
      <c r="Z20" s="232">
        <f t="shared" si="3"/>
        <v>0</v>
      </c>
      <c r="AA20" s="232">
        <f t="shared" si="4"/>
        <v>406.644</v>
      </c>
      <c r="AB20" s="211">
        <f t="shared" si="5"/>
        <v>42.39600000000007</v>
      </c>
      <c r="AC20" s="210">
        <f t="shared" si="6"/>
        <v>-448.69999999999993</v>
      </c>
      <c r="AD20" s="195"/>
      <c r="AE20" s="195"/>
      <c r="AF20" s="195"/>
    </row>
    <row r="21" spans="1:32" ht="13.5" thickBot="1">
      <c r="A21" s="249" t="s">
        <v>35</v>
      </c>
      <c r="B21" s="100">
        <v>98.7</v>
      </c>
      <c r="C21" s="120">
        <f t="shared" si="7"/>
        <v>843.8850000000001</v>
      </c>
      <c r="D21" s="237">
        <v>0</v>
      </c>
      <c r="E21" s="243">
        <v>542.59</v>
      </c>
      <c r="F21" s="243">
        <v>263.61</v>
      </c>
      <c r="G21" s="243">
        <v>81.54</v>
      </c>
      <c r="H21" s="245"/>
      <c r="I21" s="238">
        <f t="shared" si="8"/>
        <v>887.74</v>
      </c>
      <c r="J21" s="239">
        <v>256.22</v>
      </c>
      <c r="K21" s="239">
        <v>124.42</v>
      </c>
      <c r="L21" s="236">
        <v>43.15</v>
      </c>
      <c r="M21" s="248">
        <f t="shared" si="10"/>
        <v>423.79</v>
      </c>
      <c r="N21" s="247">
        <f t="shared" si="0"/>
        <v>423.79</v>
      </c>
      <c r="O21" s="228"/>
      <c r="P21" s="229">
        <f t="shared" si="1"/>
        <v>66.129</v>
      </c>
      <c r="Q21" s="229">
        <f t="shared" si="2"/>
        <v>19.740000000000002</v>
      </c>
      <c r="R21" s="229">
        <f t="shared" si="9"/>
        <v>320.77500000000003</v>
      </c>
      <c r="S21" s="250"/>
      <c r="T21" s="250"/>
      <c r="U21" s="230"/>
      <c r="V21" s="230"/>
      <c r="W21" s="251"/>
      <c r="X21" s="252"/>
      <c r="Y21" s="232"/>
      <c r="Z21" s="232">
        <f t="shared" si="3"/>
        <v>0</v>
      </c>
      <c r="AA21" s="232">
        <f t="shared" si="4"/>
        <v>406.644</v>
      </c>
      <c r="AB21" s="211">
        <f t="shared" si="5"/>
        <v>17.146000000000015</v>
      </c>
      <c r="AC21" s="210">
        <f t="shared" si="6"/>
        <v>-463.95</v>
      </c>
      <c r="AD21" s="195"/>
      <c r="AE21" s="195"/>
      <c r="AF21" s="195"/>
    </row>
    <row r="22" spans="1:29" s="24" customFormat="1" ht="13.5" thickBot="1">
      <c r="A22" s="253" t="s">
        <v>3</v>
      </c>
      <c r="B22" s="254"/>
      <c r="C22" s="254"/>
      <c r="D22" s="255">
        <f aca="true" t="shared" si="11" ref="D22:AB22">SUM(D10:D21)</f>
        <v>0</v>
      </c>
      <c r="E22" s="255">
        <f t="shared" si="11"/>
        <v>6511.080000000001</v>
      </c>
      <c r="F22" s="255">
        <f t="shared" si="11"/>
        <v>3163.320000000001</v>
      </c>
      <c r="G22" s="255">
        <f t="shared" si="11"/>
        <v>1088.4799999999998</v>
      </c>
      <c r="H22" s="255">
        <f t="shared" si="11"/>
        <v>0</v>
      </c>
      <c r="I22" s="255">
        <f t="shared" si="11"/>
        <v>10762.88</v>
      </c>
      <c r="J22" s="255">
        <f t="shared" si="11"/>
        <v>4834.7300000000005</v>
      </c>
      <c r="K22" s="255">
        <f t="shared" si="11"/>
        <v>3112.5099999999998</v>
      </c>
      <c r="L22" s="255">
        <f t="shared" si="11"/>
        <v>1003.3</v>
      </c>
      <c r="M22" s="255">
        <f t="shared" si="11"/>
        <v>8950.540000000003</v>
      </c>
      <c r="N22" s="255">
        <f t="shared" si="11"/>
        <v>8950.540000000003</v>
      </c>
      <c r="O22" s="255">
        <f t="shared" si="11"/>
        <v>0</v>
      </c>
      <c r="P22" s="255">
        <f t="shared" si="11"/>
        <v>793.5480000000001</v>
      </c>
      <c r="Q22" s="255">
        <f t="shared" si="11"/>
        <v>236.88000000000008</v>
      </c>
      <c r="R22" s="255">
        <f t="shared" si="11"/>
        <v>4332.93</v>
      </c>
      <c r="S22" s="255">
        <f t="shared" si="11"/>
        <v>0</v>
      </c>
      <c r="T22" s="255">
        <f t="shared" si="11"/>
        <v>0</v>
      </c>
      <c r="U22" s="255">
        <f t="shared" si="11"/>
        <v>0</v>
      </c>
      <c r="V22" s="255">
        <f t="shared" si="11"/>
        <v>0</v>
      </c>
      <c r="W22" s="255">
        <f t="shared" si="11"/>
        <v>0</v>
      </c>
      <c r="X22" s="255">
        <f t="shared" si="11"/>
        <v>0</v>
      </c>
      <c r="Y22" s="255">
        <f t="shared" si="11"/>
        <v>0</v>
      </c>
      <c r="Z22" s="255">
        <f t="shared" si="11"/>
        <v>0</v>
      </c>
      <c r="AA22" s="255">
        <f t="shared" si="11"/>
        <v>5363.358000000001</v>
      </c>
      <c r="AB22" s="255">
        <f t="shared" si="11"/>
        <v>3587.1820000000007</v>
      </c>
      <c r="AC22" s="255">
        <f>SUM(AC10:AC21)</f>
        <v>-1812.34</v>
      </c>
    </row>
    <row r="23" spans="1:29" ht="13.5" thickBo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</row>
    <row r="24" spans="1:29" s="24" customFormat="1" ht="13.5" thickBot="1">
      <c r="A24" s="253" t="s">
        <v>98</v>
      </c>
      <c r="B24" s="254"/>
      <c r="C24" s="254"/>
      <c r="D24" s="255">
        <v>9330.22</v>
      </c>
      <c r="E24" s="255">
        <v>263129.61</v>
      </c>
      <c r="F24" s="255">
        <v>181875.86</v>
      </c>
      <c r="G24" s="255">
        <v>45624.38</v>
      </c>
      <c r="H24" s="255">
        <v>71944.81</v>
      </c>
      <c r="I24" s="255">
        <v>490629.85</v>
      </c>
      <c r="J24" s="255">
        <v>216840.97</v>
      </c>
      <c r="K24" s="255">
        <v>151570.93</v>
      </c>
      <c r="L24" s="255">
        <v>38052.74</v>
      </c>
      <c r="M24" s="255">
        <v>406464.64</v>
      </c>
      <c r="N24" s="255">
        <v>534624.38</v>
      </c>
      <c r="O24" s="254">
        <v>0</v>
      </c>
      <c r="P24" s="257">
        <f aca="true" t="shared" si="12" ref="P24:AB24">P8+P22</f>
        <v>2408.376</v>
      </c>
      <c r="Q24" s="257">
        <f t="shared" si="12"/>
        <v>778.0298376000002</v>
      </c>
      <c r="R24" s="257">
        <f t="shared" si="12"/>
        <v>15507.277187199601</v>
      </c>
      <c r="S24" s="257">
        <f>U8+S22</f>
        <v>324.85400000000004</v>
      </c>
      <c r="T24" s="257">
        <f>V8+T22</f>
        <v>47.8</v>
      </c>
      <c r="U24" s="257" t="e">
        <f>#REF!+U22</f>
        <v>#REF!</v>
      </c>
      <c r="V24" s="257" t="e">
        <f>#REF!+V22</f>
        <v>#REF!</v>
      </c>
      <c r="W24" s="257">
        <f t="shared" si="12"/>
        <v>0</v>
      </c>
      <c r="X24" s="257">
        <f t="shared" si="12"/>
        <v>0</v>
      </c>
      <c r="Y24" s="257">
        <f t="shared" si="12"/>
        <v>0</v>
      </c>
      <c r="Z24" s="257">
        <f t="shared" si="12"/>
        <v>0</v>
      </c>
      <c r="AA24" s="257">
        <f t="shared" si="12"/>
        <v>19066.337024799603</v>
      </c>
      <c r="AB24" s="257">
        <f t="shared" si="12"/>
        <v>12022.6129979904</v>
      </c>
      <c r="AC24" s="257">
        <f>AC8+AC22</f>
        <v>-3367.590000000001</v>
      </c>
    </row>
    <row r="25" spans="1:29" ht="12.75">
      <c r="A25" s="202" t="s">
        <v>105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</row>
    <row r="26" spans="1:38" ht="14.25">
      <c r="A26" s="203" t="s">
        <v>37</v>
      </c>
      <c r="B26" s="100">
        <v>98.7</v>
      </c>
      <c r="C26" s="120">
        <f aca="true" t="shared" si="13" ref="C26:C31">B26*8.55</f>
        <v>843.8850000000001</v>
      </c>
      <c r="D26" s="237">
        <v>0</v>
      </c>
      <c r="E26" s="276">
        <v>542.59</v>
      </c>
      <c r="F26" s="276">
        <v>263.61</v>
      </c>
      <c r="G26" s="276">
        <v>91.54</v>
      </c>
      <c r="H26" s="238">
        <f aca="true" t="shared" si="14" ref="H26:H37">SUM(E26:G26)</f>
        <v>897.74</v>
      </c>
      <c r="I26" s="223">
        <v>753.17</v>
      </c>
      <c r="J26" s="223">
        <v>372.1</v>
      </c>
      <c r="K26" s="223">
        <v>128.64</v>
      </c>
      <c r="L26" s="248">
        <f aca="true" t="shared" si="15" ref="L26:L37">SUM(I26:K26)</f>
        <v>1253.9099999999999</v>
      </c>
      <c r="M26" s="247">
        <f aca="true" t="shared" si="16" ref="M26:M37">L26+D26</f>
        <v>1253.9099999999999</v>
      </c>
      <c r="N26" s="277"/>
      <c r="O26" s="229">
        <f aca="true" t="shared" si="17" ref="O26:O37">0.67*B26</f>
        <v>66.129</v>
      </c>
      <c r="P26" s="229">
        <f aca="true" t="shared" si="18" ref="P26:P37">B26*0.2</f>
        <v>19.740000000000002</v>
      </c>
      <c r="Q26" s="229">
        <f aca="true" t="shared" si="19" ref="Q26:Q33">B26*0.21</f>
        <v>20.727</v>
      </c>
      <c r="R26" s="229">
        <f aca="true" t="shared" si="20" ref="R26:R37">3.25*B26</f>
        <v>320.77500000000003</v>
      </c>
      <c r="S26" s="230"/>
      <c r="T26" s="230"/>
      <c r="U26" s="230"/>
      <c r="V26" s="230"/>
      <c r="W26" s="230"/>
      <c r="X26" s="230"/>
      <c r="Y26" s="231"/>
      <c r="Z26" s="232"/>
      <c r="AA26" s="232">
        <f aca="true" t="shared" si="21" ref="AA26:AA37">SUM(O26:Z26)</f>
        <v>427.37100000000004</v>
      </c>
      <c r="AB26" s="210">
        <f>M26-AA26</f>
        <v>826.5389999999998</v>
      </c>
      <c r="AC26" s="210">
        <f>L26-H26</f>
        <v>356.16999999999985</v>
      </c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9" ht="12.75">
      <c r="A27" s="203" t="s">
        <v>38</v>
      </c>
      <c r="B27" s="100">
        <v>98.7</v>
      </c>
      <c r="C27" s="120">
        <f t="shared" si="13"/>
        <v>843.8850000000001</v>
      </c>
      <c r="D27" s="237">
        <v>0</v>
      </c>
      <c r="E27" s="204">
        <v>542.59</v>
      </c>
      <c r="F27" s="204">
        <v>263.61</v>
      </c>
      <c r="G27" s="225">
        <v>91.54</v>
      </c>
      <c r="H27" s="238">
        <f t="shared" si="14"/>
        <v>897.74</v>
      </c>
      <c r="I27" s="123">
        <v>755.74</v>
      </c>
      <c r="J27" s="123">
        <v>371.92</v>
      </c>
      <c r="K27" s="123">
        <v>128.72</v>
      </c>
      <c r="L27" s="248">
        <f t="shared" si="15"/>
        <v>1256.38</v>
      </c>
      <c r="M27" s="247">
        <f t="shared" si="16"/>
        <v>1256.38</v>
      </c>
      <c r="N27" s="277"/>
      <c r="O27" s="229">
        <f t="shared" si="17"/>
        <v>66.129</v>
      </c>
      <c r="P27" s="229">
        <f t="shared" si="18"/>
        <v>19.740000000000002</v>
      </c>
      <c r="Q27" s="229">
        <f t="shared" si="19"/>
        <v>20.727</v>
      </c>
      <c r="R27" s="229">
        <f t="shared" si="20"/>
        <v>320.77500000000003</v>
      </c>
      <c r="S27" s="230"/>
      <c r="T27" s="230"/>
      <c r="U27" s="230"/>
      <c r="V27" s="230"/>
      <c r="W27" s="230"/>
      <c r="X27" s="230"/>
      <c r="Y27" s="231"/>
      <c r="Z27" s="232"/>
      <c r="AA27" s="232">
        <f t="shared" si="21"/>
        <v>427.37100000000004</v>
      </c>
      <c r="AB27" s="210">
        <f aca="true" t="shared" si="22" ref="AB27:AB37">M27-AA27</f>
        <v>829.009</v>
      </c>
      <c r="AC27" s="210">
        <f aca="true" t="shared" si="23" ref="AC27:AC37">L27-H27</f>
        <v>358.6400000000001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</row>
    <row r="28" spans="1:29" ht="12.75">
      <c r="A28" s="203" t="s">
        <v>39</v>
      </c>
      <c r="B28" s="100">
        <v>98.7</v>
      </c>
      <c r="C28" s="120">
        <f t="shared" si="13"/>
        <v>843.8850000000001</v>
      </c>
      <c r="D28" s="237">
        <v>0</v>
      </c>
      <c r="E28" s="204">
        <v>542.59</v>
      </c>
      <c r="F28" s="204">
        <v>263.61</v>
      </c>
      <c r="G28" s="204">
        <v>91.54</v>
      </c>
      <c r="H28" s="238">
        <f t="shared" si="14"/>
        <v>897.74</v>
      </c>
      <c r="I28" s="123">
        <v>263.79</v>
      </c>
      <c r="J28" s="123">
        <v>128.09</v>
      </c>
      <c r="K28" s="123">
        <v>44.43</v>
      </c>
      <c r="L28" s="248">
        <f t="shared" si="15"/>
        <v>436.31</v>
      </c>
      <c r="M28" s="247">
        <f t="shared" si="16"/>
        <v>436.31</v>
      </c>
      <c r="N28" s="277"/>
      <c r="O28" s="229">
        <f t="shared" si="17"/>
        <v>66.129</v>
      </c>
      <c r="P28" s="229">
        <f t="shared" si="18"/>
        <v>19.740000000000002</v>
      </c>
      <c r="Q28" s="229">
        <f t="shared" si="19"/>
        <v>20.727</v>
      </c>
      <c r="R28" s="229">
        <f t="shared" si="20"/>
        <v>320.77500000000003</v>
      </c>
      <c r="S28" s="230"/>
      <c r="T28" s="230"/>
      <c r="U28" s="230"/>
      <c r="V28" s="230"/>
      <c r="W28" s="230"/>
      <c r="X28" s="230"/>
      <c r="Y28" s="231"/>
      <c r="Z28" s="232"/>
      <c r="AA28" s="232">
        <f t="shared" si="21"/>
        <v>427.37100000000004</v>
      </c>
      <c r="AB28" s="210">
        <f t="shared" si="22"/>
        <v>8.938999999999965</v>
      </c>
      <c r="AC28" s="210">
        <f t="shared" si="23"/>
        <v>-461.43</v>
      </c>
    </row>
    <row r="29" spans="1:37" ht="12.75">
      <c r="A29" s="224" t="s">
        <v>40</v>
      </c>
      <c r="B29" s="100">
        <v>98.7</v>
      </c>
      <c r="C29" s="120">
        <f t="shared" si="13"/>
        <v>843.8850000000001</v>
      </c>
      <c r="D29" s="237">
        <v>0</v>
      </c>
      <c r="E29" s="204">
        <v>542.59</v>
      </c>
      <c r="F29" s="204">
        <v>263.61</v>
      </c>
      <c r="G29" s="204">
        <v>91.54</v>
      </c>
      <c r="H29" s="238">
        <f t="shared" si="14"/>
        <v>897.74</v>
      </c>
      <c r="I29" s="123">
        <v>263.8</v>
      </c>
      <c r="J29" s="123">
        <v>128.11</v>
      </c>
      <c r="K29" s="123">
        <v>44.43</v>
      </c>
      <c r="L29" s="248">
        <f t="shared" si="15"/>
        <v>436.34000000000003</v>
      </c>
      <c r="M29" s="247">
        <f t="shared" si="16"/>
        <v>436.34000000000003</v>
      </c>
      <c r="N29" s="277"/>
      <c r="O29" s="229">
        <f t="shared" si="17"/>
        <v>66.129</v>
      </c>
      <c r="P29" s="229">
        <f t="shared" si="18"/>
        <v>19.740000000000002</v>
      </c>
      <c r="Q29" s="229">
        <f t="shared" si="19"/>
        <v>20.727</v>
      </c>
      <c r="R29" s="229">
        <f t="shared" si="20"/>
        <v>320.77500000000003</v>
      </c>
      <c r="S29" s="230"/>
      <c r="T29" s="230"/>
      <c r="U29" s="230"/>
      <c r="V29" s="230"/>
      <c r="W29" s="230"/>
      <c r="X29" s="230"/>
      <c r="Y29" s="231"/>
      <c r="Z29" s="232"/>
      <c r="AA29" s="232">
        <f t="shared" si="21"/>
        <v>427.37100000000004</v>
      </c>
      <c r="AB29" s="210">
        <f t="shared" si="22"/>
        <v>8.968999999999994</v>
      </c>
      <c r="AC29" s="210">
        <f t="shared" si="23"/>
        <v>-461.4</v>
      </c>
      <c r="AD29" s="195"/>
      <c r="AE29" s="195"/>
      <c r="AF29" s="195"/>
      <c r="AG29" s="195"/>
      <c r="AH29" s="195"/>
      <c r="AI29" s="195"/>
      <c r="AJ29" s="195"/>
      <c r="AK29" s="195"/>
    </row>
    <row r="30" spans="1:37" ht="12.75">
      <c r="A30" s="224" t="s">
        <v>41</v>
      </c>
      <c r="B30" s="278">
        <v>98.7</v>
      </c>
      <c r="C30" s="120">
        <f t="shared" si="13"/>
        <v>843.8850000000001</v>
      </c>
      <c r="D30" s="237">
        <v>0</v>
      </c>
      <c r="E30" s="204">
        <v>542.59</v>
      </c>
      <c r="F30" s="204">
        <v>263.61</v>
      </c>
      <c r="G30" s="204">
        <v>91.54</v>
      </c>
      <c r="H30" s="238">
        <f t="shared" si="14"/>
        <v>897.74</v>
      </c>
      <c r="I30" s="123">
        <v>1003.9</v>
      </c>
      <c r="J30" s="123">
        <v>491.05</v>
      </c>
      <c r="K30" s="123">
        <v>170.28</v>
      </c>
      <c r="L30" s="248">
        <f t="shared" si="15"/>
        <v>1665.23</v>
      </c>
      <c r="M30" s="247">
        <f t="shared" si="16"/>
        <v>1665.23</v>
      </c>
      <c r="N30" s="277"/>
      <c r="O30" s="229">
        <f t="shared" si="17"/>
        <v>66.129</v>
      </c>
      <c r="P30" s="229">
        <f t="shared" si="18"/>
        <v>19.740000000000002</v>
      </c>
      <c r="Q30" s="229">
        <f t="shared" si="19"/>
        <v>20.727</v>
      </c>
      <c r="R30" s="229">
        <f t="shared" si="20"/>
        <v>320.77500000000003</v>
      </c>
      <c r="S30" s="230"/>
      <c r="T30" s="230"/>
      <c r="U30" s="230"/>
      <c r="V30" s="230"/>
      <c r="W30" s="230"/>
      <c r="X30" s="230"/>
      <c r="Y30" s="231"/>
      <c r="Z30" s="232"/>
      <c r="AA30" s="232">
        <f t="shared" si="21"/>
        <v>427.37100000000004</v>
      </c>
      <c r="AB30" s="210">
        <f t="shared" si="22"/>
        <v>1237.859</v>
      </c>
      <c r="AC30" s="210">
        <f t="shared" si="23"/>
        <v>767.49</v>
      </c>
      <c r="AD30" s="195"/>
      <c r="AE30" s="195"/>
      <c r="AF30" s="195"/>
      <c r="AG30" s="195"/>
      <c r="AH30" s="195"/>
      <c r="AI30" s="195"/>
      <c r="AJ30" s="195"/>
      <c r="AK30" s="195"/>
    </row>
    <row r="31" spans="1:37" ht="12.75">
      <c r="A31" s="224" t="s">
        <v>42</v>
      </c>
      <c r="B31" s="278">
        <v>98.7</v>
      </c>
      <c r="C31" s="120">
        <f t="shared" si="13"/>
        <v>843.8850000000001</v>
      </c>
      <c r="D31" s="237">
        <v>0</v>
      </c>
      <c r="E31" s="204">
        <v>542.59</v>
      </c>
      <c r="F31" s="204">
        <v>263.61</v>
      </c>
      <c r="G31" s="225">
        <v>91.54</v>
      </c>
      <c r="H31" s="238">
        <f t="shared" si="14"/>
        <v>897.74</v>
      </c>
      <c r="I31" s="123">
        <v>267.02</v>
      </c>
      <c r="J31" s="123">
        <v>129.67</v>
      </c>
      <c r="K31" s="100">
        <v>44.97</v>
      </c>
      <c r="L31" s="248">
        <f t="shared" si="15"/>
        <v>441.65999999999997</v>
      </c>
      <c r="M31" s="247">
        <f t="shared" si="16"/>
        <v>441.65999999999997</v>
      </c>
      <c r="N31" s="277"/>
      <c r="O31" s="229">
        <f t="shared" si="17"/>
        <v>66.129</v>
      </c>
      <c r="P31" s="229">
        <f t="shared" si="18"/>
        <v>19.740000000000002</v>
      </c>
      <c r="Q31" s="229">
        <f t="shared" si="19"/>
        <v>20.727</v>
      </c>
      <c r="R31" s="229">
        <f t="shared" si="20"/>
        <v>320.77500000000003</v>
      </c>
      <c r="S31" s="230"/>
      <c r="T31" s="230"/>
      <c r="U31" s="230"/>
      <c r="V31" s="230"/>
      <c r="W31" s="230"/>
      <c r="X31" s="230"/>
      <c r="Y31" s="231"/>
      <c r="Z31" s="232"/>
      <c r="AA31" s="232">
        <f t="shared" si="21"/>
        <v>427.37100000000004</v>
      </c>
      <c r="AB31" s="210">
        <f t="shared" si="22"/>
        <v>14.28899999999993</v>
      </c>
      <c r="AC31" s="210">
        <f t="shared" si="23"/>
        <v>-456.08000000000004</v>
      </c>
      <c r="AD31" s="195"/>
      <c r="AE31" s="195"/>
      <c r="AF31" s="195"/>
      <c r="AG31" s="195"/>
      <c r="AH31" s="195"/>
      <c r="AI31" s="195"/>
      <c r="AJ31" s="195"/>
      <c r="AK31" s="195"/>
    </row>
    <row r="32" spans="1:33" ht="12.75">
      <c r="A32" s="224" t="s">
        <v>43</v>
      </c>
      <c r="B32" s="100">
        <v>98.7</v>
      </c>
      <c r="C32" s="120">
        <f aca="true" t="shared" si="24" ref="C32:C37">B32*9.51</f>
        <v>938.6370000000001</v>
      </c>
      <c r="D32" s="237">
        <v>0</v>
      </c>
      <c r="E32" s="204">
        <v>938.64</v>
      </c>
      <c r="F32" s="204"/>
      <c r="G32" s="204"/>
      <c r="H32" s="238">
        <f t="shared" si="14"/>
        <v>938.64</v>
      </c>
      <c r="I32" s="123">
        <v>498.14</v>
      </c>
      <c r="J32" s="123">
        <v>242.96</v>
      </c>
      <c r="K32" s="123">
        <v>84.34</v>
      </c>
      <c r="L32" s="248">
        <f t="shared" si="15"/>
        <v>825.44</v>
      </c>
      <c r="M32" s="247">
        <f t="shared" si="16"/>
        <v>825.44</v>
      </c>
      <c r="N32" s="277"/>
      <c r="O32" s="229">
        <f t="shared" si="17"/>
        <v>66.129</v>
      </c>
      <c r="P32" s="229">
        <f t="shared" si="18"/>
        <v>19.740000000000002</v>
      </c>
      <c r="Q32" s="229">
        <f t="shared" si="19"/>
        <v>20.727</v>
      </c>
      <c r="R32" s="229">
        <f t="shared" si="20"/>
        <v>320.77500000000003</v>
      </c>
      <c r="S32" s="230"/>
      <c r="T32" s="230"/>
      <c r="U32" s="230"/>
      <c r="V32" s="230"/>
      <c r="W32" s="230"/>
      <c r="X32" s="230"/>
      <c r="Y32" s="231"/>
      <c r="Z32" s="232"/>
      <c r="AA32" s="232">
        <f t="shared" si="21"/>
        <v>427.37100000000004</v>
      </c>
      <c r="AB32" s="210">
        <f t="shared" si="22"/>
        <v>398.069</v>
      </c>
      <c r="AC32" s="210">
        <f t="shared" si="23"/>
        <v>-113.19999999999993</v>
      </c>
      <c r="AD32" s="195"/>
      <c r="AE32" s="195"/>
      <c r="AF32" s="195"/>
      <c r="AG32" s="195"/>
    </row>
    <row r="33" spans="1:32" ht="12.75">
      <c r="A33" s="224" t="s">
        <v>44</v>
      </c>
      <c r="B33" s="100">
        <v>98.7</v>
      </c>
      <c r="C33" s="120">
        <f t="shared" si="24"/>
        <v>938.6370000000001</v>
      </c>
      <c r="D33" s="237"/>
      <c r="E33" s="279">
        <v>938.64</v>
      </c>
      <c r="F33" s="204"/>
      <c r="G33" s="204"/>
      <c r="H33" s="238">
        <f t="shared" si="14"/>
        <v>938.64</v>
      </c>
      <c r="I33" s="123">
        <v>912.88</v>
      </c>
      <c r="J33" s="123">
        <v>213.08</v>
      </c>
      <c r="K33" s="123">
        <v>73.94</v>
      </c>
      <c r="L33" s="248">
        <f t="shared" si="15"/>
        <v>1199.9</v>
      </c>
      <c r="M33" s="247">
        <f t="shared" si="16"/>
        <v>1199.9</v>
      </c>
      <c r="N33" s="277"/>
      <c r="O33" s="229">
        <f t="shared" si="17"/>
        <v>66.129</v>
      </c>
      <c r="P33" s="229">
        <f t="shared" si="18"/>
        <v>19.740000000000002</v>
      </c>
      <c r="Q33" s="229">
        <f t="shared" si="19"/>
        <v>20.727</v>
      </c>
      <c r="R33" s="229">
        <f t="shared" si="20"/>
        <v>320.77500000000003</v>
      </c>
      <c r="S33" s="230"/>
      <c r="T33" s="230"/>
      <c r="U33" s="230"/>
      <c r="V33" s="230"/>
      <c r="W33" s="230"/>
      <c r="X33" s="230"/>
      <c r="Y33" s="231"/>
      <c r="Z33" s="232"/>
      <c r="AA33" s="232">
        <f t="shared" si="21"/>
        <v>427.37100000000004</v>
      </c>
      <c r="AB33" s="210">
        <f t="shared" si="22"/>
        <v>772.529</v>
      </c>
      <c r="AC33" s="210">
        <f t="shared" si="23"/>
        <v>261.2600000000001</v>
      </c>
      <c r="AD33" s="195"/>
      <c r="AE33" s="195"/>
      <c r="AF33" s="195"/>
    </row>
    <row r="34" spans="1:32" ht="12.75">
      <c r="A34" s="224" t="s">
        <v>45</v>
      </c>
      <c r="B34" s="100">
        <v>98.7</v>
      </c>
      <c r="C34" s="120">
        <f t="shared" si="24"/>
        <v>938.6370000000001</v>
      </c>
      <c r="D34" s="237"/>
      <c r="E34" s="279">
        <v>938.64</v>
      </c>
      <c r="F34" s="204"/>
      <c r="G34" s="204"/>
      <c r="H34" s="238">
        <f t="shared" si="14"/>
        <v>938.64</v>
      </c>
      <c r="I34" s="123">
        <v>0</v>
      </c>
      <c r="J34" s="123">
        <v>0</v>
      </c>
      <c r="K34" s="123">
        <v>0</v>
      </c>
      <c r="L34" s="248">
        <f t="shared" si="15"/>
        <v>0</v>
      </c>
      <c r="M34" s="247">
        <f t="shared" si="16"/>
        <v>0</v>
      </c>
      <c r="N34" s="277"/>
      <c r="O34" s="229">
        <f t="shared" si="17"/>
        <v>66.129</v>
      </c>
      <c r="P34" s="229">
        <f t="shared" si="18"/>
        <v>19.740000000000002</v>
      </c>
      <c r="Q34" s="229">
        <f>B34*0.21</f>
        <v>20.727</v>
      </c>
      <c r="R34" s="229">
        <f t="shared" si="20"/>
        <v>320.77500000000003</v>
      </c>
      <c r="S34" s="230"/>
      <c r="T34" s="230"/>
      <c r="U34" s="230"/>
      <c r="V34" s="230"/>
      <c r="W34" s="230"/>
      <c r="X34" s="230"/>
      <c r="Y34" s="231"/>
      <c r="Z34" s="232"/>
      <c r="AA34" s="232">
        <f t="shared" si="21"/>
        <v>427.37100000000004</v>
      </c>
      <c r="AB34" s="210">
        <f t="shared" si="22"/>
        <v>-427.37100000000004</v>
      </c>
      <c r="AC34" s="210">
        <f t="shared" si="23"/>
        <v>-938.64</v>
      </c>
      <c r="AD34" s="195"/>
      <c r="AE34" s="195"/>
      <c r="AF34" s="195"/>
    </row>
    <row r="35" spans="1:32" ht="12.75">
      <c r="A35" s="224" t="s">
        <v>33</v>
      </c>
      <c r="B35" s="100">
        <v>98.7</v>
      </c>
      <c r="C35" s="120">
        <f t="shared" si="24"/>
        <v>938.6370000000001</v>
      </c>
      <c r="D35" s="237"/>
      <c r="E35" s="225">
        <v>938.64</v>
      </c>
      <c r="F35" s="204"/>
      <c r="G35" s="204"/>
      <c r="H35" s="238">
        <f t="shared" si="14"/>
        <v>938.64</v>
      </c>
      <c r="I35" s="123">
        <v>476.09</v>
      </c>
      <c r="J35" s="123">
        <v>0</v>
      </c>
      <c r="K35" s="123">
        <v>0</v>
      </c>
      <c r="L35" s="248">
        <f t="shared" si="15"/>
        <v>476.09</v>
      </c>
      <c r="M35" s="247">
        <f t="shared" si="16"/>
        <v>476.09</v>
      </c>
      <c r="N35" s="277"/>
      <c r="O35" s="229">
        <f t="shared" si="17"/>
        <v>66.129</v>
      </c>
      <c r="P35" s="229">
        <f t="shared" si="18"/>
        <v>19.740000000000002</v>
      </c>
      <c r="Q35" s="229">
        <f>B35*0.21</f>
        <v>20.727</v>
      </c>
      <c r="R35" s="229">
        <f t="shared" si="20"/>
        <v>320.77500000000003</v>
      </c>
      <c r="S35" s="230"/>
      <c r="T35" s="230"/>
      <c r="U35" s="230"/>
      <c r="V35" s="230"/>
      <c r="W35" s="230"/>
      <c r="X35" s="230"/>
      <c r="Y35" s="231"/>
      <c r="Z35" s="232"/>
      <c r="AA35" s="232">
        <f t="shared" si="21"/>
        <v>427.37100000000004</v>
      </c>
      <c r="AB35" s="210">
        <f t="shared" si="22"/>
        <v>48.71899999999994</v>
      </c>
      <c r="AC35" s="210">
        <f t="shared" si="23"/>
        <v>-462.55</v>
      </c>
      <c r="AD35" s="195"/>
      <c r="AE35" s="195"/>
      <c r="AF35" s="195"/>
    </row>
    <row r="36" spans="1:32" ht="12.75">
      <c r="A36" s="203" t="s">
        <v>34</v>
      </c>
      <c r="B36" s="100">
        <v>98.7</v>
      </c>
      <c r="C36" s="120">
        <f t="shared" si="24"/>
        <v>938.6370000000001</v>
      </c>
      <c r="D36" s="237"/>
      <c r="E36" s="204">
        <v>938.64</v>
      </c>
      <c r="F36" s="204"/>
      <c r="G36" s="204"/>
      <c r="H36" s="238">
        <f t="shared" si="14"/>
        <v>938.64</v>
      </c>
      <c r="I36" s="123">
        <v>476.1</v>
      </c>
      <c r="J36" s="123">
        <v>0</v>
      </c>
      <c r="K36" s="123">
        <v>0</v>
      </c>
      <c r="L36" s="248">
        <f t="shared" si="15"/>
        <v>476.1</v>
      </c>
      <c r="M36" s="247">
        <f t="shared" si="16"/>
        <v>476.1</v>
      </c>
      <c r="N36" s="277"/>
      <c r="O36" s="229">
        <f t="shared" si="17"/>
        <v>66.129</v>
      </c>
      <c r="P36" s="229">
        <f t="shared" si="18"/>
        <v>19.740000000000002</v>
      </c>
      <c r="Q36" s="229">
        <f>B36*0.21</f>
        <v>20.727</v>
      </c>
      <c r="R36" s="229">
        <f t="shared" si="20"/>
        <v>320.77500000000003</v>
      </c>
      <c r="S36" s="230"/>
      <c r="T36" s="230"/>
      <c r="U36" s="230"/>
      <c r="V36" s="230"/>
      <c r="W36" s="230"/>
      <c r="X36" s="230"/>
      <c r="Y36" s="231"/>
      <c r="Z36" s="232"/>
      <c r="AA36" s="232">
        <f t="shared" si="21"/>
        <v>427.37100000000004</v>
      </c>
      <c r="AB36" s="210">
        <f t="shared" si="22"/>
        <v>48.728999999999985</v>
      </c>
      <c r="AC36" s="210">
        <f t="shared" si="23"/>
        <v>-462.53999999999996</v>
      </c>
      <c r="AD36" s="195"/>
      <c r="AE36" s="195"/>
      <c r="AF36" s="195"/>
    </row>
    <row r="37" spans="1:32" ht="13.5" thickBot="1">
      <c r="A37" s="249" t="s">
        <v>35</v>
      </c>
      <c r="B37" s="100">
        <v>98.7</v>
      </c>
      <c r="C37" s="120">
        <f t="shared" si="24"/>
        <v>938.6370000000001</v>
      </c>
      <c r="D37" s="237"/>
      <c r="E37" s="204">
        <v>938.64</v>
      </c>
      <c r="F37" s="204"/>
      <c r="G37" s="204"/>
      <c r="H37" s="238">
        <f t="shared" si="14"/>
        <v>938.64</v>
      </c>
      <c r="I37" s="123">
        <v>1898.73</v>
      </c>
      <c r="J37" s="123">
        <v>170.99</v>
      </c>
      <c r="K37" s="123">
        <v>59.36</v>
      </c>
      <c r="L37" s="248">
        <f t="shared" si="15"/>
        <v>2129.0800000000004</v>
      </c>
      <c r="M37" s="247">
        <f t="shared" si="16"/>
        <v>2129.0800000000004</v>
      </c>
      <c r="N37" s="277"/>
      <c r="O37" s="229">
        <f t="shared" si="17"/>
        <v>66.129</v>
      </c>
      <c r="P37" s="229">
        <f t="shared" si="18"/>
        <v>19.740000000000002</v>
      </c>
      <c r="Q37" s="229">
        <f>B37*0.21</f>
        <v>20.727</v>
      </c>
      <c r="R37" s="229">
        <f t="shared" si="20"/>
        <v>320.77500000000003</v>
      </c>
      <c r="S37" s="230"/>
      <c r="T37" s="230"/>
      <c r="U37" s="230"/>
      <c r="V37" s="230"/>
      <c r="W37" s="230"/>
      <c r="X37" s="230"/>
      <c r="Y37" s="231"/>
      <c r="Z37" s="232"/>
      <c r="AA37" s="232">
        <f t="shared" si="21"/>
        <v>427.37100000000004</v>
      </c>
      <c r="AB37" s="210">
        <f t="shared" si="22"/>
        <v>1701.7090000000003</v>
      </c>
      <c r="AC37" s="210">
        <f t="shared" si="23"/>
        <v>1190.4400000000005</v>
      </c>
      <c r="AD37" s="195"/>
      <c r="AE37" s="195"/>
      <c r="AF37" s="195"/>
    </row>
    <row r="38" spans="1:29" s="24" customFormat="1" ht="13.5" thickBot="1">
      <c r="A38" s="253" t="s">
        <v>3</v>
      </c>
      <c r="B38" s="254"/>
      <c r="C38" s="254"/>
      <c r="D38" s="255">
        <f aca="true" t="shared" si="25" ref="D38:AA38">SUM(D26:D37)</f>
        <v>0</v>
      </c>
      <c r="E38" s="255">
        <f t="shared" si="25"/>
        <v>8887.380000000001</v>
      </c>
      <c r="F38" s="255">
        <f t="shared" si="25"/>
        <v>1581.6600000000003</v>
      </c>
      <c r="G38" s="255">
        <f t="shared" si="25"/>
        <v>549.24</v>
      </c>
      <c r="H38" s="255">
        <f t="shared" si="25"/>
        <v>11018.279999999999</v>
      </c>
      <c r="I38" s="255">
        <f t="shared" si="25"/>
        <v>7569.360000000001</v>
      </c>
      <c r="J38" s="255">
        <f t="shared" si="25"/>
        <v>2247.9700000000003</v>
      </c>
      <c r="K38" s="255">
        <f t="shared" si="25"/>
        <v>779.11</v>
      </c>
      <c r="L38" s="255">
        <f t="shared" si="25"/>
        <v>10596.44</v>
      </c>
      <c r="M38" s="255">
        <f t="shared" si="25"/>
        <v>10596.44</v>
      </c>
      <c r="N38" s="255">
        <f t="shared" si="25"/>
        <v>0</v>
      </c>
      <c r="O38" s="255">
        <f t="shared" si="25"/>
        <v>793.5480000000001</v>
      </c>
      <c r="P38" s="255">
        <f t="shared" si="25"/>
        <v>236.88000000000008</v>
      </c>
      <c r="Q38" s="255">
        <f t="shared" si="25"/>
        <v>248.72400000000002</v>
      </c>
      <c r="R38" s="255">
        <f t="shared" si="25"/>
        <v>3849.3000000000006</v>
      </c>
      <c r="S38" s="255">
        <f t="shared" si="25"/>
        <v>0</v>
      </c>
      <c r="T38" s="255">
        <f t="shared" si="25"/>
        <v>0</v>
      </c>
      <c r="U38" s="255">
        <f t="shared" si="25"/>
        <v>0</v>
      </c>
      <c r="V38" s="255">
        <f t="shared" si="25"/>
        <v>0</v>
      </c>
      <c r="W38" s="255">
        <f t="shared" si="25"/>
        <v>0</v>
      </c>
      <c r="X38" s="255">
        <f t="shared" si="25"/>
        <v>0</v>
      </c>
      <c r="Y38" s="255">
        <f t="shared" si="25"/>
        <v>0</v>
      </c>
      <c r="Z38" s="255">
        <f t="shared" si="25"/>
        <v>0</v>
      </c>
      <c r="AA38" s="255">
        <f t="shared" si="25"/>
        <v>5128.452</v>
      </c>
      <c r="AB38" s="255">
        <f>SUM(AB26:AB37)</f>
        <v>5467.987999999999</v>
      </c>
      <c r="AC38" s="255">
        <f>SUM(AC26:AC37)</f>
        <v>-421.83999999999924</v>
      </c>
    </row>
    <row r="39" spans="1:29" ht="13.5" thickBo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</row>
    <row r="40" spans="1:29" s="24" customFormat="1" ht="13.5" thickBot="1">
      <c r="A40" s="253" t="s">
        <v>98</v>
      </c>
      <c r="B40" s="254"/>
      <c r="C40" s="254"/>
      <c r="D40" s="255">
        <v>9330.22</v>
      </c>
      <c r="E40" s="255">
        <v>263129.61</v>
      </c>
      <c r="F40" s="255">
        <v>181875.86</v>
      </c>
      <c r="G40" s="255">
        <v>45624.38</v>
      </c>
      <c r="H40" s="255">
        <v>71944.81</v>
      </c>
      <c r="I40" s="255">
        <v>490629.85</v>
      </c>
      <c r="J40" s="255">
        <v>216840.97</v>
      </c>
      <c r="K40" s="255">
        <v>151570.93</v>
      </c>
      <c r="L40" s="255">
        <v>38052.74</v>
      </c>
      <c r="M40" s="255">
        <v>406464.64</v>
      </c>
      <c r="N40" s="255">
        <v>534624.38</v>
      </c>
      <c r="O40" s="254">
        <v>0</v>
      </c>
      <c r="P40" s="257">
        <f aca="true" t="shared" si="26" ref="P40:V40">P24+P38</f>
        <v>2645.2560000000003</v>
      </c>
      <c r="Q40" s="257">
        <f t="shared" si="26"/>
        <v>1026.7538376000002</v>
      </c>
      <c r="R40" s="257">
        <f t="shared" si="26"/>
        <v>19356.5771871996</v>
      </c>
      <c r="S40" s="257">
        <f t="shared" si="26"/>
        <v>324.85400000000004</v>
      </c>
      <c r="T40" s="257">
        <f t="shared" si="26"/>
        <v>47.8</v>
      </c>
      <c r="U40" s="257" t="e">
        <f t="shared" si="26"/>
        <v>#REF!</v>
      </c>
      <c r="V40" s="257" t="e">
        <f t="shared" si="26"/>
        <v>#REF!</v>
      </c>
      <c r="W40" s="257">
        <f aca="true" t="shared" si="27" ref="W40:AB40">W24+W38</f>
        <v>0</v>
      </c>
      <c r="X40" s="257">
        <f t="shared" si="27"/>
        <v>0</v>
      </c>
      <c r="Y40" s="257">
        <f t="shared" si="27"/>
        <v>0</v>
      </c>
      <c r="Z40" s="257">
        <f t="shared" si="27"/>
        <v>0</v>
      </c>
      <c r="AA40" s="257">
        <f t="shared" si="27"/>
        <v>24194.789024799604</v>
      </c>
      <c r="AB40" s="257">
        <f t="shared" si="27"/>
        <v>17490.600997990397</v>
      </c>
      <c r="AC40" s="257">
        <f>AC24+AC38</f>
        <v>-3789.4300000000003</v>
      </c>
    </row>
    <row r="41" spans="1:29" ht="12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3">
      <selection activeCell="F12" sqref="F12"/>
    </sheetView>
  </sheetViews>
  <sheetFormatPr defaultColWidth="9.00390625" defaultRowHeight="12.75"/>
  <cols>
    <col min="1" max="1" width="10.00390625" style="196" customWidth="1"/>
    <col min="2" max="2" width="9.125" style="196" customWidth="1"/>
    <col min="3" max="3" width="9.875" style="196" customWidth="1"/>
    <col min="4" max="4" width="9.625" style="196" customWidth="1"/>
    <col min="5" max="5" width="10.125" style="196" bestFit="1" customWidth="1"/>
    <col min="6" max="6" width="9.875" style="196" customWidth="1"/>
    <col min="7" max="7" width="11.00390625" style="196" customWidth="1"/>
    <col min="8" max="8" width="10.125" style="196" customWidth="1"/>
    <col min="9" max="9" width="9.25390625" style="196" customWidth="1"/>
    <col min="10" max="10" width="9.875" style="196" customWidth="1"/>
    <col min="11" max="11" width="10.875" style="196" customWidth="1"/>
    <col min="12" max="12" width="10.125" style="196" customWidth="1"/>
    <col min="13" max="13" width="10.375" style="196" customWidth="1"/>
    <col min="14" max="14" width="10.75390625" style="196" customWidth="1"/>
    <col min="15" max="15" width="13.00390625" style="196" customWidth="1"/>
    <col min="16" max="16384" width="9.125" style="196" customWidth="1"/>
  </cols>
  <sheetData>
    <row r="1" spans="2:8" ht="20.25" customHeight="1">
      <c r="B1" s="418" t="s">
        <v>47</v>
      </c>
      <c r="C1" s="418"/>
      <c r="D1" s="418"/>
      <c r="E1" s="418"/>
      <c r="F1" s="418"/>
      <c r="G1" s="418"/>
      <c r="H1" s="418"/>
    </row>
    <row r="2" spans="2:8" ht="21" customHeight="1">
      <c r="B2" s="418" t="s">
        <v>48</v>
      </c>
      <c r="C2" s="418"/>
      <c r="D2" s="418"/>
      <c r="E2" s="418"/>
      <c r="F2" s="418"/>
      <c r="G2" s="418"/>
      <c r="H2" s="418"/>
    </row>
    <row r="5" spans="1:14" ht="12.75">
      <c r="A5" s="348" t="s">
        <v>104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4" ht="12.75">
      <c r="A6" s="419" t="s">
        <v>106</v>
      </c>
      <c r="B6" s="419"/>
      <c r="C6" s="419"/>
      <c r="D6" s="419"/>
      <c r="E6" s="419"/>
      <c r="F6" s="419"/>
      <c r="G6" s="419"/>
      <c r="H6" s="92"/>
      <c r="I6" s="92"/>
      <c r="J6" s="92"/>
      <c r="K6" s="92"/>
      <c r="L6" s="92"/>
      <c r="M6" s="92"/>
      <c r="N6" s="92"/>
    </row>
    <row r="7" spans="1:14" ht="6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6" ht="13.5" thickBot="1">
      <c r="A8" s="420" t="s">
        <v>49</v>
      </c>
      <c r="B8" s="420"/>
      <c r="C8" s="420"/>
      <c r="D8" s="420"/>
      <c r="E8" s="420">
        <v>9.51</v>
      </c>
      <c r="F8" s="420"/>
    </row>
    <row r="9" spans="1:15" ht="12.75" customHeight="1">
      <c r="A9" s="349" t="s">
        <v>50</v>
      </c>
      <c r="B9" s="352" t="s">
        <v>0</v>
      </c>
      <c r="C9" s="355" t="s">
        <v>108</v>
      </c>
      <c r="D9" s="358" t="s">
        <v>2</v>
      </c>
      <c r="E9" s="379" t="s">
        <v>52</v>
      </c>
      <c r="F9" s="324"/>
      <c r="G9" s="421" t="s">
        <v>99</v>
      </c>
      <c r="H9" s="422"/>
      <c r="I9" s="382" t="s">
        <v>6</v>
      </c>
      <c r="J9" s="383"/>
      <c r="K9" s="383"/>
      <c r="L9" s="383"/>
      <c r="M9" s="385"/>
      <c r="N9" s="371" t="s">
        <v>53</v>
      </c>
      <c r="O9" s="371" t="s">
        <v>8</v>
      </c>
    </row>
    <row r="10" spans="1:15" ht="12.75">
      <c r="A10" s="350"/>
      <c r="B10" s="353"/>
      <c r="C10" s="356"/>
      <c r="D10" s="359"/>
      <c r="E10" s="380"/>
      <c r="F10" s="381"/>
      <c r="G10" s="423"/>
      <c r="H10" s="424"/>
      <c r="I10" s="386"/>
      <c r="J10" s="387"/>
      <c r="K10" s="387"/>
      <c r="L10" s="387"/>
      <c r="M10" s="389"/>
      <c r="N10" s="372"/>
      <c r="O10" s="372"/>
    </row>
    <row r="11" spans="1:15" ht="26.25" customHeight="1">
      <c r="A11" s="350"/>
      <c r="B11" s="353"/>
      <c r="C11" s="356"/>
      <c r="D11" s="359"/>
      <c r="E11" s="374" t="s">
        <v>54</v>
      </c>
      <c r="F11" s="327"/>
      <c r="G11" s="258" t="s">
        <v>55</v>
      </c>
      <c r="H11" s="369" t="s">
        <v>5</v>
      </c>
      <c r="I11" s="377" t="s">
        <v>56</v>
      </c>
      <c r="J11" s="366" t="s">
        <v>100</v>
      </c>
      <c r="K11" s="366" t="s">
        <v>57</v>
      </c>
      <c r="L11" s="366" t="s">
        <v>29</v>
      </c>
      <c r="M11" s="369" t="s">
        <v>31</v>
      </c>
      <c r="N11" s="372"/>
      <c r="O11" s="372"/>
    </row>
    <row r="12" spans="1:15" ht="66.75" customHeight="1" thickBot="1">
      <c r="A12" s="351"/>
      <c r="B12" s="354"/>
      <c r="C12" s="357"/>
      <c r="D12" s="360"/>
      <c r="E12" s="33" t="s">
        <v>59</v>
      </c>
      <c r="F12" s="34" t="s">
        <v>15</v>
      </c>
      <c r="G12" s="194" t="s">
        <v>101</v>
      </c>
      <c r="H12" s="370"/>
      <c r="I12" s="378"/>
      <c r="J12" s="367"/>
      <c r="K12" s="367"/>
      <c r="L12" s="367"/>
      <c r="M12" s="370"/>
      <c r="N12" s="373"/>
      <c r="O12" s="373"/>
    </row>
    <row r="13" spans="1:15" ht="13.5" thickBot="1">
      <c r="A13" s="36">
        <v>1</v>
      </c>
      <c r="B13" s="37">
        <v>2</v>
      </c>
      <c r="C13" s="36">
        <v>3</v>
      </c>
      <c r="D13" s="37">
        <v>4</v>
      </c>
      <c r="E13" s="36">
        <v>5</v>
      </c>
      <c r="F13" s="37">
        <v>6</v>
      </c>
      <c r="G13" s="36">
        <v>7</v>
      </c>
      <c r="H13" s="37">
        <v>8</v>
      </c>
      <c r="I13" s="36">
        <v>9</v>
      </c>
      <c r="J13" s="37">
        <v>10</v>
      </c>
      <c r="K13" s="36">
        <v>11</v>
      </c>
      <c r="L13" s="37">
        <v>12</v>
      </c>
      <c r="M13" s="37">
        <v>13</v>
      </c>
      <c r="N13" s="36">
        <v>14</v>
      </c>
      <c r="O13" s="37">
        <v>15</v>
      </c>
    </row>
    <row r="14" spans="1:17" s="24" customFormat="1" ht="13.5" hidden="1" thickBot="1">
      <c r="A14" s="67" t="s">
        <v>46</v>
      </c>
      <c r="B14" s="68"/>
      <c r="C14" s="69">
        <f>'2012'!C8</f>
        <v>23632.665</v>
      </c>
      <c r="D14" s="69">
        <f>'2012'!D8</f>
        <v>6453.610022790002</v>
      </c>
      <c r="E14" s="68">
        <f>'2012'!I8</f>
        <v>16424.18</v>
      </c>
      <c r="F14" s="68">
        <f>'2012'!H8</f>
        <v>815.87</v>
      </c>
      <c r="G14" s="70">
        <f>'2012'!M8</f>
        <v>14868.929999999998</v>
      </c>
      <c r="H14" s="70">
        <f>'2012'!N8</f>
        <v>22138.410022790005</v>
      </c>
      <c r="I14" s="70">
        <f>'2012'!P8</f>
        <v>1614.8280000000002</v>
      </c>
      <c r="J14" s="70">
        <f>'2012'!Q8</f>
        <v>541.1498376000001</v>
      </c>
      <c r="K14" s="70">
        <f>'2012'!R8</f>
        <v>11174.3471871996</v>
      </c>
      <c r="L14" s="68">
        <f>'2012'!U8+'2012'!V8+'2012'!W8</f>
        <v>372.65400000000005</v>
      </c>
      <c r="M14" s="71">
        <f>Лист1!AU44</f>
        <v>13702.979024799602</v>
      </c>
      <c r="N14" s="71">
        <f>Лист1!AV44</f>
        <v>8435.4309979904</v>
      </c>
      <c r="O14" s="71">
        <f>Лист1!AW44</f>
        <v>-1555.250000000001</v>
      </c>
      <c r="P14" s="73"/>
      <c r="Q14" s="59"/>
    </row>
    <row r="15" spans="1:17" ht="12.75" hidden="1">
      <c r="A15" s="8" t="s">
        <v>97</v>
      </c>
      <c r="B15" s="259"/>
      <c r="C15" s="60"/>
      <c r="D15" s="61"/>
      <c r="E15" s="260"/>
      <c r="F15" s="261"/>
      <c r="G15" s="262"/>
      <c r="H15" s="261"/>
      <c r="I15" s="262"/>
      <c r="J15" s="263"/>
      <c r="K15" s="264"/>
      <c r="L15" s="265"/>
      <c r="M15" s="266"/>
      <c r="N15" s="267"/>
      <c r="O15" s="267"/>
      <c r="P15" s="195"/>
      <c r="Q15" s="195"/>
    </row>
    <row r="16" spans="1:17" ht="12.75" hidden="1">
      <c r="A16" s="268" t="s">
        <v>37</v>
      </c>
      <c r="B16" s="269">
        <f>'2012'!B10</f>
        <v>98.7</v>
      </c>
      <c r="C16" s="269">
        <f>'2012'!C10</f>
        <v>855.729</v>
      </c>
      <c r="D16" s="269">
        <f>'2012'!D10</f>
        <v>0</v>
      </c>
      <c r="E16" s="264">
        <f>'2012'!I10</f>
        <v>897.74</v>
      </c>
      <c r="F16" s="266">
        <v>0</v>
      </c>
      <c r="G16" s="266">
        <f>'2012'!M10</f>
        <v>468.71000000000004</v>
      </c>
      <c r="H16" s="266">
        <f>'2012'!N10</f>
        <v>468.71000000000004</v>
      </c>
      <c r="I16" s="270">
        <f>'2012'!P10</f>
        <v>66.129</v>
      </c>
      <c r="J16" s="270">
        <f>'2012'!Q10</f>
        <v>19.740000000000002</v>
      </c>
      <c r="K16" s="270">
        <f>'2012'!R10</f>
        <v>417.50100000000003</v>
      </c>
      <c r="L16" s="265">
        <f>'2012'!U10+'2012'!V10+'2012'!W10</f>
        <v>0</v>
      </c>
      <c r="M16" s="266">
        <f>'2012'!AA10</f>
        <v>503.37</v>
      </c>
      <c r="N16" s="266">
        <f>'2012'!AB10</f>
        <v>-34.65999999999997</v>
      </c>
      <c r="O16" s="266">
        <f>'2012'!AC10</f>
        <v>-429.03</v>
      </c>
      <c r="P16" s="195"/>
      <c r="Q16" s="195"/>
    </row>
    <row r="17" spans="1:17" ht="12.75" hidden="1">
      <c r="A17" s="268" t="s">
        <v>38</v>
      </c>
      <c r="B17" s="269">
        <f>'2012'!B11</f>
        <v>98.7</v>
      </c>
      <c r="C17" s="269">
        <f>'2012'!C11</f>
        <v>855.729</v>
      </c>
      <c r="D17" s="269">
        <f>'2012'!D11</f>
        <v>0</v>
      </c>
      <c r="E17" s="264">
        <f>'2012'!I11</f>
        <v>897.74</v>
      </c>
      <c r="F17" s="266">
        <v>1</v>
      </c>
      <c r="G17" s="266">
        <f>'2012'!M11</f>
        <v>421.72</v>
      </c>
      <c r="H17" s="266">
        <f>'2012'!N11</f>
        <v>421.72</v>
      </c>
      <c r="I17" s="270">
        <f>'2012'!P11</f>
        <v>66.129</v>
      </c>
      <c r="J17" s="270">
        <f>'2012'!Q11</f>
        <v>19.740000000000002</v>
      </c>
      <c r="K17" s="270">
        <f>'2012'!R11</f>
        <v>417.50100000000003</v>
      </c>
      <c r="L17" s="265">
        <f>'2012'!U11+'2012'!V11+'2012'!W11</f>
        <v>0</v>
      </c>
      <c r="M17" s="266">
        <f>'2012'!AA11</f>
        <v>503.37</v>
      </c>
      <c r="N17" s="266">
        <f>'2012'!AB11</f>
        <v>-81.64999999999998</v>
      </c>
      <c r="O17" s="266">
        <f>'2012'!AC11</f>
        <v>-476.02</v>
      </c>
      <c r="P17" s="195"/>
      <c r="Q17" s="195"/>
    </row>
    <row r="18" spans="1:17" ht="12.75" hidden="1">
      <c r="A18" s="268" t="s">
        <v>39</v>
      </c>
      <c r="B18" s="269">
        <f>'2012'!B12</f>
        <v>98.7</v>
      </c>
      <c r="C18" s="269">
        <f>'2012'!C12</f>
        <v>855.729</v>
      </c>
      <c r="D18" s="269">
        <f>'2012'!D12</f>
        <v>0</v>
      </c>
      <c r="E18" s="264">
        <f>'2012'!I12</f>
        <v>897.74</v>
      </c>
      <c r="F18" s="266">
        <v>2</v>
      </c>
      <c r="G18" s="266">
        <f>'2012'!M12</f>
        <v>435.12</v>
      </c>
      <c r="H18" s="266">
        <f>'2012'!N12</f>
        <v>435.12</v>
      </c>
      <c r="I18" s="270">
        <f>'2012'!P12</f>
        <v>66.129</v>
      </c>
      <c r="J18" s="270">
        <f>'2012'!Q12</f>
        <v>19.740000000000002</v>
      </c>
      <c r="K18" s="270">
        <f>'2012'!R12</f>
        <v>417.50100000000003</v>
      </c>
      <c r="L18" s="265">
        <f>'2012'!U12+'2012'!V12+'2012'!W12</f>
        <v>0</v>
      </c>
      <c r="M18" s="266">
        <f>'2012'!AA12</f>
        <v>503.37</v>
      </c>
      <c r="N18" s="266">
        <f>'2012'!AB12</f>
        <v>-68.25</v>
      </c>
      <c r="O18" s="266">
        <f>'2012'!AC12</f>
        <v>-462.62</v>
      </c>
      <c r="P18" s="195"/>
      <c r="Q18" s="195"/>
    </row>
    <row r="19" spans="1:17" ht="12.75" hidden="1">
      <c r="A19" s="268" t="s">
        <v>40</v>
      </c>
      <c r="B19" s="269">
        <f>'2012'!B13</f>
        <v>98.7</v>
      </c>
      <c r="C19" s="269">
        <f>'2012'!C13</f>
        <v>843.8850000000001</v>
      </c>
      <c r="D19" s="269">
        <f>'2012'!D13</f>
        <v>0</v>
      </c>
      <c r="E19" s="264">
        <f>'2012'!I13</f>
        <v>897.74</v>
      </c>
      <c r="F19" s="266">
        <v>3</v>
      </c>
      <c r="G19" s="266">
        <f>'2012'!M13</f>
        <v>1292.56</v>
      </c>
      <c r="H19" s="266">
        <f>'2012'!N13</f>
        <v>1292.56</v>
      </c>
      <c r="I19" s="270">
        <f>'2012'!P13</f>
        <v>66.129</v>
      </c>
      <c r="J19" s="270">
        <f>'2012'!Q13</f>
        <v>19.740000000000002</v>
      </c>
      <c r="K19" s="270">
        <f>'2012'!R13</f>
        <v>417.50100000000003</v>
      </c>
      <c r="L19" s="265">
        <f>'2012'!U13+'2012'!V13+'2012'!W13</f>
        <v>0</v>
      </c>
      <c r="M19" s="266">
        <f>'2012'!AA13</f>
        <v>503.37</v>
      </c>
      <c r="N19" s="266">
        <f>'2012'!AB13</f>
        <v>789.1899999999999</v>
      </c>
      <c r="O19" s="266">
        <f>'2012'!AC13</f>
        <v>394.81999999999994</v>
      </c>
      <c r="P19" s="195"/>
      <c r="Q19" s="195"/>
    </row>
    <row r="20" spans="1:17" ht="12.75" hidden="1">
      <c r="A20" s="268" t="s">
        <v>41</v>
      </c>
      <c r="B20" s="269">
        <f>'2012'!B14</f>
        <v>98.7</v>
      </c>
      <c r="C20" s="269">
        <f>'2012'!C14</f>
        <v>843.8850000000001</v>
      </c>
      <c r="D20" s="269">
        <f>'2012'!D14</f>
        <v>0</v>
      </c>
      <c r="E20" s="264">
        <f>'2012'!I14</f>
        <v>897.74</v>
      </c>
      <c r="F20" s="266">
        <v>4</v>
      </c>
      <c r="G20" s="266">
        <f>'2012'!M14</f>
        <v>435.99999999999994</v>
      </c>
      <c r="H20" s="266">
        <f>'2012'!N14</f>
        <v>435.99999999999994</v>
      </c>
      <c r="I20" s="270">
        <f>'2012'!P14</f>
        <v>66.129</v>
      </c>
      <c r="J20" s="270">
        <f>'2012'!Q14</f>
        <v>19.740000000000002</v>
      </c>
      <c r="K20" s="270">
        <f>'2012'!R14</f>
        <v>417.50100000000003</v>
      </c>
      <c r="L20" s="265">
        <f>'2012'!U14+'2012'!V14+'2012'!W14</f>
        <v>0</v>
      </c>
      <c r="M20" s="266">
        <f>'2012'!AA14</f>
        <v>503.37</v>
      </c>
      <c r="N20" s="266">
        <f>'2012'!AB14</f>
        <v>-67.37000000000006</v>
      </c>
      <c r="O20" s="266">
        <f>'2012'!AC14</f>
        <v>-461.74000000000007</v>
      </c>
      <c r="P20" s="195"/>
      <c r="Q20" s="195"/>
    </row>
    <row r="21" spans="1:17" ht="12.75" hidden="1">
      <c r="A21" s="268" t="s">
        <v>42</v>
      </c>
      <c r="B21" s="269">
        <f>'2012'!B15</f>
        <v>98.7</v>
      </c>
      <c r="C21" s="269">
        <f>'2012'!C15</f>
        <v>843.8850000000001</v>
      </c>
      <c r="D21" s="269">
        <f>'2012'!D15</f>
        <v>0</v>
      </c>
      <c r="E21" s="264">
        <f>'2012'!I15</f>
        <v>897.74</v>
      </c>
      <c r="F21" s="266">
        <v>5</v>
      </c>
      <c r="G21" s="266">
        <f>'2012'!M15</f>
        <v>1524.41</v>
      </c>
      <c r="H21" s="266">
        <f>'2012'!N15</f>
        <v>1524.41</v>
      </c>
      <c r="I21" s="270">
        <f>'2012'!P15</f>
        <v>66.129</v>
      </c>
      <c r="J21" s="270">
        <f>'2012'!Q15</f>
        <v>19.740000000000002</v>
      </c>
      <c r="K21" s="270">
        <f>'2012'!R15</f>
        <v>320.77500000000003</v>
      </c>
      <c r="L21" s="265">
        <f>'2012'!U15+'2012'!V15+'2012'!W15</f>
        <v>0</v>
      </c>
      <c r="M21" s="266">
        <f>'2012'!AA15</f>
        <v>406.644</v>
      </c>
      <c r="N21" s="266">
        <f>'2012'!AB15</f>
        <v>1117.766</v>
      </c>
      <c r="O21" s="266">
        <f>'2012'!AC15</f>
        <v>626.6700000000001</v>
      </c>
      <c r="P21" s="195"/>
      <c r="Q21" s="195"/>
    </row>
    <row r="22" spans="1:17" ht="12.75" hidden="1">
      <c r="A22" s="268" t="s">
        <v>43</v>
      </c>
      <c r="B22" s="269">
        <f>'2012'!B16</f>
        <v>98.7</v>
      </c>
      <c r="C22" s="269">
        <f>'2012'!C16</f>
        <v>843.8850000000001</v>
      </c>
      <c r="D22" s="269">
        <f>'2012'!D16</f>
        <v>0</v>
      </c>
      <c r="E22" s="264">
        <f>'2012'!I16</f>
        <v>897.74</v>
      </c>
      <c r="F22" s="266">
        <v>6</v>
      </c>
      <c r="G22" s="266">
        <f>'2012'!M16</f>
        <v>1272.3700000000001</v>
      </c>
      <c r="H22" s="266">
        <f>'2012'!N16</f>
        <v>1272.3700000000001</v>
      </c>
      <c r="I22" s="270">
        <f>'2012'!P16</f>
        <v>66.129</v>
      </c>
      <c r="J22" s="270">
        <f>'2012'!Q16</f>
        <v>19.740000000000002</v>
      </c>
      <c r="K22" s="270">
        <f>'2012'!R16</f>
        <v>320.77500000000003</v>
      </c>
      <c r="L22" s="265">
        <f>'2012'!U16+'2012'!V16+'2012'!W16</f>
        <v>0</v>
      </c>
      <c r="M22" s="266">
        <f>'2012'!AA16</f>
        <v>406.644</v>
      </c>
      <c r="N22" s="266">
        <f>'2012'!AB16</f>
        <v>865.7260000000001</v>
      </c>
      <c r="O22" s="266">
        <f>'2012'!AC16</f>
        <v>374.6300000000001</v>
      </c>
      <c r="P22" s="195"/>
      <c r="Q22" s="195"/>
    </row>
    <row r="23" spans="1:17" ht="12.75" hidden="1">
      <c r="A23" s="268" t="s">
        <v>44</v>
      </c>
      <c r="B23" s="269">
        <f>'2012'!B17</f>
        <v>98.7</v>
      </c>
      <c r="C23" s="269">
        <f>'2012'!C17</f>
        <v>843.8850000000001</v>
      </c>
      <c r="D23" s="269">
        <f>'2012'!D17</f>
        <v>0</v>
      </c>
      <c r="E23" s="264">
        <f>'2012'!I17</f>
        <v>897.74</v>
      </c>
      <c r="F23" s="266">
        <v>7</v>
      </c>
      <c r="G23" s="266">
        <f>'2012'!M17</f>
        <v>436.01</v>
      </c>
      <c r="H23" s="266">
        <f>'2012'!N17</f>
        <v>436.01</v>
      </c>
      <c r="I23" s="270">
        <f>'2012'!P17</f>
        <v>66.129</v>
      </c>
      <c r="J23" s="270">
        <f>'2012'!Q17</f>
        <v>19.740000000000002</v>
      </c>
      <c r="K23" s="270">
        <f>'2012'!R17</f>
        <v>320.77500000000003</v>
      </c>
      <c r="L23" s="265">
        <f>'2012'!U17+'2012'!V17+'2012'!W17</f>
        <v>0</v>
      </c>
      <c r="M23" s="266">
        <f>'2012'!AA17</f>
        <v>406.644</v>
      </c>
      <c r="N23" s="266">
        <f>'2012'!AB17</f>
        <v>29.365999999999985</v>
      </c>
      <c r="O23" s="266">
        <f>'2012'!AC17</f>
        <v>-461.73</v>
      </c>
      <c r="P23" s="195"/>
      <c r="Q23" s="195"/>
    </row>
    <row r="24" spans="1:17" ht="12.75" hidden="1">
      <c r="A24" s="268" t="s">
        <v>45</v>
      </c>
      <c r="B24" s="269">
        <f>'2012'!B18</f>
        <v>98.7</v>
      </c>
      <c r="C24" s="269">
        <f>'2012'!C18</f>
        <v>843.8850000000001</v>
      </c>
      <c r="D24" s="269">
        <f>'2012'!D18</f>
        <v>0</v>
      </c>
      <c r="E24" s="264">
        <f>'2012'!I18</f>
        <v>897.74</v>
      </c>
      <c r="F24" s="266">
        <v>8</v>
      </c>
      <c r="G24" s="266">
        <f>'2012'!M18</f>
        <v>436</v>
      </c>
      <c r="H24" s="266">
        <f>'2012'!N18</f>
        <v>436</v>
      </c>
      <c r="I24" s="270">
        <f>'2012'!P18</f>
        <v>66.129</v>
      </c>
      <c r="J24" s="270">
        <f>'2012'!Q18</f>
        <v>19.740000000000002</v>
      </c>
      <c r="K24" s="270">
        <f>'2012'!R18</f>
        <v>320.77500000000003</v>
      </c>
      <c r="L24" s="265">
        <f>'2012'!U18+'2012'!V18+'2012'!W18</f>
        <v>0</v>
      </c>
      <c r="M24" s="266">
        <f>'2012'!AA18</f>
        <v>406.644</v>
      </c>
      <c r="N24" s="266">
        <f>'2012'!AB18</f>
        <v>29.355999999999995</v>
      </c>
      <c r="O24" s="266">
        <f>'2012'!AC18</f>
        <v>-461.74</v>
      </c>
      <c r="P24" s="195"/>
      <c r="Q24" s="195"/>
    </row>
    <row r="25" spans="1:17" ht="12.75" hidden="1">
      <c r="A25" s="268" t="s">
        <v>33</v>
      </c>
      <c r="B25" s="269">
        <f>'2012'!B19</f>
        <v>98.7</v>
      </c>
      <c r="C25" s="269">
        <f>'2012'!C19</f>
        <v>843.8850000000001</v>
      </c>
      <c r="D25" s="269">
        <f>'2012'!D19</f>
        <v>0</v>
      </c>
      <c r="E25" s="264">
        <f>'2012'!I19</f>
        <v>897.74</v>
      </c>
      <c r="F25" s="266">
        <v>9</v>
      </c>
      <c r="G25" s="266">
        <f>'2012'!M19</f>
        <v>1354.81</v>
      </c>
      <c r="H25" s="266">
        <f>'2012'!N19</f>
        <v>1354.81</v>
      </c>
      <c r="I25" s="270">
        <f>'2012'!P19</f>
        <v>66.129</v>
      </c>
      <c r="J25" s="270">
        <f>'2012'!Q19</f>
        <v>19.740000000000002</v>
      </c>
      <c r="K25" s="270">
        <f>'2012'!R19</f>
        <v>320.77500000000003</v>
      </c>
      <c r="L25" s="265">
        <f>'2012'!U19+'2012'!V19+'2012'!W19</f>
        <v>0</v>
      </c>
      <c r="M25" s="266">
        <f>'2012'!AA19</f>
        <v>406.644</v>
      </c>
      <c r="N25" s="266">
        <f>'2012'!AB19</f>
        <v>948.1659999999999</v>
      </c>
      <c r="O25" s="266">
        <f>'2012'!AC19</f>
        <v>457.06999999999994</v>
      </c>
      <c r="P25" s="195"/>
      <c r="Q25" s="195"/>
    </row>
    <row r="26" spans="1:17" ht="12.75" hidden="1">
      <c r="A26" s="268" t="s">
        <v>34</v>
      </c>
      <c r="B26" s="269">
        <f>'2012'!B20</f>
        <v>98.7</v>
      </c>
      <c r="C26" s="269">
        <f>'2012'!C20</f>
        <v>843.8850000000001</v>
      </c>
      <c r="D26" s="269">
        <f>'2012'!D20</f>
        <v>0</v>
      </c>
      <c r="E26" s="264">
        <f>'2012'!I20</f>
        <v>897.74</v>
      </c>
      <c r="F26" s="266">
        <v>10</v>
      </c>
      <c r="G26" s="266">
        <f>'2012'!M20</f>
        <v>449.0400000000001</v>
      </c>
      <c r="H26" s="266">
        <f>'2012'!N20</f>
        <v>449.0400000000001</v>
      </c>
      <c r="I26" s="270">
        <f>'2012'!P20</f>
        <v>66.129</v>
      </c>
      <c r="J26" s="270">
        <f>'2012'!Q20</f>
        <v>19.740000000000002</v>
      </c>
      <c r="K26" s="270">
        <f>'2012'!R20</f>
        <v>320.77500000000003</v>
      </c>
      <c r="L26" s="265">
        <f>'2012'!U20+'2012'!V20+'2012'!W20</f>
        <v>0</v>
      </c>
      <c r="M26" s="266">
        <f>'2012'!AA20</f>
        <v>406.644</v>
      </c>
      <c r="N26" s="266">
        <f>'2012'!AB20</f>
        <v>42.39600000000007</v>
      </c>
      <c r="O26" s="266">
        <f>'2012'!AC20</f>
        <v>-448.69999999999993</v>
      </c>
      <c r="P26" s="195"/>
      <c r="Q26" s="195"/>
    </row>
    <row r="27" spans="1:17" ht="13.5" hidden="1" thickBot="1">
      <c r="A27" s="268" t="s">
        <v>35</v>
      </c>
      <c r="B27" s="269">
        <f>'2012'!B21</f>
        <v>98.7</v>
      </c>
      <c r="C27" s="269">
        <f>'2012'!C21</f>
        <v>843.8850000000001</v>
      </c>
      <c r="D27" s="269">
        <f>'2012'!D21</f>
        <v>0</v>
      </c>
      <c r="E27" s="264">
        <f>'2012'!I21</f>
        <v>887.74</v>
      </c>
      <c r="F27" s="266">
        <v>11</v>
      </c>
      <c r="G27" s="266">
        <f>'2012'!M21</f>
        <v>423.79</v>
      </c>
      <c r="H27" s="266">
        <f>'2012'!N21</f>
        <v>423.79</v>
      </c>
      <c r="I27" s="270">
        <f>'2012'!P21</f>
        <v>66.129</v>
      </c>
      <c r="J27" s="270">
        <f>'2012'!Q21</f>
        <v>19.740000000000002</v>
      </c>
      <c r="K27" s="270">
        <f>'2012'!R21</f>
        <v>320.77500000000003</v>
      </c>
      <c r="L27" s="265">
        <f>'2012'!U21+'2012'!V21+'2012'!W21</f>
        <v>0</v>
      </c>
      <c r="M27" s="266">
        <f>'2012'!AA21</f>
        <v>406.644</v>
      </c>
      <c r="N27" s="266">
        <f>'2012'!AB21</f>
        <v>17.146000000000015</v>
      </c>
      <c r="O27" s="266">
        <f>'2012'!AC21</f>
        <v>-463.95</v>
      </c>
      <c r="P27" s="195"/>
      <c r="Q27" s="195"/>
    </row>
    <row r="28" spans="1:17" s="24" customFormat="1" ht="13.5" hidden="1" thickBot="1">
      <c r="A28" s="52" t="s">
        <v>3</v>
      </c>
      <c r="B28" s="53"/>
      <c r="C28" s="58">
        <f aca="true" t="shared" si="0" ref="C28:N28">SUM(C16:C27)</f>
        <v>10162.152000000002</v>
      </c>
      <c r="D28" s="58">
        <f t="shared" si="0"/>
        <v>0</v>
      </c>
      <c r="E28" s="58">
        <f t="shared" si="0"/>
        <v>10762.88</v>
      </c>
      <c r="F28" s="58">
        <f t="shared" si="0"/>
        <v>66</v>
      </c>
      <c r="G28" s="58">
        <f t="shared" si="0"/>
        <v>8950.540000000003</v>
      </c>
      <c r="H28" s="58">
        <f t="shared" si="0"/>
        <v>8950.540000000003</v>
      </c>
      <c r="I28" s="58">
        <f>SUM(I16:I27)</f>
        <v>793.5480000000001</v>
      </c>
      <c r="J28" s="58">
        <f t="shared" si="0"/>
        <v>236.88000000000008</v>
      </c>
      <c r="K28" s="58">
        <f t="shared" si="0"/>
        <v>4332.93</v>
      </c>
      <c r="L28" s="58">
        <f t="shared" si="0"/>
        <v>0</v>
      </c>
      <c r="M28" s="58">
        <f t="shared" si="0"/>
        <v>5363.358000000001</v>
      </c>
      <c r="N28" s="58">
        <f t="shared" si="0"/>
        <v>3587.1820000000007</v>
      </c>
      <c r="O28" s="58">
        <f>SUM(O16:O27)</f>
        <v>-1812.34</v>
      </c>
      <c r="P28" s="59"/>
      <c r="Q28" s="59"/>
    </row>
    <row r="29" spans="1:17" ht="13.5" hidden="1" thickBot="1">
      <c r="A29" s="361" t="s">
        <v>60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271"/>
      <c r="P29" s="195"/>
      <c r="Q29" s="195"/>
    </row>
    <row r="30" spans="1:17" s="24" customFormat="1" ht="13.5" thickBot="1">
      <c r="A30" s="67" t="s">
        <v>46</v>
      </c>
      <c r="B30" s="68"/>
      <c r="C30" s="69">
        <f aca="true" t="shared" si="1" ref="C30:K30">C14+C28</f>
        <v>33794.817</v>
      </c>
      <c r="D30" s="70">
        <f t="shared" si="1"/>
        <v>6453.610022790002</v>
      </c>
      <c r="E30" s="68">
        <f t="shared" si="1"/>
        <v>27187.059999999998</v>
      </c>
      <c r="F30" s="69">
        <f t="shared" si="1"/>
        <v>881.87</v>
      </c>
      <c r="G30" s="70">
        <f t="shared" si="1"/>
        <v>23819.47</v>
      </c>
      <c r="H30" s="69">
        <f t="shared" si="1"/>
        <v>31088.950022790006</v>
      </c>
      <c r="I30" s="70">
        <f t="shared" si="1"/>
        <v>2408.376</v>
      </c>
      <c r="J30" s="70">
        <f t="shared" si="1"/>
        <v>778.0298376000002</v>
      </c>
      <c r="K30" s="70">
        <f t="shared" si="1"/>
        <v>15507.277187199601</v>
      </c>
      <c r="L30" s="68">
        <f>L14+L28</f>
        <v>372.65400000000005</v>
      </c>
      <c r="M30" s="71">
        <f>M14+M28</f>
        <v>19066.337024799603</v>
      </c>
      <c r="N30" s="72">
        <f>N14+N28</f>
        <v>12022.6129979904</v>
      </c>
      <c r="O30" s="72">
        <f>O14+O28</f>
        <v>-3367.590000000001</v>
      </c>
      <c r="P30" s="73"/>
      <c r="Q30" s="59"/>
    </row>
    <row r="31" spans="1:17" ht="12.75">
      <c r="A31" s="8" t="s">
        <v>105</v>
      </c>
      <c r="B31" s="259"/>
      <c r="C31" s="60"/>
      <c r="D31" s="61"/>
      <c r="E31" s="260"/>
      <c r="F31" s="261"/>
      <c r="G31" s="262"/>
      <c r="H31" s="261"/>
      <c r="I31" s="262"/>
      <c r="J31" s="263"/>
      <c r="K31" s="264"/>
      <c r="L31" s="265"/>
      <c r="M31" s="266"/>
      <c r="N31" s="267"/>
      <c r="O31" s="267"/>
      <c r="P31" s="195"/>
      <c r="Q31" s="195"/>
    </row>
    <row r="32" spans="1:17" ht="12.75">
      <c r="A32" s="268" t="s">
        <v>37</v>
      </c>
      <c r="B32" s="269">
        <f>'2012'!B26</f>
        <v>98.7</v>
      </c>
      <c r="C32" s="269">
        <f>'2012'!C26</f>
        <v>843.8850000000001</v>
      </c>
      <c r="D32" s="269">
        <f>'2012'!D26</f>
        <v>0</v>
      </c>
      <c r="E32" s="264">
        <f>'2012'!I26</f>
        <v>753.17</v>
      </c>
      <c r="F32" s="266">
        <v>0</v>
      </c>
      <c r="G32" s="266">
        <f>'2012'!M26</f>
        <v>1253.9099999999999</v>
      </c>
      <c r="H32" s="266">
        <f>'2012'!N26</f>
        <v>0</v>
      </c>
      <c r="I32" s="270">
        <f>'2012'!O26</f>
        <v>66.129</v>
      </c>
      <c r="J32" s="270">
        <f>'2012'!P26</f>
        <v>19.740000000000002</v>
      </c>
      <c r="K32" s="270">
        <f>'2012'!Q26+'2012'!R26</f>
        <v>341.502</v>
      </c>
      <c r="L32" s="265">
        <f>'2012'!U26+'2012'!V26+'2012'!W26</f>
        <v>0</v>
      </c>
      <c r="M32" s="266">
        <f>'2012'!AA26</f>
        <v>427.37100000000004</v>
      </c>
      <c r="N32" s="266">
        <f>'2012'!AB26</f>
        <v>826.5389999999998</v>
      </c>
      <c r="O32" s="266">
        <f>'2012'!AC26</f>
        <v>356.16999999999985</v>
      </c>
      <c r="P32" s="195"/>
      <c r="Q32" s="195"/>
    </row>
    <row r="33" spans="1:17" ht="12.75">
      <c r="A33" s="268" t="s">
        <v>38</v>
      </c>
      <c r="B33" s="269">
        <f>'2012'!B27</f>
        <v>98.7</v>
      </c>
      <c r="C33" s="269">
        <f>'2012'!C27</f>
        <v>843.8850000000001</v>
      </c>
      <c r="D33" s="269">
        <f>'2012'!D27</f>
        <v>0</v>
      </c>
      <c r="E33" s="264">
        <f>'2012'!I27</f>
        <v>755.74</v>
      </c>
      <c r="F33" s="266">
        <v>1</v>
      </c>
      <c r="G33" s="266">
        <f>'2012'!M27</f>
        <v>1256.38</v>
      </c>
      <c r="H33" s="266">
        <f>'2012'!N27</f>
        <v>0</v>
      </c>
      <c r="I33" s="270">
        <f>'2012'!O27</f>
        <v>66.129</v>
      </c>
      <c r="J33" s="270">
        <f>'2012'!P27</f>
        <v>19.740000000000002</v>
      </c>
      <c r="K33" s="270">
        <f>'2012'!Q27+'2012'!R27</f>
        <v>341.502</v>
      </c>
      <c r="L33" s="265">
        <f>'2012'!U27+'2012'!V27+'2012'!W27</f>
        <v>0</v>
      </c>
      <c r="M33" s="266">
        <f>'2012'!AA27</f>
        <v>427.37100000000004</v>
      </c>
      <c r="N33" s="266">
        <f>'2012'!AB27</f>
        <v>829.009</v>
      </c>
      <c r="O33" s="266">
        <f>'2012'!AC27</f>
        <v>358.6400000000001</v>
      </c>
      <c r="P33" s="195"/>
      <c r="Q33" s="195"/>
    </row>
    <row r="34" spans="1:17" ht="12.75">
      <c r="A34" s="268" t="s">
        <v>39</v>
      </c>
      <c r="B34" s="269">
        <f>'2012'!B28</f>
        <v>98.7</v>
      </c>
      <c r="C34" s="269">
        <f>'2012'!C28</f>
        <v>843.8850000000001</v>
      </c>
      <c r="D34" s="269">
        <f>'2012'!D28</f>
        <v>0</v>
      </c>
      <c r="E34" s="264">
        <f>'2012'!I28</f>
        <v>263.79</v>
      </c>
      <c r="F34" s="266">
        <v>2</v>
      </c>
      <c r="G34" s="266">
        <f>'2012'!M28</f>
        <v>436.31</v>
      </c>
      <c r="H34" s="266">
        <f>'2012'!N28</f>
        <v>0</v>
      </c>
      <c r="I34" s="270">
        <f>'2012'!O28</f>
        <v>66.129</v>
      </c>
      <c r="J34" s="270">
        <f>'2012'!P28</f>
        <v>19.740000000000002</v>
      </c>
      <c r="K34" s="270">
        <f>'2012'!Q28+'2012'!R28</f>
        <v>341.502</v>
      </c>
      <c r="L34" s="265">
        <f>'2012'!U28+'2012'!V28+'2012'!W28</f>
        <v>0</v>
      </c>
      <c r="M34" s="266">
        <f>'2012'!AA28</f>
        <v>427.37100000000004</v>
      </c>
      <c r="N34" s="266">
        <f>'2012'!AB28</f>
        <v>8.938999999999965</v>
      </c>
      <c r="O34" s="266">
        <f>'2012'!AC28</f>
        <v>-461.43</v>
      </c>
      <c r="P34" s="195"/>
      <c r="Q34" s="195"/>
    </row>
    <row r="35" spans="1:17" ht="12.75">
      <c r="A35" s="268" t="s">
        <v>40</v>
      </c>
      <c r="B35" s="269">
        <f>'2012'!B29</f>
        <v>98.7</v>
      </c>
      <c r="C35" s="269">
        <f>'2012'!C29</f>
        <v>843.8850000000001</v>
      </c>
      <c r="D35" s="269">
        <f>'2012'!D29</f>
        <v>0</v>
      </c>
      <c r="E35" s="264">
        <f>'2012'!I29</f>
        <v>263.8</v>
      </c>
      <c r="F35" s="266">
        <v>3</v>
      </c>
      <c r="G35" s="266">
        <f>'2012'!M29</f>
        <v>436.34000000000003</v>
      </c>
      <c r="H35" s="266">
        <f>'2012'!N29</f>
        <v>0</v>
      </c>
      <c r="I35" s="270">
        <f>'2012'!O29</f>
        <v>66.129</v>
      </c>
      <c r="J35" s="270">
        <f>'2012'!P29</f>
        <v>19.740000000000002</v>
      </c>
      <c r="K35" s="270">
        <f>'2012'!Q29+'2012'!R29</f>
        <v>341.502</v>
      </c>
      <c r="L35" s="265">
        <f>'2012'!U29+'2012'!V29+'2012'!W29</f>
        <v>0</v>
      </c>
      <c r="M35" s="266">
        <f>'2012'!AA29</f>
        <v>427.37100000000004</v>
      </c>
      <c r="N35" s="266">
        <f>'2012'!AB29</f>
        <v>8.968999999999994</v>
      </c>
      <c r="O35" s="266">
        <f>'2012'!AC29</f>
        <v>-461.4</v>
      </c>
      <c r="P35" s="195"/>
      <c r="Q35" s="195"/>
    </row>
    <row r="36" spans="1:17" ht="12.75">
      <c r="A36" s="268" t="s">
        <v>41</v>
      </c>
      <c r="B36" s="269">
        <f>'2012'!B30</f>
        <v>98.7</v>
      </c>
      <c r="C36" s="269">
        <f>'2012'!C30</f>
        <v>843.8850000000001</v>
      </c>
      <c r="D36" s="269">
        <f>'2012'!D30</f>
        <v>0</v>
      </c>
      <c r="E36" s="264">
        <f>'2012'!I30</f>
        <v>1003.9</v>
      </c>
      <c r="F36" s="266">
        <v>4</v>
      </c>
      <c r="G36" s="266">
        <f>'2012'!M30</f>
        <v>1665.23</v>
      </c>
      <c r="H36" s="266">
        <f>'2012'!N30</f>
        <v>0</v>
      </c>
      <c r="I36" s="270">
        <f>'2012'!O30</f>
        <v>66.129</v>
      </c>
      <c r="J36" s="270">
        <f>'2012'!P30</f>
        <v>19.740000000000002</v>
      </c>
      <c r="K36" s="270">
        <f>'2012'!Q30+'2012'!R30</f>
        <v>341.502</v>
      </c>
      <c r="L36" s="265">
        <f>'2012'!U30+'2012'!V30+'2012'!W30</f>
        <v>0</v>
      </c>
      <c r="M36" s="266">
        <f>'2012'!AA30</f>
        <v>427.37100000000004</v>
      </c>
      <c r="N36" s="266">
        <f>'2012'!AB30</f>
        <v>1237.859</v>
      </c>
      <c r="O36" s="266">
        <f>'2012'!AC30</f>
        <v>767.49</v>
      </c>
      <c r="P36" s="195"/>
      <c r="Q36" s="195"/>
    </row>
    <row r="37" spans="1:17" ht="12.75">
      <c r="A37" s="268" t="s">
        <v>42</v>
      </c>
      <c r="B37" s="269">
        <f>'2012'!B31</f>
        <v>98.7</v>
      </c>
      <c r="C37" s="269">
        <f>'2012'!C31</f>
        <v>843.8850000000001</v>
      </c>
      <c r="D37" s="269">
        <f>'2012'!D31</f>
        <v>0</v>
      </c>
      <c r="E37" s="264">
        <f>'2012'!I31</f>
        <v>267.02</v>
      </c>
      <c r="F37" s="266">
        <v>5</v>
      </c>
      <c r="G37" s="266">
        <f>'2012'!M31</f>
        <v>441.65999999999997</v>
      </c>
      <c r="H37" s="266">
        <f>'2012'!N31</f>
        <v>0</v>
      </c>
      <c r="I37" s="270">
        <f>'2012'!O31</f>
        <v>66.129</v>
      </c>
      <c r="J37" s="270">
        <f>'2012'!P31</f>
        <v>19.740000000000002</v>
      </c>
      <c r="K37" s="270">
        <f>'2012'!Q31+'2012'!R31</f>
        <v>341.502</v>
      </c>
      <c r="L37" s="265">
        <f>'2012'!U31+'2012'!V31+'2012'!W31</f>
        <v>0</v>
      </c>
      <c r="M37" s="266">
        <f>'2012'!AA31</f>
        <v>427.37100000000004</v>
      </c>
      <c r="N37" s="266">
        <f>'2012'!AB31</f>
        <v>14.28899999999993</v>
      </c>
      <c r="O37" s="266">
        <f>'2012'!AC31</f>
        <v>-456.08000000000004</v>
      </c>
      <c r="P37" s="195"/>
      <c r="Q37" s="195"/>
    </row>
    <row r="38" spans="1:17" ht="12.75">
      <c r="A38" s="268" t="s">
        <v>43</v>
      </c>
      <c r="B38" s="269">
        <f>'2012'!B32</f>
        <v>98.7</v>
      </c>
      <c r="C38" s="269">
        <f>'2012'!C32</f>
        <v>938.6370000000001</v>
      </c>
      <c r="D38" s="269">
        <f>'2012'!D32</f>
        <v>0</v>
      </c>
      <c r="E38" s="264">
        <f>'2012'!I32</f>
        <v>498.14</v>
      </c>
      <c r="F38" s="266">
        <v>6</v>
      </c>
      <c r="G38" s="266">
        <f>'2012'!M32</f>
        <v>825.44</v>
      </c>
      <c r="H38" s="266">
        <f>'2012'!N32</f>
        <v>0</v>
      </c>
      <c r="I38" s="270">
        <f>'2012'!O32</f>
        <v>66.129</v>
      </c>
      <c r="J38" s="270">
        <f>'2012'!P32</f>
        <v>19.740000000000002</v>
      </c>
      <c r="K38" s="270">
        <f>'2012'!Q32+'2012'!R32</f>
        <v>341.502</v>
      </c>
      <c r="L38" s="265">
        <f>'2012'!U32+'2012'!V32+'2012'!W32</f>
        <v>0</v>
      </c>
      <c r="M38" s="266">
        <f>'2012'!AA32</f>
        <v>427.37100000000004</v>
      </c>
      <c r="N38" s="266">
        <f>'2012'!AB32</f>
        <v>398.069</v>
      </c>
      <c r="O38" s="266">
        <f>'2012'!AC32</f>
        <v>-113.19999999999993</v>
      </c>
      <c r="P38" s="195"/>
      <c r="Q38" s="195"/>
    </row>
    <row r="39" spans="1:17" ht="12.75">
      <c r="A39" s="268" t="s">
        <v>44</v>
      </c>
      <c r="B39" s="269">
        <f>'2012'!B33</f>
        <v>98.7</v>
      </c>
      <c r="C39" s="269">
        <f>'2012'!C33</f>
        <v>938.6370000000001</v>
      </c>
      <c r="D39" s="269">
        <f>'2012'!D33</f>
        <v>0</v>
      </c>
      <c r="E39" s="264">
        <f>'2012'!I33</f>
        <v>912.88</v>
      </c>
      <c r="F39" s="266">
        <v>7</v>
      </c>
      <c r="G39" s="266">
        <f>'2012'!M33</f>
        <v>1199.9</v>
      </c>
      <c r="H39" s="266">
        <f>'2012'!N33</f>
        <v>0</v>
      </c>
      <c r="I39" s="270">
        <f>'2012'!O33</f>
        <v>66.129</v>
      </c>
      <c r="J39" s="270">
        <f>'2012'!P33</f>
        <v>19.740000000000002</v>
      </c>
      <c r="K39" s="270">
        <f>'2012'!Q33+'2012'!R33</f>
        <v>341.502</v>
      </c>
      <c r="L39" s="265">
        <f>'2012'!U33+'2012'!V33+'2012'!W33</f>
        <v>0</v>
      </c>
      <c r="M39" s="266">
        <f>'2012'!AA33</f>
        <v>427.37100000000004</v>
      </c>
      <c r="N39" s="266">
        <f>'2012'!AB33</f>
        <v>772.529</v>
      </c>
      <c r="O39" s="266">
        <f>'2012'!AC33</f>
        <v>261.2600000000001</v>
      </c>
      <c r="P39" s="195"/>
      <c r="Q39" s="195"/>
    </row>
    <row r="40" spans="1:17" ht="12.75">
      <c r="A40" s="268" t="s">
        <v>45</v>
      </c>
      <c r="B40" s="269">
        <f>'2012'!B34</f>
        <v>98.7</v>
      </c>
      <c r="C40" s="269">
        <f>'2012'!C34</f>
        <v>938.6370000000001</v>
      </c>
      <c r="D40" s="269">
        <f>'2012'!D34</f>
        <v>0</v>
      </c>
      <c r="E40" s="264">
        <f>'2012'!I34</f>
        <v>0</v>
      </c>
      <c r="F40" s="266">
        <v>8</v>
      </c>
      <c r="G40" s="266">
        <f>'2012'!M34</f>
        <v>0</v>
      </c>
      <c r="H40" s="266">
        <f>'2012'!N34</f>
        <v>0</v>
      </c>
      <c r="I40" s="270">
        <f>'2012'!O34</f>
        <v>66.129</v>
      </c>
      <c r="J40" s="270">
        <f>'2012'!P34</f>
        <v>19.740000000000002</v>
      </c>
      <c r="K40" s="270">
        <f>'2012'!Q34+'2012'!R34</f>
        <v>341.502</v>
      </c>
      <c r="L40" s="265">
        <f>'2012'!U34+'2012'!V34+'2012'!W34</f>
        <v>0</v>
      </c>
      <c r="M40" s="266">
        <f>'2012'!AA34</f>
        <v>427.37100000000004</v>
      </c>
      <c r="N40" s="266">
        <f>'2012'!AB34</f>
        <v>-427.37100000000004</v>
      </c>
      <c r="O40" s="266">
        <f>'2012'!AC34</f>
        <v>-938.64</v>
      </c>
      <c r="P40" s="195"/>
      <c r="Q40" s="195"/>
    </row>
    <row r="41" spans="1:17" ht="12.75">
      <c r="A41" s="268" t="s">
        <v>33</v>
      </c>
      <c r="B41" s="269">
        <f>'2012'!B35</f>
        <v>98.7</v>
      </c>
      <c r="C41" s="269">
        <f>'2012'!C35</f>
        <v>938.6370000000001</v>
      </c>
      <c r="D41" s="269">
        <f>'2012'!D35</f>
        <v>0</v>
      </c>
      <c r="E41" s="264">
        <f>'2012'!I35</f>
        <v>476.09</v>
      </c>
      <c r="F41" s="266">
        <v>9</v>
      </c>
      <c r="G41" s="266">
        <f>'2012'!M35</f>
        <v>476.09</v>
      </c>
      <c r="H41" s="266">
        <f>'2012'!N35</f>
        <v>0</v>
      </c>
      <c r="I41" s="270">
        <f>'2012'!O35</f>
        <v>66.129</v>
      </c>
      <c r="J41" s="270">
        <f>'2012'!P35</f>
        <v>19.740000000000002</v>
      </c>
      <c r="K41" s="270">
        <f>'2012'!Q35+'2012'!R35</f>
        <v>341.502</v>
      </c>
      <c r="L41" s="265">
        <f>'2012'!U35+'2012'!V35+'2012'!W35</f>
        <v>0</v>
      </c>
      <c r="M41" s="266">
        <f>'2012'!AA35</f>
        <v>427.37100000000004</v>
      </c>
      <c r="N41" s="266">
        <f>'2012'!AB35</f>
        <v>48.71899999999994</v>
      </c>
      <c r="O41" s="266">
        <f>'2012'!AC35</f>
        <v>-462.55</v>
      </c>
      <c r="P41" s="195"/>
      <c r="Q41" s="195"/>
    </row>
    <row r="42" spans="1:17" ht="12.75">
      <c r="A42" s="268" t="s">
        <v>34</v>
      </c>
      <c r="B42" s="269">
        <f>'2012'!B36</f>
        <v>98.7</v>
      </c>
      <c r="C42" s="269">
        <f>'2012'!C36</f>
        <v>938.6370000000001</v>
      </c>
      <c r="D42" s="269">
        <f>'2012'!D36</f>
        <v>0</v>
      </c>
      <c r="E42" s="264">
        <f>'2012'!I36</f>
        <v>476.1</v>
      </c>
      <c r="F42" s="266">
        <v>10</v>
      </c>
      <c r="G42" s="266">
        <f>'2012'!M36</f>
        <v>476.1</v>
      </c>
      <c r="H42" s="266">
        <f>'2012'!N36</f>
        <v>0</v>
      </c>
      <c r="I42" s="270">
        <f>'2012'!O36</f>
        <v>66.129</v>
      </c>
      <c r="J42" s="270">
        <f>'2012'!P36</f>
        <v>19.740000000000002</v>
      </c>
      <c r="K42" s="270">
        <f>'2012'!Q36+'2012'!R36</f>
        <v>341.502</v>
      </c>
      <c r="L42" s="265">
        <f>'2012'!U36+'2012'!V36+'2012'!W36</f>
        <v>0</v>
      </c>
      <c r="M42" s="266">
        <f>'2012'!AA36</f>
        <v>427.37100000000004</v>
      </c>
      <c r="N42" s="266">
        <f>'2012'!AB36</f>
        <v>48.728999999999985</v>
      </c>
      <c r="O42" s="266">
        <f>'2012'!AC36</f>
        <v>-462.53999999999996</v>
      </c>
      <c r="P42" s="195"/>
      <c r="Q42" s="195"/>
    </row>
    <row r="43" spans="1:17" ht="13.5" thickBot="1">
      <c r="A43" s="268" t="s">
        <v>35</v>
      </c>
      <c r="B43" s="269">
        <f>'2012'!B37</f>
        <v>98.7</v>
      </c>
      <c r="C43" s="269">
        <f>'2012'!C37</f>
        <v>938.6370000000001</v>
      </c>
      <c r="D43" s="269">
        <f>'2012'!D37</f>
        <v>0</v>
      </c>
      <c r="E43" s="264">
        <f>'2012'!I37</f>
        <v>1898.73</v>
      </c>
      <c r="F43" s="266">
        <v>11</v>
      </c>
      <c r="G43" s="266">
        <f>'2012'!M37</f>
        <v>2129.0800000000004</v>
      </c>
      <c r="H43" s="266">
        <f>'2012'!N37</f>
        <v>0</v>
      </c>
      <c r="I43" s="270">
        <f>'2012'!O37</f>
        <v>66.129</v>
      </c>
      <c r="J43" s="270">
        <f>'2012'!P37</f>
        <v>19.740000000000002</v>
      </c>
      <c r="K43" s="270">
        <f>'2012'!Q37+'2012'!R37</f>
        <v>341.502</v>
      </c>
      <c r="L43" s="265">
        <f>'2012'!U37+'2012'!V37+'2012'!W37</f>
        <v>0</v>
      </c>
      <c r="M43" s="266">
        <f>'2012'!AA37</f>
        <v>427.37100000000004</v>
      </c>
      <c r="N43" s="266">
        <f>'2012'!AB37</f>
        <v>1701.7090000000003</v>
      </c>
      <c r="O43" s="266">
        <f>'2012'!AC37</f>
        <v>1190.4400000000005</v>
      </c>
      <c r="P43" s="195"/>
      <c r="Q43" s="195"/>
    </row>
    <row r="44" spans="1:17" s="24" customFormat="1" ht="13.5" thickBot="1">
      <c r="A44" s="52" t="s">
        <v>3</v>
      </c>
      <c r="B44" s="53"/>
      <c r="C44" s="58">
        <f aca="true" t="shared" si="2" ref="C44:H44">SUM(C32:C43)</f>
        <v>10695.132000000001</v>
      </c>
      <c r="D44" s="58">
        <f t="shared" si="2"/>
        <v>0</v>
      </c>
      <c r="E44" s="58">
        <f t="shared" si="2"/>
        <v>7569.360000000001</v>
      </c>
      <c r="F44" s="58">
        <f t="shared" si="2"/>
        <v>66</v>
      </c>
      <c r="G44" s="58">
        <f t="shared" si="2"/>
        <v>10596.44</v>
      </c>
      <c r="H44" s="58">
        <f t="shared" si="2"/>
        <v>0</v>
      </c>
      <c r="I44" s="58">
        <f aca="true" t="shared" si="3" ref="I44:O44">SUM(I32:I43)</f>
        <v>793.5480000000001</v>
      </c>
      <c r="J44" s="58">
        <f t="shared" si="3"/>
        <v>236.88000000000008</v>
      </c>
      <c r="K44" s="58">
        <f t="shared" si="3"/>
        <v>4098.024</v>
      </c>
      <c r="L44" s="58">
        <f t="shared" si="3"/>
        <v>0</v>
      </c>
      <c r="M44" s="58">
        <f t="shared" si="3"/>
        <v>5128.452</v>
      </c>
      <c r="N44" s="58">
        <f t="shared" si="3"/>
        <v>5467.987999999999</v>
      </c>
      <c r="O44" s="58">
        <f t="shared" si="3"/>
        <v>-421.83999999999924</v>
      </c>
      <c r="P44" s="59"/>
      <c r="Q44" s="59"/>
    </row>
    <row r="45" spans="1:17" ht="13.5" thickBot="1">
      <c r="A45" s="361" t="s">
        <v>60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271"/>
      <c r="P45" s="195"/>
      <c r="Q45" s="195"/>
    </row>
    <row r="46" spans="1:17" s="24" customFormat="1" ht="13.5" thickBot="1">
      <c r="A46" s="67" t="s">
        <v>46</v>
      </c>
      <c r="B46" s="68"/>
      <c r="C46" s="69">
        <f aca="true" t="shared" si="4" ref="C46:K46">C30+C44</f>
        <v>44489.94900000001</v>
      </c>
      <c r="D46" s="70">
        <f t="shared" si="4"/>
        <v>6453.610022790002</v>
      </c>
      <c r="E46" s="68">
        <f t="shared" si="4"/>
        <v>34756.42</v>
      </c>
      <c r="F46" s="69">
        <f t="shared" si="4"/>
        <v>947.87</v>
      </c>
      <c r="G46" s="70">
        <f t="shared" si="4"/>
        <v>34415.91</v>
      </c>
      <c r="H46" s="69">
        <f t="shared" si="4"/>
        <v>31088.950022790006</v>
      </c>
      <c r="I46" s="70">
        <f t="shared" si="4"/>
        <v>3201.9240000000004</v>
      </c>
      <c r="J46" s="70">
        <f t="shared" si="4"/>
        <v>1014.9098376000003</v>
      </c>
      <c r="K46" s="70">
        <f t="shared" si="4"/>
        <v>19605.301187199602</v>
      </c>
      <c r="L46" s="68">
        <f>L30+L44</f>
        <v>372.65400000000005</v>
      </c>
      <c r="M46" s="71">
        <f>M30+M44</f>
        <v>24194.789024799604</v>
      </c>
      <c r="N46" s="72">
        <f>N30+N44</f>
        <v>17490.600997990397</v>
      </c>
      <c r="O46" s="72">
        <f>O30+O44</f>
        <v>-3789.4300000000003</v>
      </c>
      <c r="P46" s="73"/>
      <c r="Q46" s="59"/>
    </row>
    <row r="48" spans="1:17" ht="12.75">
      <c r="A48" s="24" t="s">
        <v>70</v>
      </c>
      <c r="D48" s="272" t="s">
        <v>107</v>
      </c>
      <c r="P48" s="195"/>
      <c r="Q48" s="195"/>
    </row>
    <row r="49" spans="1:17" ht="12.75">
      <c r="A49" s="203" t="s">
        <v>61</v>
      </c>
      <c r="B49" s="203" t="s">
        <v>62</v>
      </c>
      <c r="C49" s="425" t="s">
        <v>63</v>
      </c>
      <c r="D49" s="425"/>
      <c r="P49" s="195"/>
      <c r="Q49" s="195"/>
    </row>
    <row r="50" spans="1:17" ht="12.75">
      <c r="A50" s="273">
        <v>8065.38</v>
      </c>
      <c r="B50" s="273">
        <v>3312</v>
      </c>
      <c r="C50" s="426">
        <f>A50-B50</f>
        <v>4753.38</v>
      </c>
      <c r="D50" s="427"/>
      <c r="P50" s="195"/>
      <c r="Q50" s="195"/>
    </row>
    <row r="51" spans="1:17" ht="12.75">
      <c r="A51" s="74"/>
      <c r="P51" s="195"/>
      <c r="Q51" s="195"/>
    </row>
    <row r="52" spans="1:17" ht="12.75">
      <c r="A52" s="196" t="s">
        <v>64</v>
      </c>
      <c r="G52" s="196" t="s">
        <v>65</v>
      </c>
      <c r="P52" s="195"/>
      <c r="Q52" s="195"/>
    </row>
    <row r="53" ht="12.75">
      <c r="A53" s="195"/>
    </row>
    <row r="54" ht="12.75">
      <c r="A54" s="272" t="s">
        <v>102</v>
      </c>
    </row>
    <row r="55" ht="12.75">
      <c r="A55" s="196" t="s">
        <v>67</v>
      </c>
    </row>
  </sheetData>
  <sheetProtection/>
  <mergeCells count="26">
    <mergeCell ref="A29:N29"/>
    <mergeCell ref="C49:D49"/>
    <mergeCell ref="C50:D50"/>
    <mergeCell ref="I9:M10"/>
    <mergeCell ref="N9:N12"/>
    <mergeCell ref="O9:O12"/>
    <mergeCell ref="E11:F11"/>
    <mergeCell ref="H11:H12"/>
    <mergeCell ref="I11:I12"/>
    <mergeCell ref="J11:J12"/>
    <mergeCell ref="A9:A12"/>
    <mergeCell ref="B9:B12"/>
    <mergeCell ref="C9:C12"/>
    <mergeCell ref="D9:D12"/>
    <mergeCell ref="E9:F10"/>
    <mergeCell ref="G9:H10"/>
    <mergeCell ref="A45:N45"/>
    <mergeCell ref="B1:H1"/>
    <mergeCell ref="B2:H2"/>
    <mergeCell ref="A5:N5"/>
    <mergeCell ref="A6:G6"/>
    <mergeCell ref="A8:D8"/>
    <mergeCell ref="E8:F8"/>
    <mergeCell ref="K11:K12"/>
    <mergeCell ref="L11:L12"/>
    <mergeCell ref="M11:M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2013-07-17T16:09:39Z</dcterms:modified>
  <cp:category/>
  <cp:version/>
  <cp:contentType/>
  <cp:contentStatus/>
</cp:coreProperties>
</file>