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86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definedNames/>
  <calcPr fullCalcOnLoad="1"/>
</workbook>
</file>

<file path=xl/sharedStrings.xml><?xml version="1.0" encoding="utf-8"?>
<sst xmlns="http://schemas.openxmlformats.org/spreadsheetml/2006/main" count="284" uniqueCount="112">
  <si>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</si>
  <si>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</si>
  <si>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</si>
  <si>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</si>
  <si>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</si>
  <si>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</si>
  <si>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</si>
  <si>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</si>
  <si>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</si>
  <si>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</si>
  <si>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</si>
  <si>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</si>
  <si>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</si>
  <si>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</si>
  <si>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</si>
  <si>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</si>
  <si>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</si>
  <si>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</si>
  <si>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</si>
  <si>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</si>
  <si>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</si>
  <si>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</si>
  <si>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</si>
  <si>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</si>
  <si>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</si>
  <si>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</si>
  <si>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</si>
  <si>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</si>
  <si>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</si>
  <si>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</si>
  <si>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</si>
  <si>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</si>
  <si>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</si>
  <si>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</si>
  <si>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</si>
  <si>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</si>
  <si>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</si>
  <si>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</si>
  <si>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</si>
  <si>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</si>
  <si>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</si>
  <si>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</si>
  <si>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</si>
  <si>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</si>
  <si>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</si>
  <si>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</si>
  <si>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</si>
  <si>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</si>
  <si>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</si>
  <si>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</si>
  <si>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</si>
  <si>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</si>
  <si>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</si>
  <si>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</si>
  <si>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</si>
  <si>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</si>
  <si>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</si>
  <si>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</si>
  <si>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</si>
  <si>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</si>
  <si>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</si>
  <si>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</si>
  <si>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</si>
  <si>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</t>
  </si>
  <si>
    <t>Выписка по лицевому счету по адресу г. Таштагол, ул. 28 Панфиловцев,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</si>
  <si>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</si>
  <si>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</si>
  <si>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</si>
  <si>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</si>
  <si>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</si>
  <si>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</si>
  <si>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</si>
  <si>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</si>
  <si>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</si>
  <si>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</si>
  <si>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</si>
  <si>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</si>
  <si>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</si>
  <si>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</si>
  <si>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</si>
  <si>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</si>
  <si>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</si>
  <si>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</si>
  <si>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</si>
  <si>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</si>
  <si>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</si>
  <si>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</si>
  <si>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</si>
  <si>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</si>
  <si>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</si>
  <si>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</si>
  <si>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</si>
  <si>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</si>
  <si>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</si>
  <si>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</si>
  <si>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</si>
  <si>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</si>
  <si>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</si>
  <si>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</si>
  <si>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</si>
  <si>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</si>
  <si>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</si>
  <si>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</si>
  <si>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</si>
  <si>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</si>
  <si>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</si>
  <si>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Лицевой счет по адресу г. Таштагол, ул. 28 Панфиловцев, д.11</t>
  </si>
  <si>
    <t>Выписка по лицевому счету по адресу г. Таштагол ул. 28 панфиловцев, д.11</t>
  </si>
  <si>
    <t>2012 год</t>
  </si>
  <si>
    <t>*по состоянию на 01.05.2013 г.</t>
  </si>
  <si>
    <t>Тариф по содержанию и тек.ремонту 100 % (13,65 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</si>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</sst>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3" fontId="2" fillId="34" borderId="29" xfId="64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8" borderId="3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2" fillId="34" borderId="11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43" fontId="2" fillId="34" borderId="13" xfId="64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 horizontal="right"/>
    </xf>
    <xf numFmtId="2" fontId="0" fillId="38" borderId="37" xfId="0" applyNumberFormat="1" applyFont="1" applyFill="1" applyBorder="1" applyAlignment="1">
      <alignment horizontal="right"/>
    </xf>
    <xf numFmtId="2" fontId="0" fillId="38" borderId="3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3" fontId="2" fillId="34" borderId="13" xfId="6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9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38" borderId="40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8" borderId="37" xfId="0" applyNumberFormat="1" applyFont="1" applyFill="1" applyBorder="1" applyAlignment="1">
      <alignment horizontal="right"/>
    </xf>
    <xf numFmtId="2" fontId="7" fillId="38" borderId="39" xfId="0" applyNumberFormat="1" applyFont="1" applyFill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4" fontId="0" fillId="38" borderId="27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2" fillId="0" borderId="47" xfId="34" applyNumberFormat="1" applyFont="1" applyFill="1" applyBorder="1" applyAlignment="1">
      <alignment horizontal="center" vertical="center" wrapText="1"/>
      <protection/>
    </xf>
    <xf numFmtId="4" fontId="0" fillId="0" borderId="48" xfId="0" applyNumberFormat="1" applyFont="1" applyFill="1" applyBorder="1" applyAlignment="1">
      <alignment horizontal="center"/>
    </xf>
    <xf numFmtId="4" fontId="0" fillId="39" borderId="49" xfId="0" applyNumberFormat="1" applyFont="1" applyFill="1" applyBorder="1" applyAlignment="1">
      <alignment horizontal="center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Border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39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/>
    </xf>
    <xf numFmtId="4" fontId="3" fillId="0" borderId="49" xfId="34" applyNumberFormat="1" applyFont="1" applyBorder="1" applyAlignment="1">
      <alignment horizontal="center" vertical="center" wrapText="1"/>
      <protection/>
    </xf>
    <xf numFmtId="4" fontId="0" fillId="37" borderId="48" xfId="0" applyNumberFormat="1" applyFont="1" applyFill="1" applyBorder="1" applyAlignment="1">
      <alignment/>
    </xf>
    <xf numFmtId="4" fontId="3" fillId="0" borderId="19" xfId="34" applyNumberFormat="1" applyFont="1" applyBorder="1" applyAlignment="1">
      <alignment horizontal="center" vertical="center" wrapText="1"/>
      <protection/>
    </xf>
    <xf numFmtId="43" fontId="2" fillId="34" borderId="48" xfId="64" applyFont="1" applyFill="1" applyBorder="1" applyAlignment="1">
      <alignment horizontal="center" vertical="center" wrapText="1"/>
    </xf>
    <xf numFmtId="4" fontId="3" fillId="0" borderId="48" xfId="34" applyNumberFormat="1" applyFont="1" applyBorder="1" applyAlignment="1">
      <alignment horizontal="center" vertical="center" wrapText="1"/>
      <protection/>
    </xf>
    <xf numFmtId="4" fontId="0" fillId="39" borderId="5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3" fontId="2" fillId="34" borderId="33" xfId="67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" fontId="1" fillId="34" borderId="33" xfId="56" applyNumberFormat="1" applyFont="1" applyFill="1" applyBorder="1">
      <alignment/>
      <protection/>
    </xf>
    <xf numFmtId="0" fontId="0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1" fillId="0" borderId="10" xfId="34" applyNumberFormat="1" applyFont="1" applyFill="1" applyBorder="1" applyAlignment="1">
      <alignment horizontal="center" vertical="center" wrapText="1"/>
      <protection/>
    </xf>
    <xf numFmtId="43" fontId="11" fillId="34" borderId="33" xfId="67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/>
    </xf>
    <xf numFmtId="4" fontId="7" fillId="34" borderId="33" xfId="56" applyNumberFormat="1" applyFont="1" applyFill="1" applyBorder="1">
      <alignment/>
      <protection/>
    </xf>
    <xf numFmtId="4" fontId="7" fillId="0" borderId="11" xfId="56" applyNumberFormat="1" applyFont="1" applyFill="1" applyBorder="1">
      <alignment/>
      <protection/>
    </xf>
    <xf numFmtId="4" fontId="7" fillId="33" borderId="11" xfId="56" applyNumberFormat="1" applyFont="1" applyFill="1" applyBorder="1">
      <alignment/>
      <protection/>
    </xf>
    <xf numFmtId="4" fontId="7" fillId="0" borderId="33" xfId="56" applyNumberFormat="1" applyFont="1" applyFill="1" applyBorder="1">
      <alignment/>
      <protection/>
    </xf>
    <xf numFmtId="4" fontId="6" fillId="0" borderId="33" xfId="56" applyNumberFormat="1" applyFont="1" applyFill="1" applyBorder="1">
      <alignment/>
      <protection/>
    </xf>
    <xf numFmtId="4" fontId="7" fillId="37" borderId="11" xfId="56" applyNumberFormat="1" applyFont="1" applyFill="1" applyBorder="1">
      <alignment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" fontId="7" fillId="36" borderId="11" xfId="56" applyNumberFormat="1" applyFont="1" applyFill="1" applyBorder="1">
      <alignment/>
      <protection/>
    </xf>
    <xf numFmtId="4" fontId="0" fillId="34" borderId="33" xfId="56" applyNumberFormat="1" applyFont="1" applyFill="1" applyBorder="1">
      <alignment/>
      <protection/>
    </xf>
    <xf numFmtId="4" fontId="0" fillId="0" borderId="11" xfId="56" applyNumberFormat="1" applyFont="1" applyFill="1" applyBorder="1">
      <alignment/>
      <protection/>
    </xf>
    <xf numFmtId="4" fontId="0" fillId="33" borderId="11" xfId="56" applyNumberFormat="1" applyFont="1" applyFill="1" applyBorder="1">
      <alignment/>
      <protection/>
    </xf>
    <xf numFmtId="4" fontId="0" fillId="0" borderId="33" xfId="56" applyNumberFormat="1" applyFont="1" applyFill="1" applyBorder="1">
      <alignment/>
      <protection/>
    </xf>
    <xf numFmtId="4" fontId="0" fillId="37" borderId="11" xfId="56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33" borderId="11" xfId="56" applyNumberFormat="1" applyFont="1" applyFill="1" applyBorder="1" applyAlignment="1">
      <alignment horizontal="center"/>
      <protection/>
    </xf>
    <xf numFmtId="4" fontId="7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0" fillId="37" borderId="33" xfId="56" applyNumberFormat="1" applyFont="1" applyFill="1" applyBorder="1">
      <alignment/>
      <protection/>
    </xf>
    <xf numFmtId="4" fontId="0" fillId="0" borderId="3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0" fontId="0" fillId="37" borderId="15" xfId="0" applyFill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 wrapText="1"/>
    </xf>
    <xf numFmtId="4" fontId="2" fillId="0" borderId="58" xfId="34" applyNumberFormat="1" applyFont="1" applyFill="1" applyBorder="1" applyAlignment="1">
      <alignment horizontal="right" vertical="center" wrapText="1"/>
      <protection/>
    </xf>
    <xf numFmtId="4" fontId="0" fillId="0" borderId="58" xfId="0" applyNumberFormat="1" applyFont="1" applyFill="1" applyBorder="1" applyAlignment="1">
      <alignment horizontal="right"/>
    </xf>
    <xf numFmtId="0" fontId="1" fillId="0" borderId="59" xfId="0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right" wrapText="1"/>
    </xf>
    <xf numFmtId="4" fontId="2" fillId="0" borderId="60" xfId="34" applyNumberFormat="1" applyFont="1" applyFill="1" applyBorder="1" applyAlignment="1">
      <alignment horizontal="right" vertical="center" wrapText="1"/>
      <protection/>
    </xf>
    <xf numFmtId="4" fontId="2" fillId="0" borderId="59" xfId="34" applyNumberFormat="1" applyFont="1" applyFill="1" applyBorder="1" applyAlignment="1">
      <alignment horizontal="right" vertical="center" wrapText="1"/>
      <protection/>
    </xf>
    <xf numFmtId="4" fontId="0" fillId="0" borderId="55" xfId="0" applyNumberFormat="1" applyFont="1" applyFill="1" applyBorder="1" applyAlignment="1">
      <alignment horizontal="right"/>
    </xf>
    <xf numFmtId="4" fontId="0" fillId="0" borderId="61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4" fontId="0" fillId="0" borderId="62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 vertical="center" wrapText="1"/>
    </xf>
    <xf numFmtId="4" fontId="0" fillId="0" borderId="56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4" fontId="0" fillId="0" borderId="52" xfId="0" applyNumberFormat="1" applyFont="1" applyFill="1" applyBorder="1" applyAlignment="1">
      <alignment horizontal="right" wrapText="1"/>
    </xf>
    <xf numFmtId="4" fontId="2" fillId="0" borderId="52" xfId="34" applyNumberFormat="1" applyFont="1" applyFill="1" applyBorder="1" applyAlignment="1">
      <alignment horizontal="right" vertical="center" wrapText="1"/>
      <protection/>
    </xf>
    <xf numFmtId="4" fontId="2" fillId="0" borderId="63" xfId="34" applyNumberFormat="1" applyFont="1" applyFill="1" applyBorder="1" applyAlignment="1">
      <alignment horizontal="right" vertical="center" wrapText="1"/>
      <protection/>
    </xf>
    <xf numFmtId="4" fontId="0" fillId="0" borderId="48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0" fillId="0" borderId="63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4" fontId="0" fillId="0" borderId="64" xfId="0" applyNumberFormat="1" applyFont="1" applyFill="1" applyBorder="1" applyAlignment="1">
      <alignment horizontal="right" wrapText="1"/>
    </xf>
    <xf numFmtId="4" fontId="2" fillId="0" borderId="64" xfId="34" applyNumberFormat="1" applyFont="1" applyFill="1" applyBorder="1" applyAlignment="1">
      <alignment horizontal="right" vertical="center" wrapText="1"/>
      <protection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0" fillId="0" borderId="53" xfId="0" applyNumberFormat="1" applyFont="1" applyFill="1" applyBorder="1" applyAlignment="1">
      <alignment horizontal="right"/>
    </xf>
    <xf numFmtId="4" fontId="0" fillId="0" borderId="65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4" fontId="0" fillId="0" borderId="6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6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71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0" borderId="72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9" borderId="71" xfId="0" applyFont="1" applyFill="1" applyBorder="1" applyAlignment="1">
      <alignment horizontal="center" textRotation="90"/>
    </xf>
    <xf numFmtId="0" fontId="1" fillId="39" borderId="34" xfId="0" applyFont="1" applyFill="1" applyBorder="1" applyAlignment="1">
      <alignment horizontal="center" textRotation="90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71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6" xfId="0" applyFont="1" applyBorder="1" applyAlignment="1">
      <alignment/>
    </xf>
    <xf numFmtId="0" fontId="1" fillId="0" borderId="72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34" borderId="71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8" borderId="71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37" borderId="71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3" xfId="64" applyFont="1" applyFill="1" applyBorder="1" applyAlignment="1">
      <alignment horizontal="center"/>
    </xf>
    <xf numFmtId="43" fontId="0" fillId="0" borderId="28" xfId="64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wrapText="1"/>
    </xf>
    <xf numFmtId="0" fontId="1" fillId="0" borderId="72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7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1" fillId="0" borderId="7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78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79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3" borderId="71" xfId="56" applyNumberFormat="1" applyFont="1" applyFill="1" applyBorder="1" applyAlignment="1">
      <alignment horizontal="center" vertical="center" wrapText="1"/>
      <protection/>
    </xf>
    <xf numFmtId="2" fontId="1" fillId="33" borderId="35" xfId="56" applyNumberFormat="1" applyFont="1" applyFill="1" applyBorder="1" applyAlignment="1">
      <alignment horizontal="center" vertical="center" wrapText="1"/>
      <protection/>
    </xf>
    <xf numFmtId="2" fontId="1" fillId="33" borderId="71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6" borderId="71" xfId="56" applyNumberFormat="1" applyFont="1" applyFill="1" applyBorder="1" applyAlignment="1">
      <alignment horizontal="center" vertical="center" wrapText="1"/>
      <protection/>
    </xf>
    <xf numFmtId="2" fontId="1" fillId="36" borderId="35" xfId="56" applyNumberFormat="1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2" fontId="1" fillId="33" borderId="79" xfId="56" applyNumberFormat="1" applyFont="1" applyFill="1" applyBorder="1" applyAlignment="1">
      <alignment horizontal="center" vertical="center" wrapText="1"/>
      <protection/>
    </xf>
    <xf numFmtId="2" fontId="1" fillId="33" borderId="40" xfId="56" applyNumberFormat="1" applyFont="1" applyFill="1" applyBorder="1" applyAlignment="1">
      <alignment horizontal="center" vertical="center" wrapText="1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71" xfId="56" applyNumberFormat="1" applyFont="1" applyFill="1" applyBorder="1" applyAlignment="1">
      <alignment horizontal="center" vertical="center" wrapText="1"/>
      <protection/>
    </xf>
    <xf numFmtId="2" fontId="1" fillId="0" borderId="35" xfId="56" applyNumberFormat="1" applyFont="1" applyFill="1" applyBorder="1" applyAlignment="1">
      <alignment horizontal="center" vertical="center" wrapText="1"/>
      <protection/>
    </xf>
    <xf numFmtId="43" fontId="6" fillId="34" borderId="71" xfId="66" applyFont="1" applyFill="1" applyBorder="1" applyAlignment="1">
      <alignment horizontal="center" vertical="center" wrapText="1"/>
    </xf>
    <xf numFmtId="43" fontId="6" fillId="34" borderId="34" xfId="66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Ц СЧЕТА 1 кв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Ц СЧЕТА 1 кв 201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0.75390625" style="2" customWidth="1"/>
    <col min="46" max="16384" width="9.125" style="2" customWidth="1"/>
  </cols>
  <sheetData>
    <row r="1" spans="1:14" ht="12.75">
      <c r="A1" s="338" t="s">
        <v>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339" t="s">
        <v>65</v>
      </c>
      <c r="B3" s="341" t="s">
        <v>0</v>
      </c>
      <c r="C3" s="343" t="s">
        <v>1</v>
      </c>
      <c r="D3" s="345" t="s">
        <v>2</v>
      </c>
      <c r="E3" s="339" t="s">
        <v>9</v>
      </c>
      <c r="F3" s="372"/>
      <c r="G3" s="339" t="s">
        <v>10</v>
      </c>
      <c r="H3" s="375"/>
      <c r="I3" s="339" t="s">
        <v>11</v>
      </c>
      <c r="J3" s="375"/>
      <c r="K3" s="339" t="s">
        <v>12</v>
      </c>
      <c r="L3" s="375"/>
      <c r="M3" s="378" t="s">
        <v>13</v>
      </c>
      <c r="N3" s="375"/>
      <c r="O3" s="339" t="s">
        <v>3</v>
      </c>
      <c r="P3" s="378"/>
      <c r="Q3" s="385" t="s">
        <v>4</v>
      </c>
      <c r="R3" s="386"/>
      <c r="S3" s="386"/>
      <c r="T3" s="386"/>
      <c r="U3" s="386"/>
      <c r="V3" s="386"/>
      <c r="W3" s="359" t="s">
        <v>66</v>
      </c>
      <c r="X3" s="381" t="s">
        <v>67</v>
      </c>
      <c r="Y3" s="398" t="s">
        <v>6</v>
      </c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400"/>
      <c r="AT3" s="396" t="s">
        <v>68</v>
      </c>
      <c r="AU3" s="397"/>
      <c r="AV3" s="389" t="s">
        <v>7</v>
      </c>
      <c r="AW3" s="389" t="s">
        <v>8</v>
      </c>
    </row>
    <row r="4" spans="1:49" ht="36" customHeight="1" thickBot="1">
      <c r="A4" s="340"/>
      <c r="B4" s="342"/>
      <c r="C4" s="344"/>
      <c r="D4" s="346"/>
      <c r="E4" s="373"/>
      <c r="F4" s="374"/>
      <c r="G4" s="376"/>
      <c r="H4" s="377"/>
      <c r="I4" s="376"/>
      <c r="J4" s="377"/>
      <c r="K4" s="376"/>
      <c r="L4" s="377"/>
      <c r="M4" s="379"/>
      <c r="N4" s="380"/>
      <c r="O4" s="376"/>
      <c r="P4" s="384"/>
      <c r="Q4" s="387"/>
      <c r="R4" s="388"/>
      <c r="S4" s="388"/>
      <c r="T4" s="388"/>
      <c r="U4" s="388"/>
      <c r="V4" s="388"/>
      <c r="W4" s="360"/>
      <c r="X4" s="382"/>
      <c r="Y4" s="356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2"/>
      <c r="AT4" s="392" t="s">
        <v>69</v>
      </c>
      <c r="AU4" s="395" t="s">
        <v>70</v>
      </c>
      <c r="AV4" s="390"/>
      <c r="AW4" s="390"/>
    </row>
    <row r="5" spans="1:49" ht="29.25" customHeight="1" thickBot="1">
      <c r="A5" s="340"/>
      <c r="B5" s="342"/>
      <c r="C5" s="344"/>
      <c r="D5" s="346"/>
      <c r="E5" s="349" t="s">
        <v>14</v>
      </c>
      <c r="F5" s="347" t="s">
        <v>15</v>
      </c>
      <c r="G5" s="347" t="s">
        <v>14</v>
      </c>
      <c r="H5" s="347" t="s">
        <v>15</v>
      </c>
      <c r="I5" s="347" t="s">
        <v>14</v>
      </c>
      <c r="J5" s="347" t="s">
        <v>15</v>
      </c>
      <c r="K5" s="347" t="s">
        <v>14</v>
      </c>
      <c r="L5" s="347" t="s">
        <v>15</v>
      </c>
      <c r="M5" s="347" t="s">
        <v>14</v>
      </c>
      <c r="N5" s="347" t="s">
        <v>15</v>
      </c>
      <c r="O5" s="347" t="s">
        <v>14</v>
      </c>
      <c r="P5" s="351" t="s">
        <v>15</v>
      </c>
      <c r="Q5" s="353" t="s">
        <v>16</v>
      </c>
      <c r="R5" s="353" t="s">
        <v>17</v>
      </c>
      <c r="S5" s="353" t="s">
        <v>18</v>
      </c>
      <c r="T5" s="353" t="s">
        <v>19</v>
      </c>
      <c r="U5" s="353" t="s">
        <v>20</v>
      </c>
      <c r="V5" s="355" t="s">
        <v>21</v>
      </c>
      <c r="W5" s="360"/>
      <c r="X5" s="382"/>
      <c r="Y5" s="362" t="s">
        <v>22</v>
      </c>
      <c r="Z5" s="364" t="s">
        <v>23</v>
      </c>
      <c r="AA5" s="364" t="s">
        <v>24</v>
      </c>
      <c r="AB5" s="357" t="s">
        <v>25</v>
      </c>
      <c r="AC5" s="364" t="s">
        <v>26</v>
      </c>
      <c r="AD5" s="357" t="s">
        <v>25</v>
      </c>
      <c r="AE5" s="357" t="s">
        <v>27</v>
      </c>
      <c r="AF5" s="357" t="s">
        <v>25</v>
      </c>
      <c r="AG5" s="357" t="s">
        <v>28</v>
      </c>
      <c r="AH5" s="357" t="s">
        <v>25</v>
      </c>
      <c r="AI5" s="370" t="s">
        <v>71</v>
      </c>
      <c r="AJ5" s="368" t="s">
        <v>25</v>
      </c>
      <c r="AK5" s="366" t="s">
        <v>72</v>
      </c>
      <c r="AL5" s="366" t="s">
        <v>73</v>
      </c>
      <c r="AM5" s="78" t="s">
        <v>25</v>
      </c>
      <c r="AN5" s="396" t="s">
        <v>74</v>
      </c>
      <c r="AO5" s="403"/>
      <c r="AP5" s="397"/>
      <c r="AQ5" s="395" t="s">
        <v>30</v>
      </c>
      <c r="AR5" s="395" t="s">
        <v>25</v>
      </c>
      <c r="AS5" s="395" t="s">
        <v>31</v>
      </c>
      <c r="AT5" s="393"/>
      <c r="AU5" s="357"/>
      <c r="AV5" s="390"/>
      <c r="AW5" s="390"/>
    </row>
    <row r="6" spans="1:49" ht="54" customHeight="1" thickBot="1">
      <c r="A6" s="340"/>
      <c r="B6" s="342"/>
      <c r="C6" s="344"/>
      <c r="D6" s="346"/>
      <c r="E6" s="350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52"/>
      <c r="Q6" s="354"/>
      <c r="R6" s="354"/>
      <c r="S6" s="354"/>
      <c r="T6" s="354"/>
      <c r="U6" s="354"/>
      <c r="V6" s="356"/>
      <c r="W6" s="361"/>
      <c r="X6" s="383"/>
      <c r="Y6" s="363"/>
      <c r="Z6" s="365"/>
      <c r="AA6" s="365"/>
      <c r="AB6" s="358"/>
      <c r="AC6" s="365"/>
      <c r="AD6" s="358"/>
      <c r="AE6" s="358"/>
      <c r="AF6" s="358"/>
      <c r="AG6" s="358"/>
      <c r="AH6" s="358"/>
      <c r="AI6" s="371"/>
      <c r="AJ6" s="369"/>
      <c r="AK6" s="367"/>
      <c r="AL6" s="367"/>
      <c r="AM6" s="80"/>
      <c r="AN6" s="79" t="s">
        <v>75</v>
      </c>
      <c r="AO6" s="79" t="s">
        <v>76</v>
      </c>
      <c r="AP6" s="79" t="s">
        <v>77</v>
      </c>
      <c r="AQ6" s="358"/>
      <c r="AR6" s="358"/>
      <c r="AS6" s="358"/>
      <c r="AT6" s="394"/>
      <c r="AU6" s="358"/>
      <c r="AV6" s="391"/>
      <c r="AW6" s="391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3.5" hidden="1" thickBot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0" customFormat="1" ht="13.5" hidden="1" thickBot="1">
      <c r="A9" s="83" t="s">
        <v>33</v>
      </c>
      <c r="B9" s="84">
        <v>129.1</v>
      </c>
      <c r="C9" s="194">
        <f>B9*8.65</f>
        <v>1116.715</v>
      </c>
      <c r="D9" s="85">
        <f>C9*0.24088-1</f>
        <v>267.9943092</v>
      </c>
      <c r="E9" s="86">
        <v>96.42</v>
      </c>
      <c r="F9" s="87">
        <v>13.2</v>
      </c>
      <c r="G9" s="87">
        <v>130.17</v>
      </c>
      <c r="H9" s="87">
        <v>17.82</v>
      </c>
      <c r="I9" s="87">
        <v>313.37</v>
      </c>
      <c r="J9" s="87">
        <v>42.9</v>
      </c>
      <c r="K9" s="87">
        <v>216.95</v>
      </c>
      <c r="L9" s="87">
        <v>29.7</v>
      </c>
      <c r="M9" s="87">
        <v>77.14</v>
      </c>
      <c r="N9" s="88">
        <v>10.56</v>
      </c>
      <c r="O9" s="195">
        <f>E9+G9+I9+K9+M9</f>
        <v>834.0500000000001</v>
      </c>
      <c r="P9" s="196">
        <f>N9+L9+J9+H9+F9</f>
        <v>114.17999999999999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f>SUM(Q9:U9)</f>
        <v>0</v>
      </c>
      <c r="W9" s="91">
        <f>D9+P9+V9</f>
        <v>382.1743092</v>
      </c>
      <c r="X9" s="91"/>
      <c r="Y9" s="68">
        <f>0.6*B9</f>
        <v>77.46</v>
      </c>
      <c r="Z9" s="68">
        <f>B9*0.2*1.05826</f>
        <v>27.3242732</v>
      </c>
      <c r="AA9" s="68">
        <f>0.8476*B9</f>
        <v>109.42515999999999</v>
      </c>
      <c r="AB9" s="68">
        <f>AA9*0.18</f>
        <v>19.6965288</v>
      </c>
      <c r="AC9" s="68">
        <f>(1.04)*B9*0.75645</f>
        <v>101.5640028</v>
      </c>
      <c r="AD9" s="68">
        <f>AC9*0.18</f>
        <v>18.281520504</v>
      </c>
      <c r="AE9" s="68">
        <f>1.91*B9*0.75645</f>
        <v>186.52619744999998</v>
      </c>
      <c r="AF9" s="68">
        <f>AE9*0.18</f>
        <v>33.574715540999996</v>
      </c>
      <c r="AG9" s="68">
        <v>0</v>
      </c>
      <c r="AH9" s="68">
        <f>AG9*0.18</f>
        <v>0</v>
      </c>
      <c r="AI9" s="92"/>
      <c r="AJ9" s="92"/>
      <c r="AK9" s="73"/>
      <c r="AL9" s="73"/>
      <c r="AM9" s="73">
        <f>AK9*0.18</f>
        <v>0</v>
      </c>
      <c r="AN9" s="93"/>
      <c r="AO9" s="94"/>
      <c r="AP9" s="68">
        <f>AN9*AO9*1.12*1.18</f>
        <v>0</v>
      </c>
      <c r="AQ9" s="95"/>
      <c r="AR9" s="95">
        <f>AQ9*0.18</f>
        <v>0</v>
      </c>
      <c r="AS9" s="95">
        <f>SUM(Y9:AM9)+AP9</f>
        <v>573.852398295</v>
      </c>
      <c r="AT9" s="96"/>
      <c r="AU9" s="97">
        <f>AS9-(X9-AT9)</f>
        <v>573.852398295</v>
      </c>
      <c r="AV9" s="98">
        <f>W9-AS9</f>
        <v>-191.67808909499996</v>
      </c>
      <c r="AW9" s="99">
        <f>V9-O9</f>
        <v>-834.0500000000001</v>
      </c>
    </row>
    <row r="10" spans="1:49" ht="13.5" hidden="1" thickBot="1">
      <c r="A10" s="13" t="s">
        <v>34</v>
      </c>
      <c r="B10" s="84">
        <v>129.1</v>
      </c>
      <c r="C10" s="197">
        <f>B10*8.65</f>
        <v>1116.715</v>
      </c>
      <c r="D10" s="101">
        <f>C10*0.24088-1</f>
        <v>267.9943092</v>
      </c>
      <c r="E10" s="87">
        <v>0</v>
      </c>
      <c r="F10" s="87">
        <v>0</v>
      </c>
      <c r="G10" s="87">
        <v>0.01</v>
      </c>
      <c r="H10" s="87">
        <v>0</v>
      </c>
      <c r="I10" s="87">
        <v>-0.01</v>
      </c>
      <c r="J10" s="87">
        <v>0</v>
      </c>
      <c r="K10" s="87">
        <v>-0.01</v>
      </c>
      <c r="L10" s="87">
        <v>0</v>
      </c>
      <c r="M10" s="87">
        <v>0</v>
      </c>
      <c r="N10" s="88">
        <v>0</v>
      </c>
      <c r="O10" s="195">
        <f>E10+G10+I10+K10+M10</f>
        <v>-0.01</v>
      </c>
      <c r="P10" s="196">
        <f>N10+L10+J10+H10+F10</f>
        <v>0</v>
      </c>
      <c r="Q10" s="102">
        <v>44.55</v>
      </c>
      <c r="R10" s="103">
        <v>60.15</v>
      </c>
      <c r="S10" s="103">
        <v>144.81</v>
      </c>
      <c r="T10" s="103">
        <v>100.25</v>
      </c>
      <c r="U10" s="103">
        <v>35.64</v>
      </c>
      <c r="V10" s="84">
        <f>SUM(Q10:U10)</f>
        <v>385.4</v>
      </c>
      <c r="W10" s="104">
        <f>D10+P10+V10</f>
        <v>653.3943092</v>
      </c>
      <c r="X10" s="105"/>
      <c r="Y10" s="24">
        <f>0.6*B10</f>
        <v>77.46</v>
      </c>
      <c r="Z10" s="24">
        <f>B10*0.201</f>
        <v>25.9491</v>
      </c>
      <c r="AA10" s="68">
        <f>0.8476*B10</f>
        <v>109.42515999999999</v>
      </c>
      <c r="AB10" s="24">
        <f>AA10*0.18</f>
        <v>19.6965288</v>
      </c>
      <c r="AC10" s="68">
        <f>(1.04)*B10*0.75645</f>
        <v>101.5640028</v>
      </c>
      <c r="AD10" s="68">
        <f>AC10*0.18</f>
        <v>18.281520504</v>
      </c>
      <c r="AE10" s="68">
        <f>1.91*B10*0.75645</f>
        <v>186.52619744999998</v>
      </c>
      <c r="AF10" s="24">
        <f>AE10*0.18</f>
        <v>33.574715540999996</v>
      </c>
      <c r="AG10" s="24">
        <v>0</v>
      </c>
      <c r="AH10" s="24">
        <f>AG10*0.18</f>
        <v>0</v>
      </c>
      <c r="AI10" s="106"/>
      <c r="AJ10" s="106"/>
      <c r="AK10" s="107">
        <f>184+315.5</f>
        <v>499.5</v>
      </c>
      <c r="AL10" s="107"/>
      <c r="AM10" s="107">
        <f>AK10*0.18</f>
        <v>89.91</v>
      </c>
      <c r="AN10" s="108"/>
      <c r="AO10" s="109"/>
      <c r="AP10" s="24">
        <f>AN10*AO10*1.12*1.18</f>
        <v>0</v>
      </c>
      <c r="AQ10" s="110"/>
      <c r="AR10" s="110">
        <f>AQ10*0.18</f>
        <v>0</v>
      </c>
      <c r="AS10" s="110">
        <f>SUM(Y10:AM10)+AP10</f>
        <v>1161.887225095</v>
      </c>
      <c r="AT10" s="111"/>
      <c r="AU10" s="71">
        <f>AS10-(X10-AT10)</f>
        <v>1161.887225095</v>
      </c>
      <c r="AV10" s="98">
        <f>W10-AS10</f>
        <v>-508.4929158950001</v>
      </c>
      <c r="AW10" s="99">
        <f>V10-O10</f>
        <v>385.40999999999997</v>
      </c>
    </row>
    <row r="11" spans="1:49" ht="13.5" hidden="1" thickBot="1">
      <c r="A11" s="42" t="s">
        <v>35</v>
      </c>
      <c r="B11" s="84">
        <v>129.1</v>
      </c>
      <c r="C11" s="197">
        <f>B11*8.65</f>
        <v>1116.715</v>
      </c>
      <c r="D11" s="101">
        <f>C11*0.24035+1</f>
        <v>269.40245025</v>
      </c>
      <c r="E11" s="87">
        <v>48.21</v>
      </c>
      <c r="F11" s="87">
        <v>6.6</v>
      </c>
      <c r="G11" s="87">
        <v>65.09</v>
      </c>
      <c r="H11" s="87">
        <v>8.91</v>
      </c>
      <c r="I11" s="87">
        <v>156.68</v>
      </c>
      <c r="J11" s="87">
        <v>21.45</v>
      </c>
      <c r="K11" s="87">
        <v>108.47</v>
      </c>
      <c r="L11" s="87">
        <v>14.85</v>
      </c>
      <c r="M11" s="87">
        <v>38.57</v>
      </c>
      <c r="N11" s="88">
        <v>5.28</v>
      </c>
      <c r="O11" s="195">
        <f>E11+G11+I11+K11+M11</f>
        <v>417.02000000000004</v>
      </c>
      <c r="P11" s="196">
        <f>N11+L11+J11+H11+F11</f>
        <v>57.089999999999996</v>
      </c>
      <c r="Q11" s="103">
        <v>0.35</v>
      </c>
      <c r="R11" s="103">
        <v>0.47</v>
      </c>
      <c r="S11" s="103">
        <v>1.1</v>
      </c>
      <c r="T11" s="103">
        <v>0.77</v>
      </c>
      <c r="U11" s="103">
        <v>0.28</v>
      </c>
      <c r="V11" s="84">
        <f>SUM(Q11:U11)</f>
        <v>2.9699999999999998</v>
      </c>
      <c r="W11" s="105">
        <f>D11+P11+V11</f>
        <v>329.46245025</v>
      </c>
      <c r="X11" s="105"/>
      <c r="Y11" s="24">
        <f>0.6*B11</f>
        <v>77.46</v>
      </c>
      <c r="Z11" s="24">
        <f>B11*0.2*1.02524</f>
        <v>26.4716968</v>
      </c>
      <c r="AA11" s="68">
        <f>0.8476*B11</f>
        <v>109.42515999999999</v>
      </c>
      <c r="AB11" s="24">
        <f>AA11*0.18</f>
        <v>19.6965288</v>
      </c>
      <c r="AC11" s="68">
        <f>(1.04)*B11*0.75645</f>
        <v>101.5640028</v>
      </c>
      <c r="AD11" s="68">
        <f>AC11*0.18</f>
        <v>18.281520504</v>
      </c>
      <c r="AE11" s="68">
        <f>1.91*B11*0.75645</f>
        <v>186.52619744999998</v>
      </c>
      <c r="AF11" s="24">
        <f>AE11*0.18</f>
        <v>33.574715540999996</v>
      </c>
      <c r="AG11" s="24">
        <v>0</v>
      </c>
      <c r="AH11" s="24">
        <f>AG11*0.18</f>
        <v>0</v>
      </c>
      <c r="AI11" s="106"/>
      <c r="AJ11" s="106"/>
      <c r="AK11" s="107"/>
      <c r="AL11" s="107"/>
      <c r="AM11" s="107">
        <f>AK11*0.18</f>
        <v>0</v>
      </c>
      <c r="AN11" s="108"/>
      <c r="AO11" s="109"/>
      <c r="AP11" s="24">
        <f>AN11*AO11*1.12*1.18</f>
        <v>0</v>
      </c>
      <c r="AQ11" s="110"/>
      <c r="AR11" s="110">
        <f>AQ11*0.18</f>
        <v>0</v>
      </c>
      <c r="AS11" s="110">
        <f>SUM(Y11:AM11)+AP11</f>
        <v>572.9998218950001</v>
      </c>
      <c r="AT11" s="111"/>
      <c r="AU11" s="71">
        <f>AS11-(X11-AT11)</f>
        <v>572.9998218950001</v>
      </c>
      <c r="AV11" s="98">
        <f>W11-AS11</f>
        <v>-243.53737164500006</v>
      </c>
      <c r="AW11" s="99">
        <f>V11-O11</f>
        <v>-414.05</v>
      </c>
    </row>
    <row r="12" spans="1:49" s="23" customFormat="1" ht="15" customHeight="1" hidden="1" thickBot="1">
      <c r="A12" s="43" t="s">
        <v>3</v>
      </c>
      <c r="B12" s="65"/>
      <c r="C12" s="65">
        <f>SUM(C9:C11)</f>
        <v>3350.1449999999995</v>
      </c>
      <c r="D12" s="65">
        <f aca="true" t="shared" si="0" ref="D12:AW12">SUM(D9:D11)</f>
        <v>805.39106865</v>
      </c>
      <c r="E12" s="65">
        <f t="shared" si="0"/>
        <v>144.63</v>
      </c>
      <c r="F12" s="65">
        <f t="shared" si="0"/>
        <v>19.799999999999997</v>
      </c>
      <c r="G12" s="65">
        <f t="shared" si="0"/>
        <v>195.26999999999998</v>
      </c>
      <c r="H12" s="65">
        <f t="shared" si="0"/>
        <v>26.73</v>
      </c>
      <c r="I12" s="65">
        <f t="shared" si="0"/>
        <v>470.04</v>
      </c>
      <c r="J12" s="65">
        <f t="shared" si="0"/>
        <v>64.35</v>
      </c>
      <c r="K12" s="65">
        <f t="shared" si="0"/>
        <v>325.40999999999997</v>
      </c>
      <c r="L12" s="65">
        <f t="shared" si="0"/>
        <v>44.55</v>
      </c>
      <c r="M12" s="65">
        <f t="shared" si="0"/>
        <v>115.71000000000001</v>
      </c>
      <c r="N12" s="65">
        <f t="shared" si="0"/>
        <v>15.84</v>
      </c>
      <c r="O12" s="65">
        <f t="shared" si="0"/>
        <v>1251.0600000000002</v>
      </c>
      <c r="P12" s="65">
        <f t="shared" si="0"/>
        <v>171.26999999999998</v>
      </c>
      <c r="Q12" s="65">
        <f t="shared" si="0"/>
        <v>44.9</v>
      </c>
      <c r="R12" s="65">
        <f t="shared" si="0"/>
        <v>60.62</v>
      </c>
      <c r="S12" s="65">
        <f t="shared" si="0"/>
        <v>145.91</v>
      </c>
      <c r="T12" s="65">
        <f t="shared" si="0"/>
        <v>101.02</v>
      </c>
      <c r="U12" s="65">
        <f t="shared" si="0"/>
        <v>35.92</v>
      </c>
      <c r="V12" s="65">
        <f t="shared" si="0"/>
        <v>388.37</v>
      </c>
      <c r="W12" s="65">
        <f t="shared" si="0"/>
        <v>1365.03106865</v>
      </c>
      <c r="X12" s="65">
        <f t="shared" si="0"/>
        <v>0</v>
      </c>
      <c r="Y12" s="65">
        <f t="shared" si="0"/>
        <v>232.38</v>
      </c>
      <c r="Z12" s="65">
        <f t="shared" si="0"/>
        <v>79.74507</v>
      </c>
      <c r="AA12" s="65">
        <f t="shared" si="0"/>
        <v>328.27547999999996</v>
      </c>
      <c r="AB12" s="65">
        <f t="shared" si="0"/>
        <v>59.0895864</v>
      </c>
      <c r="AC12" s="65">
        <f t="shared" si="0"/>
        <v>304.69200839999996</v>
      </c>
      <c r="AD12" s="65">
        <f t="shared" si="0"/>
        <v>54.844561512</v>
      </c>
      <c r="AE12" s="65">
        <f t="shared" si="0"/>
        <v>559.57859235</v>
      </c>
      <c r="AF12" s="65">
        <f t="shared" si="0"/>
        <v>100.724146623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499.5</v>
      </c>
      <c r="AL12" s="65">
        <f t="shared" si="0"/>
        <v>0</v>
      </c>
      <c r="AM12" s="65">
        <f t="shared" si="0"/>
        <v>89.91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2308.739445285</v>
      </c>
      <c r="AT12" s="65">
        <f t="shared" si="0"/>
        <v>0</v>
      </c>
      <c r="AU12" s="65">
        <f t="shared" si="0"/>
        <v>2308.739445285</v>
      </c>
      <c r="AV12" s="65">
        <f t="shared" si="0"/>
        <v>-943.7083766350001</v>
      </c>
      <c r="AW12" s="65">
        <f t="shared" si="0"/>
        <v>-862.69</v>
      </c>
    </row>
    <row r="13" spans="1:49" ht="15" customHeight="1" hidden="1" thickBo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3.5" hidden="1" thickBot="1">
      <c r="A14" s="13" t="s">
        <v>37</v>
      </c>
      <c r="B14" s="122">
        <v>129.1</v>
      </c>
      <c r="C14" s="198">
        <f>B14*8.65</f>
        <v>1116.715</v>
      </c>
      <c r="D14" s="123">
        <f>C14*0.125</f>
        <v>139.589375</v>
      </c>
      <c r="E14" s="87">
        <v>48.21</v>
      </c>
      <c r="F14" s="87">
        <v>6.6</v>
      </c>
      <c r="G14" s="87">
        <v>65.09</v>
      </c>
      <c r="H14" s="87">
        <v>8.91</v>
      </c>
      <c r="I14" s="87">
        <v>156.68</v>
      </c>
      <c r="J14" s="87">
        <v>21.45</v>
      </c>
      <c r="K14" s="87">
        <v>108.47</v>
      </c>
      <c r="L14" s="87">
        <v>14.85</v>
      </c>
      <c r="M14" s="87">
        <v>38.57</v>
      </c>
      <c r="N14" s="88">
        <v>5.28</v>
      </c>
      <c r="O14" s="195">
        <f aca="true" t="shared" si="1" ref="O14:O25">E14+G14+I14+K14+M14</f>
        <v>417.02000000000004</v>
      </c>
      <c r="P14" s="196">
        <f aca="true" t="shared" si="2" ref="P14:P25">N14+L14+J14+H14+F14</f>
        <v>57.089999999999996</v>
      </c>
      <c r="Q14" s="72">
        <v>22.28</v>
      </c>
      <c r="R14" s="70">
        <v>30.08</v>
      </c>
      <c r="S14" s="70">
        <v>72.42</v>
      </c>
      <c r="T14" s="70">
        <v>50.13</v>
      </c>
      <c r="U14" s="70">
        <v>17.82</v>
      </c>
      <c r="V14" s="199">
        <f aca="true" t="shared" si="3" ref="V14:V25">SUM(Q14:U14)</f>
        <v>192.73</v>
      </c>
      <c r="W14" s="124">
        <f>D14+P14+V14</f>
        <v>389.40937499999995</v>
      </c>
      <c r="X14" s="91"/>
      <c r="Y14" s="68">
        <f>0.6*B14*0.9</f>
        <v>69.714</v>
      </c>
      <c r="Z14" s="68">
        <f>B14*0.2*0.8913+0.01</f>
        <v>23.023366000000003</v>
      </c>
      <c r="AA14" s="68">
        <f>0.85*B14*0.8852+0.01</f>
        <v>97.14742199999999</v>
      </c>
      <c r="AB14" s="68">
        <f>AA14*0.18</f>
        <v>17.486535959999998</v>
      </c>
      <c r="AC14" s="68">
        <f>0.83*B14*0.887</f>
        <v>95.04471099999999</v>
      </c>
      <c r="AD14" s="68">
        <f>AC14*0.18</f>
        <v>17.10804798</v>
      </c>
      <c r="AE14" s="68">
        <f>(1.91)*B14*0.887</f>
        <v>218.717347</v>
      </c>
      <c r="AF14" s="68">
        <f>AE14*0.18</f>
        <v>39.36912246</v>
      </c>
      <c r="AG14" s="68">
        <v>0</v>
      </c>
      <c r="AH14" s="68">
        <f aca="true" t="shared" si="4" ref="AH14:AJ25">AG14*0.18</f>
        <v>0</v>
      </c>
      <c r="AI14" s="92"/>
      <c r="AJ14" s="92"/>
      <c r="AK14" s="15">
        <v>540</v>
      </c>
      <c r="AL14" s="15"/>
      <c r="AM14" s="15">
        <f>AK14*0.18</f>
        <v>97.2</v>
      </c>
      <c r="AN14" s="93">
        <v>508</v>
      </c>
      <c r="AO14" s="94">
        <v>0</v>
      </c>
      <c r="AP14" s="68">
        <f aca="true" t="shared" si="5" ref="AP14:AP25">AN14*AO14*1.12*1.18</f>
        <v>0</v>
      </c>
      <c r="AQ14" s="95"/>
      <c r="AR14" s="95">
        <f>AQ14*0.18</f>
        <v>0</v>
      </c>
      <c r="AS14" s="95">
        <f>SUM(Y14:AM14)</f>
        <v>1214.8105524</v>
      </c>
      <c r="AT14" s="96"/>
      <c r="AU14" s="71">
        <f>AS14-(X14-AT14)</f>
        <v>1214.8105524</v>
      </c>
      <c r="AV14" s="125">
        <f aca="true" t="shared" si="6" ref="AV14:AV25">W14-AS14</f>
        <v>-825.4011774</v>
      </c>
      <c r="AW14" s="126">
        <f>V14-O14</f>
        <v>-224.29000000000005</v>
      </c>
    </row>
    <row r="15" spans="1:49" ht="13.5" hidden="1" thickBot="1">
      <c r="A15" s="13" t="s">
        <v>38</v>
      </c>
      <c r="B15" s="84">
        <v>129.1</v>
      </c>
      <c r="C15" s="136">
        <f>B15*8.65</f>
        <v>1116.715</v>
      </c>
      <c r="D15" s="123">
        <f>C15*0.125</f>
        <v>139.589375</v>
      </c>
      <c r="E15" s="87">
        <v>48.21</v>
      </c>
      <c r="F15" s="87">
        <v>6.6</v>
      </c>
      <c r="G15" s="87">
        <v>65.09</v>
      </c>
      <c r="H15" s="87">
        <v>8.91</v>
      </c>
      <c r="I15" s="87">
        <v>156.68</v>
      </c>
      <c r="J15" s="87">
        <v>21.45</v>
      </c>
      <c r="K15" s="87">
        <v>108.47</v>
      </c>
      <c r="L15" s="87">
        <v>14.85</v>
      </c>
      <c r="M15" s="87">
        <v>38.57</v>
      </c>
      <c r="N15" s="88">
        <v>5.28</v>
      </c>
      <c r="O15" s="195">
        <f t="shared" si="1"/>
        <v>417.02000000000004</v>
      </c>
      <c r="P15" s="196">
        <f t="shared" si="2"/>
        <v>57.089999999999996</v>
      </c>
      <c r="Q15" s="103">
        <v>22.44</v>
      </c>
      <c r="R15" s="103">
        <v>30.3</v>
      </c>
      <c r="S15" s="103">
        <v>72.92</v>
      </c>
      <c r="T15" s="103">
        <v>50.48</v>
      </c>
      <c r="U15" s="103">
        <v>17.96</v>
      </c>
      <c r="V15" s="84">
        <f t="shared" si="3"/>
        <v>194.1</v>
      </c>
      <c r="W15" s="91">
        <f>D15+P15+V15</f>
        <v>390.77937499999996</v>
      </c>
      <c r="X15" s="91"/>
      <c r="Y15" s="68">
        <f>0.6*B15*0.9</f>
        <v>69.714</v>
      </c>
      <c r="Z15" s="68">
        <f>B15*0.2*0.9152</f>
        <v>23.630464</v>
      </c>
      <c r="AA15" s="68">
        <f>0.85*B15*0.8853</f>
        <v>97.14839549999998</v>
      </c>
      <c r="AB15" s="68">
        <f>AA15*0.18</f>
        <v>17.486711189999994</v>
      </c>
      <c r="AC15" s="68">
        <f>0.83*B15*0.9</f>
        <v>96.43769999999999</v>
      </c>
      <c r="AD15" s="68">
        <f>AC15*0.18</f>
        <v>17.358786</v>
      </c>
      <c r="AE15" s="68">
        <f>(1.91)*B15*0.9+0.01</f>
        <v>221.9329</v>
      </c>
      <c r="AF15" s="68">
        <f>AE15*0.18</f>
        <v>39.947922</v>
      </c>
      <c r="AG15" s="68">
        <v>0</v>
      </c>
      <c r="AH15" s="68">
        <f t="shared" si="4"/>
        <v>0</v>
      </c>
      <c r="AI15" s="92"/>
      <c r="AJ15" s="92"/>
      <c r="AK15" s="15">
        <v>513.5</v>
      </c>
      <c r="AL15" s="15"/>
      <c r="AM15" s="69">
        <f>(AK15+AL15)*0.18</f>
        <v>92.42999999999999</v>
      </c>
      <c r="AN15" s="93">
        <v>407</v>
      </c>
      <c r="AO15" s="94">
        <v>0</v>
      </c>
      <c r="AP15" s="68">
        <f t="shared" si="5"/>
        <v>0</v>
      </c>
      <c r="AQ15" s="95"/>
      <c r="AR15" s="95">
        <f>AQ15*0.18</f>
        <v>0</v>
      </c>
      <c r="AS15" s="95">
        <f>SUM(Y15:AM15)</f>
        <v>1189.5868786899998</v>
      </c>
      <c r="AT15" s="96"/>
      <c r="AU15" s="71">
        <f aca="true" t="shared" si="7" ref="AU15:AU25">AS15-(X15-AT15)</f>
        <v>1189.5868786899998</v>
      </c>
      <c r="AV15" s="125">
        <f t="shared" si="6"/>
        <v>-798.8075036899999</v>
      </c>
      <c r="AW15" s="126">
        <f aca="true" t="shared" si="8" ref="AW15:AW25">V15-O15</f>
        <v>-222.92000000000004</v>
      </c>
    </row>
    <row r="16" spans="1:49" ht="13.5" hidden="1" thickBot="1">
      <c r="A16" s="127" t="s">
        <v>39</v>
      </c>
      <c r="B16" s="84">
        <v>129.1</v>
      </c>
      <c r="C16" s="136">
        <f>B16*8.65</f>
        <v>1116.715</v>
      </c>
      <c r="D16" s="128">
        <f>C16*0.125</f>
        <v>139.589375</v>
      </c>
      <c r="E16" s="87">
        <v>-106.35</v>
      </c>
      <c r="F16" s="87">
        <v>6.6</v>
      </c>
      <c r="G16" s="87">
        <v>65.09</v>
      </c>
      <c r="H16" s="87">
        <v>8.91</v>
      </c>
      <c r="I16" s="87">
        <v>-345.64</v>
      </c>
      <c r="J16" s="87">
        <v>21.45</v>
      </c>
      <c r="K16" s="87">
        <v>-239.29</v>
      </c>
      <c r="L16" s="87">
        <v>14.85</v>
      </c>
      <c r="M16" s="87">
        <v>-85.09</v>
      </c>
      <c r="N16" s="88">
        <v>5.28</v>
      </c>
      <c r="O16" s="195">
        <f t="shared" si="1"/>
        <v>-711.28</v>
      </c>
      <c r="P16" s="196">
        <f t="shared" si="2"/>
        <v>57.089999999999996</v>
      </c>
      <c r="Q16" s="103">
        <v>22.44</v>
      </c>
      <c r="R16" s="103">
        <v>30.29</v>
      </c>
      <c r="S16" s="103">
        <v>72.93</v>
      </c>
      <c r="T16" s="103">
        <v>50.49</v>
      </c>
      <c r="U16" s="103">
        <v>17.95</v>
      </c>
      <c r="V16" s="84">
        <f t="shared" si="3"/>
        <v>194.1</v>
      </c>
      <c r="W16" s="91">
        <f>D16+P16+V16</f>
        <v>390.77937499999996</v>
      </c>
      <c r="X16" s="91"/>
      <c r="Y16" s="68">
        <f>0.6*B16*0.9</f>
        <v>69.714</v>
      </c>
      <c r="Z16" s="68">
        <f>B16*0.2*0.9081</f>
        <v>23.447142</v>
      </c>
      <c r="AA16" s="68">
        <f>0.85*B16*0.8909</f>
        <v>97.76291149999999</v>
      </c>
      <c r="AB16" s="68">
        <f aca="true" t="shared" si="9" ref="AB16:AB22">AA16*0.18</f>
        <v>17.597324069999996</v>
      </c>
      <c r="AC16" s="68">
        <f>(0.83*B16)*0.8927</f>
        <v>95.6554831</v>
      </c>
      <c r="AD16" s="68">
        <f aca="true" t="shared" si="10" ref="AD16:AD22">AC16*0.18</f>
        <v>17.217986957999997</v>
      </c>
      <c r="AE16" s="68">
        <f>1.91*B16*0.8927</f>
        <v>220.1228587</v>
      </c>
      <c r="AF16" s="68">
        <f aca="true" t="shared" si="11" ref="AF16:AF22">AE16*0.18</f>
        <v>39.622114566</v>
      </c>
      <c r="AG16" s="68">
        <v>0</v>
      </c>
      <c r="AH16" s="68">
        <f t="shared" si="4"/>
        <v>0</v>
      </c>
      <c r="AI16" s="92"/>
      <c r="AJ16" s="92">
        <f t="shared" si="4"/>
        <v>0</v>
      </c>
      <c r="AK16" s="73"/>
      <c r="AL16" s="73"/>
      <c r="AM16" s="73">
        <f>(AK16)*0.18</f>
        <v>0</v>
      </c>
      <c r="AN16" s="93">
        <v>383</v>
      </c>
      <c r="AO16" s="94">
        <v>0</v>
      </c>
      <c r="AP16" s="68">
        <f t="shared" si="5"/>
        <v>0</v>
      </c>
      <c r="AQ16" s="95"/>
      <c r="AR16" s="95">
        <f>AQ16*0.18</f>
        <v>0</v>
      </c>
      <c r="AS16" s="95">
        <f>SUM(Y16:AM16)</f>
        <v>581.1398208940001</v>
      </c>
      <c r="AT16" s="96"/>
      <c r="AU16" s="71">
        <f t="shared" si="7"/>
        <v>581.1398208940001</v>
      </c>
      <c r="AV16" s="125">
        <f t="shared" si="6"/>
        <v>-190.36044589400012</v>
      </c>
      <c r="AW16" s="126">
        <f t="shared" si="8"/>
        <v>905.38</v>
      </c>
    </row>
    <row r="17" spans="1:49" ht="13.5" hidden="1" thickBot="1">
      <c r="A17" s="129" t="s">
        <v>40</v>
      </c>
      <c r="B17" s="84">
        <v>129.1</v>
      </c>
      <c r="C17" s="200">
        <f aca="true" t="shared" si="12" ref="C17:C22">B17*8.65</f>
        <v>1116.715</v>
      </c>
      <c r="D17" s="128">
        <f>C17*0.125</f>
        <v>139.589375</v>
      </c>
      <c r="E17" s="87">
        <v>22.45</v>
      </c>
      <c r="F17" s="87">
        <v>6.6</v>
      </c>
      <c r="G17" s="87">
        <v>65.09</v>
      </c>
      <c r="H17" s="87">
        <v>8.91</v>
      </c>
      <c r="I17" s="87">
        <v>72.96</v>
      </c>
      <c r="J17" s="87">
        <v>21.45</v>
      </c>
      <c r="K17" s="87">
        <v>50.51</v>
      </c>
      <c r="L17" s="87">
        <v>14.85</v>
      </c>
      <c r="M17" s="87">
        <v>17.96</v>
      </c>
      <c r="N17" s="88">
        <v>5.28</v>
      </c>
      <c r="O17" s="201">
        <f t="shared" si="1"/>
        <v>228.97</v>
      </c>
      <c r="P17" s="196">
        <f t="shared" si="2"/>
        <v>57.089999999999996</v>
      </c>
      <c r="Q17" s="202">
        <v>22.49</v>
      </c>
      <c r="R17" s="203">
        <v>30.36</v>
      </c>
      <c r="S17" s="203">
        <v>73.08</v>
      </c>
      <c r="T17" s="203">
        <v>50.59</v>
      </c>
      <c r="U17" s="203">
        <v>17.99</v>
      </c>
      <c r="V17" s="204">
        <f t="shared" si="3"/>
        <v>194.51</v>
      </c>
      <c r="W17" s="130">
        <f aca="true" t="shared" si="13" ref="W17:W23">D17+P17+V17</f>
        <v>391.189375</v>
      </c>
      <c r="X17" s="91"/>
      <c r="Y17" s="68">
        <f>0.6*B17*0.9</f>
        <v>69.714</v>
      </c>
      <c r="Z17" s="68">
        <f>B17*0.2*0.9234</f>
        <v>23.842188</v>
      </c>
      <c r="AA17" s="68">
        <f>0.85*B17*0.8909</f>
        <v>97.76291149999999</v>
      </c>
      <c r="AB17" s="68">
        <f t="shared" si="9"/>
        <v>17.597324069999996</v>
      </c>
      <c r="AC17" s="68">
        <f>(0.83*B17)*0.8927</f>
        <v>95.6554831</v>
      </c>
      <c r="AD17" s="68">
        <f t="shared" si="10"/>
        <v>17.217986957999997</v>
      </c>
      <c r="AE17" s="68">
        <f>1.91*B17*0.8927</f>
        <v>220.1228587</v>
      </c>
      <c r="AF17" s="68">
        <f t="shared" si="11"/>
        <v>39.622114566</v>
      </c>
      <c r="AG17" s="68">
        <v>0</v>
      </c>
      <c r="AH17" s="68">
        <f t="shared" si="4"/>
        <v>0</v>
      </c>
      <c r="AI17" s="92"/>
      <c r="AJ17" s="106">
        <f t="shared" si="4"/>
        <v>0</v>
      </c>
      <c r="AK17" s="73"/>
      <c r="AL17" s="73"/>
      <c r="AM17" s="69">
        <f>(AK17+AL17)*0.18</f>
        <v>0</v>
      </c>
      <c r="AN17" s="131">
        <v>307</v>
      </c>
      <c r="AO17" s="94">
        <v>0</v>
      </c>
      <c r="AP17" s="68">
        <f t="shared" si="5"/>
        <v>0</v>
      </c>
      <c r="AQ17" s="95"/>
      <c r="AR17" s="95">
        <f aca="true" t="shared" si="14" ref="AR17:AR22">AQ17*0.18</f>
        <v>0</v>
      </c>
      <c r="AS17" s="95">
        <f>SUM(Y17:AM17)</f>
        <v>581.534866894</v>
      </c>
      <c r="AT17" s="96"/>
      <c r="AU17" s="125">
        <f>W17-AR17</f>
        <v>391.189375</v>
      </c>
      <c r="AV17" s="125">
        <f t="shared" si="6"/>
        <v>-190.34549189399996</v>
      </c>
      <c r="AW17" s="126">
        <f t="shared" si="8"/>
        <v>-34.46000000000001</v>
      </c>
    </row>
    <row r="18" spans="1:49" ht="13.5" hidden="1" thickBot="1">
      <c r="A18" s="13" t="s">
        <v>41</v>
      </c>
      <c r="B18" s="84">
        <v>129.1</v>
      </c>
      <c r="C18" s="200">
        <f t="shared" si="12"/>
        <v>1116.715</v>
      </c>
      <c r="D18" s="128">
        <f>C18-E18-F18-G18-H18-I18-J18-K18-L18-M18-N18</f>
        <v>811.6249999999999</v>
      </c>
      <c r="E18" s="133">
        <v>23.27</v>
      </c>
      <c r="F18" s="133">
        <v>7.43</v>
      </c>
      <c r="G18" s="133">
        <v>70.74</v>
      </c>
      <c r="H18" s="133">
        <v>10.07</v>
      </c>
      <c r="I18" s="133">
        <v>75.69</v>
      </c>
      <c r="J18" s="133">
        <v>24.17</v>
      </c>
      <c r="K18" s="133">
        <v>52.41</v>
      </c>
      <c r="L18" s="133">
        <v>16.75</v>
      </c>
      <c r="M18" s="133">
        <v>18.62</v>
      </c>
      <c r="N18" s="205">
        <v>5.94</v>
      </c>
      <c r="O18" s="206">
        <f t="shared" si="1"/>
        <v>240.73</v>
      </c>
      <c r="P18" s="207">
        <f t="shared" si="2"/>
        <v>64.36</v>
      </c>
      <c r="Q18" s="103">
        <v>22.42</v>
      </c>
      <c r="R18" s="103">
        <v>30.27</v>
      </c>
      <c r="S18" s="103">
        <v>72.86</v>
      </c>
      <c r="T18" s="103">
        <v>50.45</v>
      </c>
      <c r="U18" s="103">
        <v>17.93</v>
      </c>
      <c r="V18" s="84">
        <f t="shared" si="3"/>
        <v>193.93</v>
      </c>
      <c r="W18" s="91">
        <f t="shared" si="13"/>
        <v>1069.915</v>
      </c>
      <c r="X18" s="91"/>
      <c r="Y18" s="68">
        <f aca="true" t="shared" si="15" ref="Y18:Y25">0.6*B18</f>
        <v>77.46</v>
      </c>
      <c r="Z18" s="68">
        <f>B18*0.2*1.011</f>
        <v>26.10402</v>
      </c>
      <c r="AA18" s="68">
        <f>0.85*B18*0.9899</f>
        <v>108.62667649999999</v>
      </c>
      <c r="AB18" s="68">
        <f t="shared" si="9"/>
        <v>19.55280177</v>
      </c>
      <c r="AC18" s="68">
        <f>(0.83*B18)*0.991</f>
        <v>106.18862299999999</v>
      </c>
      <c r="AD18" s="68">
        <f t="shared" si="10"/>
        <v>19.11395214</v>
      </c>
      <c r="AE18" s="68">
        <f>1.91*B18*0.992</f>
        <v>244.608352</v>
      </c>
      <c r="AF18" s="68">
        <f t="shared" si="11"/>
        <v>44.02950336</v>
      </c>
      <c r="AG18" s="68">
        <v>0</v>
      </c>
      <c r="AH18" s="68">
        <f t="shared" si="4"/>
        <v>0</v>
      </c>
      <c r="AI18" s="92"/>
      <c r="AJ18" s="106">
        <f t="shared" si="4"/>
        <v>0</v>
      </c>
      <c r="AK18" s="73"/>
      <c r="AL18" s="73"/>
      <c r="AM18" s="69">
        <f>(AK18+AL18)*0.18</f>
        <v>0</v>
      </c>
      <c r="AN18" s="131">
        <v>263</v>
      </c>
      <c r="AO18" s="94">
        <v>0</v>
      </c>
      <c r="AP18" s="68">
        <f t="shared" si="5"/>
        <v>0</v>
      </c>
      <c r="AQ18" s="95"/>
      <c r="AR18" s="95">
        <f t="shared" si="14"/>
        <v>0</v>
      </c>
      <c r="AS18" s="95">
        <f aca="true" t="shared" si="16" ref="AS18:AS25">SUM(Y18:AM18)+AP18</f>
        <v>645.68392877</v>
      </c>
      <c r="AT18" s="96"/>
      <c r="AU18" s="71">
        <f t="shared" si="7"/>
        <v>645.68392877</v>
      </c>
      <c r="AV18" s="125">
        <f t="shared" si="6"/>
        <v>424.23107123</v>
      </c>
      <c r="AW18" s="126">
        <f t="shared" si="8"/>
        <v>-46.79999999999998</v>
      </c>
    </row>
    <row r="19" spans="1:49" ht="13.5" hidden="1" thickBot="1">
      <c r="A19" s="127" t="s">
        <v>42</v>
      </c>
      <c r="B19" s="84">
        <v>129.1</v>
      </c>
      <c r="C19" s="200">
        <f t="shared" si="12"/>
        <v>1116.715</v>
      </c>
      <c r="D19" s="128">
        <v>811.2</v>
      </c>
      <c r="E19" s="133">
        <v>46.55</v>
      </c>
      <c r="F19" s="133">
        <v>14.85</v>
      </c>
      <c r="G19" s="133">
        <v>141.5</v>
      </c>
      <c r="H19" s="133">
        <v>20.13</v>
      </c>
      <c r="I19" s="133">
        <v>75.69</v>
      </c>
      <c r="J19" s="133">
        <v>24.17</v>
      </c>
      <c r="K19" s="133">
        <v>104.82</v>
      </c>
      <c r="L19" s="133">
        <v>33.5</v>
      </c>
      <c r="M19" s="133">
        <v>37.24</v>
      </c>
      <c r="N19" s="134">
        <v>11.88</v>
      </c>
      <c r="O19" s="201">
        <f t="shared" si="1"/>
        <v>405.8</v>
      </c>
      <c r="P19" s="196">
        <f t="shared" si="2"/>
        <v>104.53</v>
      </c>
      <c r="Q19" s="103">
        <v>23.28</v>
      </c>
      <c r="R19" s="103">
        <v>31.48</v>
      </c>
      <c r="S19" s="103">
        <v>75.74</v>
      </c>
      <c r="T19" s="103">
        <v>52.44</v>
      </c>
      <c r="U19" s="103">
        <v>18.63</v>
      </c>
      <c r="V19" s="84">
        <f t="shared" si="3"/>
        <v>201.57</v>
      </c>
      <c r="W19" s="91">
        <f t="shared" si="13"/>
        <v>1117.3</v>
      </c>
      <c r="X19" s="91"/>
      <c r="Y19" s="68">
        <f t="shared" si="15"/>
        <v>77.46</v>
      </c>
      <c r="Z19" s="68">
        <f>B19*0.2*1.01045</f>
        <v>26.089819000000002</v>
      </c>
      <c r="AA19" s="68">
        <f>0.85*B19*0.98824</f>
        <v>108.44451639999998</v>
      </c>
      <c r="AB19" s="68">
        <f t="shared" si="9"/>
        <v>19.520012951999995</v>
      </c>
      <c r="AC19" s="68">
        <f>(0.83*B19)*0.99023</f>
        <v>106.10611519</v>
      </c>
      <c r="AD19" s="68">
        <f t="shared" si="10"/>
        <v>19.0991007342</v>
      </c>
      <c r="AE19" s="68">
        <f>(1.91)*B19*0.99023</f>
        <v>244.17190363</v>
      </c>
      <c r="AF19" s="68">
        <f t="shared" si="11"/>
        <v>43.9509426534</v>
      </c>
      <c r="AG19" s="68">
        <v>0</v>
      </c>
      <c r="AH19" s="68">
        <f t="shared" si="4"/>
        <v>0</v>
      </c>
      <c r="AI19" s="92"/>
      <c r="AJ19" s="92">
        <f t="shared" si="4"/>
        <v>0</v>
      </c>
      <c r="AK19" s="73">
        <v>1200</v>
      </c>
      <c r="AL19" s="73"/>
      <c r="AM19" s="69">
        <f>(AK19+AL19)*0.18</f>
        <v>216</v>
      </c>
      <c r="AN19" s="131">
        <v>233</v>
      </c>
      <c r="AO19" s="94">
        <v>0</v>
      </c>
      <c r="AP19" s="68">
        <f t="shared" si="5"/>
        <v>0</v>
      </c>
      <c r="AQ19" s="95"/>
      <c r="AR19" s="95">
        <f t="shared" si="14"/>
        <v>0</v>
      </c>
      <c r="AS19" s="95">
        <f t="shared" si="16"/>
        <v>2060.8424105596</v>
      </c>
      <c r="AT19" s="96"/>
      <c r="AU19" s="71">
        <f t="shared" si="7"/>
        <v>2060.8424105596</v>
      </c>
      <c r="AV19" s="125">
        <f t="shared" si="6"/>
        <v>-943.5424105596001</v>
      </c>
      <c r="AW19" s="126">
        <f t="shared" si="8"/>
        <v>-204.23000000000002</v>
      </c>
    </row>
    <row r="20" spans="1:49" ht="13.5" hidden="1" thickBot="1">
      <c r="A20" s="129" t="s">
        <v>43</v>
      </c>
      <c r="B20" s="84">
        <v>129.1</v>
      </c>
      <c r="C20" s="200">
        <f t="shared" si="12"/>
        <v>1116.715</v>
      </c>
      <c r="D20" s="128">
        <v>811.63</v>
      </c>
      <c r="E20" s="133">
        <v>-0.01</v>
      </c>
      <c r="F20" s="133">
        <v>0.01</v>
      </c>
      <c r="G20" s="133">
        <v>-0.02</v>
      </c>
      <c r="H20" s="133">
        <v>0.01</v>
      </c>
      <c r="I20" s="133">
        <v>75.69</v>
      </c>
      <c r="J20" s="133">
        <v>24.17</v>
      </c>
      <c r="K20" s="133">
        <v>0</v>
      </c>
      <c r="L20" s="133">
        <v>0</v>
      </c>
      <c r="M20" s="133">
        <v>0</v>
      </c>
      <c r="N20" s="134">
        <v>0</v>
      </c>
      <c r="O20" s="208">
        <f t="shared" si="1"/>
        <v>75.66</v>
      </c>
      <c r="P20" s="196">
        <f t="shared" si="2"/>
        <v>24.190000000000005</v>
      </c>
      <c r="Q20" s="103">
        <v>46.4</v>
      </c>
      <c r="R20" s="103">
        <v>62.73</v>
      </c>
      <c r="S20" s="103">
        <v>75.72</v>
      </c>
      <c r="T20" s="103">
        <v>104.48</v>
      </c>
      <c r="U20" s="103">
        <v>37.12</v>
      </c>
      <c r="V20" s="84">
        <f t="shared" si="3"/>
        <v>326.45</v>
      </c>
      <c r="W20" s="91">
        <f t="shared" si="13"/>
        <v>1162.27</v>
      </c>
      <c r="X20" s="91"/>
      <c r="Y20" s="68">
        <f t="shared" si="15"/>
        <v>77.46</v>
      </c>
      <c r="Z20" s="68">
        <f>B20*0.2*0.99426</f>
        <v>25.6717932</v>
      </c>
      <c r="AA20" s="68">
        <f>0.85*B20*0.98824</f>
        <v>108.44451639999998</v>
      </c>
      <c r="AB20" s="68">
        <f t="shared" si="9"/>
        <v>19.520012951999995</v>
      </c>
      <c r="AC20" s="68">
        <f>0.83*B20*0.99023</f>
        <v>106.10611519</v>
      </c>
      <c r="AD20" s="68">
        <f t="shared" si="10"/>
        <v>19.0991007342</v>
      </c>
      <c r="AE20" s="68">
        <f>1.91*B20*0.99023</f>
        <v>244.17190363</v>
      </c>
      <c r="AF20" s="68">
        <f t="shared" si="11"/>
        <v>43.9509426534</v>
      </c>
      <c r="AG20" s="68">
        <v>0</v>
      </c>
      <c r="AH20" s="68">
        <f t="shared" si="4"/>
        <v>0</v>
      </c>
      <c r="AI20" s="92"/>
      <c r="AJ20" s="106">
        <f t="shared" si="4"/>
        <v>0</v>
      </c>
      <c r="AK20" s="73">
        <v>360</v>
      </c>
      <c r="AL20" s="73"/>
      <c r="AM20" s="73">
        <f>AK20*0.18</f>
        <v>64.8</v>
      </c>
      <c r="AN20" s="135">
        <v>248</v>
      </c>
      <c r="AO20" s="94">
        <v>0</v>
      </c>
      <c r="AP20" s="68">
        <f t="shared" si="5"/>
        <v>0</v>
      </c>
      <c r="AQ20" s="95"/>
      <c r="AR20" s="95">
        <f t="shared" si="14"/>
        <v>0</v>
      </c>
      <c r="AS20" s="95">
        <f t="shared" si="16"/>
        <v>1069.2243847596</v>
      </c>
      <c r="AT20" s="96"/>
      <c r="AU20" s="71">
        <f t="shared" si="7"/>
        <v>1069.2243847596</v>
      </c>
      <c r="AV20" s="125">
        <f t="shared" si="6"/>
        <v>93.04561524039991</v>
      </c>
      <c r="AW20" s="126">
        <f t="shared" si="8"/>
        <v>250.79</v>
      </c>
    </row>
    <row r="21" spans="1:49" ht="13.5" hidden="1" thickBot="1">
      <c r="A21" s="13" t="s">
        <v>44</v>
      </c>
      <c r="B21" s="84">
        <v>129.1</v>
      </c>
      <c r="C21" s="200">
        <f t="shared" si="12"/>
        <v>1116.715</v>
      </c>
      <c r="D21" s="128">
        <f>C21-E21-F21-G21-H21-I21-J21-K21-L21-M21-N21</f>
        <v>811.6249999999999</v>
      </c>
      <c r="E21" s="133">
        <v>23.27</v>
      </c>
      <c r="F21" s="133">
        <v>7.43</v>
      </c>
      <c r="G21" s="133">
        <v>70.74</v>
      </c>
      <c r="H21" s="133">
        <v>10.07</v>
      </c>
      <c r="I21" s="133">
        <v>75.69</v>
      </c>
      <c r="J21" s="133">
        <v>24.17</v>
      </c>
      <c r="K21" s="133">
        <v>52.41</v>
      </c>
      <c r="L21" s="133">
        <v>16.75</v>
      </c>
      <c r="M21" s="133">
        <v>18.62</v>
      </c>
      <c r="N21" s="134">
        <v>5.94</v>
      </c>
      <c r="O21" s="208">
        <f t="shared" si="1"/>
        <v>240.73</v>
      </c>
      <c r="P21" s="196">
        <f t="shared" si="2"/>
        <v>64.36</v>
      </c>
      <c r="Q21" s="103">
        <v>0.31</v>
      </c>
      <c r="R21" s="103">
        <v>0.42</v>
      </c>
      <c r="S21" s="103">
        <v>75.54</v>
      </c>
      <c r="T21" s="103">
        <v>0.71</v>
      </c>
      <c r="U21" s="103">
        <v>0.26</v>
      </c>
      <c r="V21" s="84">
        <f t="shared" si="3"/>
        <v>77.24000000000001</v>
      </c>
      <c r="W21" s="91">
        <f t="shared" si="13"/>
        <v>953.2249999999999</v>
      </c>
      <c r="X21" s="91"/>
      <c r="Y21" s="68">
        <f t="shared" si="15"/>
        <v>77.46</v>
      </c>
      <c r="Z21" s="68">
        <f>B21*0.2*0.99875</f>
        <v>25.787725000000002</v>
      </c>
      <c r="AA21" s="68">
        <f>0.85*B21*0.9882</f>
        <v>108.44012699999998</v>
      </c>
      <c r="AB21" s="68">
        <f t="shared" si="9"/>
        <v>19.519222859999996</v>
      </c>
      <c r="AC21" s="68">
        <f>0.83*B21*0.9902</f>
        <v>106.10290059999998</v>
      </c>
      <c r="AD21" s="68">
        <f t="shared" si="10"/>
        <v>19.098522107999997</v>
      </c>
      <c r="AE21" s="68">
        <f>1.91*B21*0.9902</f>
        <v>244.16450619999998</v>
      </c>
      <c r="AF21" s="68">
        <f t="shared" si="11"/>
        <v>43.94961111599999</v>
      </c>
      <c r="AG21" s="68">
        <v>0</v>
      </c>
      <c r="AH21" s="68">
        <f t="shared" si="4"/>
        <v>0</v>
      </c>
      <c r="AI21" s="92"/>
      <c r="AJ21" s="106">
        <f t="shared" si="4"/>
        <v>0</v>
      </c>
      <c r="AK21" s="73">
        <v>787.31</v>
      </c>
      <c r="AL21" s="73"/>
      <c r="AM21" s="69">
        <f>(AK21+AL21)*0.18</f>
        <v>141.71579999999997</v>
      </c>
      <c r="AN21" s="135">
        <v>293</v>
      </c>
      <c r="AO21" s="94">
        <v>0</v>
      </c>
      <c r="AP21" s="68">
        <f t="shared" si="5"/>
        <v>0</v>
      </c>
      <c r="AQ21" s="95"/>
      <c r="AR21" s="95">
        <f t="shared" si="14"/>
        <v>0</v>
      </c>
      <c r="AS21" s="95">
        <f t="shared" si="16"/>
        <v>1573.5484148839998</v>
      </c>
      <c r="AT21" s="96"/>
      <c r="AU21" s="71">
        <f t="shared" si="7"/>
        <v>1573.5484148839998</v>
      </c>
      <c r="AV21" s="125">
        <f t="shared" si="6"/>
        <v>-620.3234148839999</v>
      </c>
      <c r="AW21" s="126">
        <f t="shared" si="8"/>
        <v>-163.48999999999998</v>
      </c>
    </row>
    <row r="22" spans="1:49" ht="13.5" hidden="1" thickBot="1">
      <c r="A22" s="127" t="s">
        <v>45</v>
      </c>
      <c r="B22" s="84">
        <v>129.1</v>
      </c>
      <c r="C22" s="200">
        <f t="shared" si="12"/>
        <v>1116.715</v>
      </c>
      <c r="D22" s="128">
        <f>C22-E22-F22-G22-H22-I22-J22-K22-L22-M22-N22</f>
        <v>811.6249999999999</v>
      </c>
      <c r="E22" s="87">
        <v>23.27</v>
      </c>
      <c r="F22" s="87">
        <v>7.43</v>
      </c>
      <c r="G22" s="87">
        <v>70.74</v>
      </c>
      <c r="H22" s="87">
        <v>10.07</v>
      </c>
      <c r="I22" s="87">
        <v>75.69</v>
      </c>
      <c r="J22" s="87">
        <v>24.17</v>
      </c>
      <c r="K22" s="87">
        <v>52.41</v>
      </c>
      <c r="L22" s="87">
        <v>16.75</v>
      </c>
      <c r="M22" s="87">
        <v>18.62</v>
      </c>
      <c r="N22" s="88">
        <v>5.94</v>
      </c>
      <c r="O22" s="208">
        <f t="shared" si="1"/>
        <v>240.73</v>
      </c>
      <c r="P22" s="196">
        <f t="shared" si="2"/>
        <v>64.36</v>
      </c>
      <c r="Q22" s="103">
        <v>23.1</v>
      </c>
      <c r="R22" s="103">
        <v>31.23</v>
      </c>
      <c r="S22" s="103">
        <v>75.81</v>
      </c>
      <c r="T22" s="103">
        <v>52.04</v>
      </c>
      <c r="U22" s="103">
        <v>18.49</v>
      </c>
      <c r="V22" s="84">
        <f t="shared" si="3"/>
        <v>200.67</v>
      </c>
      <c r="W22" s="91">
        <f t="shared" si="13"/>
        <v>1076.655</v>
      </c>
      <c r="X22" s="91"/>
      <c r="Y22" s="68">
        <f t="shared" si="15"/>
        <v>77.46</v>
      </c>
      <c r="Z22" s="68">
        <f>B22*0.2*0.9997</f>
        <v>25.812254</v>
      </c>
      <c r="AA22" s="68">
        <f>0.85*B22*0.9882</f>
        <v>108.44012699999998</v>
      </c>
      <c r="AB22" s="68">
        <f t="shared" si="9"/>
        <v>19.519222859999996</v>
      </c>
      <c r="AC22" s="68">
        <f>(0.83*B22)*0.9902</f>
        <v>106.10290059999998</v>
      </c>
      <c r="AD22" s="68">
        <f t="shared" si="10"/>
        <v>19.098522107999997</v>
      </c>
      <c r="AE22" s="68">
        <f>1.91*B22*0.9903</f>
        <v>244.1891643</v>
      </c>
      <c r="AF22" s="68">
        <f t="shared" si="11"/>
        <v>43.954049573999995</v>
      </c>
      <c r="AG22" s="68">
        <v>0</v>
      </c>
      <c r="AH22" s="68">
        <f t="shared" si="4"/>
        <v>0</v>
      </c>
      <c r="AI22" s="92"/>
      <c r="AJ22" s="106">
        <f t="shared" si="4"/>
        <v>0</v>
      </c>
      <c r="AK22" s="73"/>
      <c r="AL22" s="73"/>
      <c r="AM22" s="69">
        <f>(AK22+AL22)*0.18</f>
        <v>0</v>
      </c>
      <c r="AN22" s="135">
        <v>349</v>
      </c>
      <c r="AO22" s="94">
        <v>0</v>
      </c>
      <c r="AP22" s="68">
        <f t="shared" si="5"/>
        <v>0</v>
      </c>
      <c r="AQ22" s="95"/>
      <c r="AR22" s="95">
        <f t="shared" si="14"/>
        <v>0</v>
      </c>
      <c r="AS22" s="95">
        <f t="shared" si="16"/>
        <v>644.576240442</v>
      </c>
      <c r="AT22" s="96"/>
      <c r="AU22" s="71">
        <f t="shared" si="7"/>
        <v>644.576240442</v>
      </c>
      <c r="AV22" s="125">
        <f t="shared" si="6"/>
        <v>432.078759558</v>
      </c>
      <c r="AW22" s="126">
        <f t="shared" si="8"/>
        <v>-40.06</v>
      </c>
    </row>
    <row r="23" spans="1:49" ht="13.5" hidden="1" thickBot="1">
      <c r="A23" s="129" t="s">
        <v>33</v>
      </c>
      <c r="B23" s="209">
        <v>129.1</v>
      </c>
      <c r="C23" s="136">
        <f>B23*8.65</f>
        <v>1116.715</v>
      </c>
      <c r="D23" s="128">
        <f>C23-O23-P23</f>
        <v>811.6249999999999</v>
      </c>
      <c r="E23" s="87">
        <v>23.27</v>
      </c>
      <c r="F23" s="87">
        <v>7.43</v>
      </c>
      <c r="G23" s="87">
        <v>70.74</v>
      </c>
      <c r="H23" s="87">
        <v>10.07</v>
      </c>
      <c r="I23" s="87">
        <v>75.69</v>
      </c>
      <c r="J23" s="87">
        <v>24.17</v>
      </c>
      <c r="K23" s="87">
        <v>52.41</v>
      </c>
      <c r="L23" s="87">
        <v>16.75</v>
      </c>
      <c r="M23" s="87">
        <v>18.62</v>
      </c>
      <c r="N23" s="132">
        <v>5.94</v>
      </c>
      <c r="O23" s="137">
        <f t="shared" si="1"/>
        <v>240.73</v>
      </c>
      <c r="P23" s="138">
        <f t="shared" si="2"/>
        <v>64.36</v>
      </c>
      <c r="Q23" s="103">
        <v>23.27</v>
      </c>
      <c r="R23" s="103">
        <v>31.46</v>
      </c>
      <c r="S23" s="103">
        <v>75.69</v>
      </c>
      <c r="T23" s="103">
        <v>52.41</v>
      </c>
      <c r="U23" s="103">
        <v>18.61</v>
      </c>
      <c r="V23" s="132">
        <f t="shared" si="3"/>
        <v>201.44</v>
      </c>
      <c r="W23" s="105">
        <f t="shared" si="13"/>
        <v>1077.425</v>
      </c>
      <c r="X23" s="139"/>
      <c r="Y23" s="74">
        <f t="shared" si="15"/>
        <v>77.46</v>
      </c>
      <c r="Z23" s="24">
        <f>B23*0.2</f>
        <v>25.82</v>
      </c>
      <c r="AA23" s="24">
        <f>0.85*B23</f>
        <v>109.73499999999999</v>
      </c>
      <c r="AB23" s="24">
        <f>AA23*0.18</f>
        <v>19.752299999999998</v>
      </c>
      <c r="AC23" s="24">
        <f>(0.83*B23)</f>
        <v>107.15299999999999</v>
      </c>
      <c r="AD23" s="24">
        <f>AC23*0.18</f>
        <v>19.287539999999996</v>
      </c>
      <c r="AE23" s="24">
        <f>1.91*B23</f>
        <v>246.581</v>
      </c>
      <c r="AF23" s="24">
        <f>AE23*0.18</f>
        <v>44.38458</v>
      </c>
      <c r="AG23" s="24">
        <v>0</v>
      </c>
      <c r="AH23" s="24">
        <f>AG23*0.18</f>
        <v>0</v>
      </c>
      <c r="AI23" s="92"/>
      <c r="AJ23" s="106">
        <f t="shared" si="4"/>
        <v>0</v>
      </c>
      <c r="AK23" s="69">
        <v>2400</v>
      </c>
      <c r="AL23" s="69"/>
      <c r="AM23" s="69">
        <f>(AK23+AL23)*0.18</f>
        <v>432</v>
      </c>
      <c r="AN23" s="108">
        <v>425</v>
      </c>
      <c r="AO23" s="109">
        <v>0</v>
      </c>
      <c r="AP23" s="24">
        <f t="shared" si="5"/>
        <v>0</v>
      </c>
      <c r="AQ23" s="110"/>
      <c r="AR23" s="110">
        <f>AQ23*0.18</f>
        <v>0</v>
      </c>
      <c r="AS23" s="110">
        <f t="shared" si="16"/>
        <v>3482.17342</v>
      </c>
      <c r="AT23" s="210"/>
      <c r="AU23" s="71">
        <f t="shared" si="7"/>
        <v>3482.17342</v>
      </c>
      <c r="AV23" s="125">
        <f t="shared" si="6"/>
        <v>-2404.74842</v>
      </c>
      <c r="AW23" s="126">
        <f t="shared" si="8"/>
        <v>-39.28999999999999</v>
      </c>
    </row>
    <row r="24" spans="1:49" ht="13.5" hidden="1" thickBot="1">
      <c r="A24" s="13" t="s">
        <v>34</v>
      </c>
      <c r="B24" s="209">
        <v>129.1</v>
      </c>
      <c r="C24" s="136">
        <f>B24*8.65</f>
        <v>1116.715</v>
      </c>
      <c r="D24" s="128">
        <f>C24-O24-P24</f>
        <v>811.6249999999999</v>
      </c>
      <c r="E24" s="87">
        <v>23.27</v>
      </c>
      <c r="F24" s="87">
        <v>7.43</v>
      </c>
      <c r="G24" s="87">
        <v>70.74</v>
      </c>
      <c r="H24" s="87">
        <v>10.07</v>
      </c>
      <c r="I24" s="87">
        <v>75.69</v>
      </c>
      <c r="J24" s="87">
        <v>24.17</v>
      </c>
      <c r="K24" s="87">
        <v>52.41</v>
      </c>
      <c r="L24" s="87">
        <v>16.75</v>
      </c>
      <c r="M24" s="87">
        <v>18.62</v>
      </c>
      <c r="N24" s="88">
        <v>5.94</v>
      </c>
      <c r="O24" s="137">
        <f t="shared" si="1"/>
        <v>240.73</v>
      </c>
      <c r="P24" s="138">
        <f t="shared" si="2"/>
        <v>64.36</v>
      </c>
      <c r="Q24" s="140">
        <v>23.29</v>
      </c>
      <c r="R24" s="140">
        <v>31.49</v>
      </c>
      <c r="S24" s="140">
        <v>75.75</v>
      </c>
      <c r="T24" s="140">
        <v>52.45</v>
      </c>
      <c r="U24" s="140">
        <v>18.64</v>
      </c>
      <c r="V24" s="132">
        <f t="shared" si="3"/>
        <v>201.62</v>
      </c>
      <c r="W24" s="105">
        <f>D24+P24+V24</f>
        <v>1077.605</v>
      </c>
      <c r="X24" s="105"/>
      <c r="Y24" s="24">
        <f t="shared" si="15"/>
        <v>77.46</v>
      </c>
      <c r="Z24" s="24">
        <f>B24*0.2</f>
        <v>25.82</v>
      </c>
      <c r="AA24" s="24">
        <f>0.85*B24</f>
        <v>109.73499999999999</v>
      </c>
      <c r="AB24" s="24">
        <f>AA24*0.18</f>
        <v>19.752299999999998</v>
      </c>
      <c r="AC24" s="24">
        <f>(0.83*B24)</f>
        <v>107.15299999999999</v>
      </c>
      <c r="AD24" s="24">
        <f>AC24*0.18</f>
        <v>19.287539999999996</v>
      </c>
      <c r="AE24" s="24">
        <f>1.91*B24</f>
        <v>246.581</v>
      </c>
      <c r="AF24" s="24">
        <f>AE24*0.18</f>
        <v>44.38458</v>
      </c>
      <c r="AG24" s="24">
        <v>0</v>
      </c>
      <c r="AH24" s="24">
        <f>AG24*0.18</f>
        <v>0</v>
      </c>
      <c r="AI24" s="92"/>
      <c r="AJ24" s="106">
        <f t="shared" si="4"/>
        <v>0</v>
      </c>
      <c r="AK24" s="69"/>
      <c r="AL24" s="69"/>
      <c r="AM24" s="69">
        <f>AK24*0.18</f>
        <v>0</v>
      </c>
      <c r="AN24" s="108">
        <v>470</v>
      </c>
      <c r="AO24" s="109">
        <v>0</v>
      </c>
      <c r="AP24" s="24">
        <f t="shared" si="5"/>
        <v>0</v>
      </c>
      <c r="AQ24" s="110"/>
      <c r="AR24" s="110">
        <f>AQ24*0.18</f>
        <v>0</v>
      </c>
      <c r="AS24" s="110">
        <f t="shared" si="16"/>
        <v>650.17342</v>
      </c>
      <c r="AT24" s="111"/>
      <c r="AU24" s="71">
        <f t="shared" si="7"/>
        <v>650.17342</v>
      </c>
      <c r="AV24" s="125">
        <f t="shared" si="6"/>
        <v>427.43158000000005</v>
      </c>
      <c r="AW24" s="126">
        <f t="shared" si="8"/>
        <v>-39.109999999999985</v>
      </c>
    </row>
    <row r="25" spans="1:49" s="100" customFormat="1" ht="12.75" hidden="1">
      <c r="A25" s="83" t="s">
        <v>35</v>
      </c>
      <c r="B25" s="211">
        <v>129.1</v>
      </c>
      <c r="C25" s="197">
        <f>B25*8.65</f>
        <v>1116.715</v>
      </c>
      <c r="D25" s="212">
        <f>C25-E25-F25-G25-H25-I25-J25-K25-L25-M25-N25</f>
        <v>850.9049999999999</v>
      </c>
      <c r="E25" s="213">
        <v>23.27</v>
      </c>
      <c r="F25" s="213">
        <v>7.43</v>
      </c>
      <c r="G25" s="213">
        <v>31.46</v>
      </c>
      <c r="H25" s="213">
        <v>10.07</v>
      </c>
      <c r="I25" s="213">
        <v>75.69</v>
      </c>
      <c r="J25" s="213">
        <v>24.17</v>
      </c>
      <c r="K25" s="213">
        <v>52.41</v>
      </c>
      <c r="L25" s="213">
        <v>16.75</v>
      </c>
      <c r="M25" s="213">
        <v>18.62</v>
      </c>
      <c r="N25" s="213">
        <v>5.94</v>
      </c>
      <c r="O25" s="195">
        <f t="shared" si="1"/>
        <v>201.45000000000002</v>
      </c>
      <c r="P25" s="196">
        <f t="shared" si="2"/>
        <v>64.36</v>
      </c>
      <c r="Q25" s="103">
        <v>23.26</v>
      </c>
      <c r="R25" s="103">
        <v>31.45</v>
      </c>
      <c r="S25" s="103">
        <v>75.67</v>
      </c>
      <c r="T25" s="103">
        <v>52.4</v>
      </c>
      <c r="U25" s="103">
        <v>18.61</v>
      </c>
      <c r="V25" s="132">
        <f t="shared" si="3"/>
        <v>201.39</v>
      </c>
      <c r="W25" s="105">
        <f>D25+P25+V25</f>
        <v>1116.6549999999997</v>
      </c>
      <c r="X25" s="105"/>
      <c r="Y25" s="24">
        <f t="shared" si="15"/>
        <v>77.46</v>
      </c>
      <c r="Z25" s="24">
        <f>B25*0.2</f>
        <v>25.82</v>
      </c>
      <c r="AA25" s="24">
        <f>0.85*B25</f>
        <v>109.73499999999999</v>
      </c>
      <c r="AB25" s="24">
        <f>AA25*0.18</f>
        <v>19.752299999999998</v>
      </c>
      <c r="AC25" s="24">
        <f>(0.83*B25)</f>
        <v>107.15299999999999</v>
      </c>
      <c r="AD25" s="24">
        <f>AC25*0.18</f>
        <v>19.287539999999996</v>
      </c>
      <c r="AE25" s="24">
        <f>1.91*B25</f>
        <v>246.581</v>
      </c>
      <c r="AF25" s="24">
        <f>AE25*0.18</f>
        <v>44.38458</v>
      </c>
      <c r="AG25" s="24">
        <v>0</v>
      </c>
      <c r="AH25" s="24">
        <f>AG25*0.18</f>
        <v>0</v>
      </c>
      <c r="AI25" s="92"/>
      <c r="AJ25" s="106">
        <f t="shared" si="4"/>
        <v>0</v>
      </c>
      <c r="AK25" s="69"/>
      <c r="AL25" s="69"/>
      <c r="AM25" s="69">
        <f>AK25*0.18</f>
        <v>0</v>
      </c>
      <c r="AN25" s="108">
        <v>514</v>
      </c>
      <c r="AO25" s="109">
        <v>0</v>
      </c>
      <c r="AP25" s="24">
        <f t="shared" si="5"/>
        <v>0</v>
      </c>
      <c r="AQ25" s="110"/>
      <c r="AR25" s="110">
        <f>AQ25*0.18</f>
        <v>0</v>
      </c>
      <c r="AS25" s="110">
        <f t="shared" si="16"/>
        <v>650.17342</v>
      </c>
      <c r="AT25" s="111"/>
      <c r="AU25" s="71">
        <f t="shared" si="7"/>
        <v>650.17342</v>
      </c>
      <c r="AV25" s="125">
        <f t="shared" si="6"/>
        <v>466.4815799999998</v>
      </c>
      <c r="AW25" s="126">
        <f t="shared" si="8"/>
        <v>-0.060000000000030695</v>
      </c>
    </row>
    <row r="26" spans="1:49" s="23" customFormat="1" ht="12.75" hidden="1">
      <c r="A26" s="18" t="s">
        <v>3</v>
      </c>
      <c r="B26" s="19"/>
      <c r="C26" s="19">
        <f>SUM(C14:C25)</f>
        <v>13400.58</v>
      </c>
      <c r="D26" s="19">
        <f aca="true" t="shared" si="17" ref="D26:AW26">SUM(D14:D25)</f>
        <v>7090.2175</v>
      </c>
      <c r="E26" s="19">
        <f t="shared" si="17"/>
        <v>198.68000000000004</v>
      </c>
      <c r="F26" s="19">
        <f t="shared" si="17"/>
        <v>85.84</v>
      </c>
      <c r="G26" s="19">
        <f t="shared" si="17"/>
        <v>787.0000000000001</v>
      </c>
      <c r="H26" s="19">
        <f t="shared" si="17"/>
        <v>116.19999999999999</v>
      </c>
      <c r="I26" s="19">
        <f t="shared" si="17"/>
        <v>646.2</v>
      </c>
      <c r="J26" s="19">
        <f t="shared" si="17"/>
        <v>279.1600000000001</v>
      </c>
      <c r="K26" s="19">
        <f t="shared" si="17"/>
        <v>447.43999999999994</v>
      </c>
      <c r="L26" s="19">
        <f t="shared" si="17"/>
        <v>193.4</v>
      </c>
      <c r="M26" s="19">
        <f t="shared" si="17"/>
        <v>158.97000000000003</v>
      </c>
      <c r="N26" s="19">
        <f t="shared" si="17"/>
        <v>68.64</v>
      </c>
      <c r="O26" s="19">
        <f t="shared" si="17"/>
        <v>2238.2900000000004</v>
      </c>
      <c r="P26" s="19">
        <f t="shared" si="17"/>
        <v>743.24</v>
      </c>
      <c r="Q26" s="19">
        <f t="shared" si="17"/>
        <v>274.98</v>
      </c>
      <c r="R26" s="19">
        <f t="shared" si="17"/>
        <v>371.55999999999995</v>
      </c>
      <c r="S26" s="19">
        <f t="shared" si="17"/>
        <v>894.13</v>
      </c>
      <c r="T26" s="19">
        <f t="shared" si="17"/>
        <v>619.07</v>
      </c>
      <c r="U26" s="19">
        <f t="shared" si="17"/>
        <v>220.01</v>
      </c>
      <c r="V26" s="19">
        <f t="shared" si="17"/>
        <v>2379.75</v>
      </c>
      <c r="W26" s="19">
        <f t="shared" si="17"/>
        <v>10213.2075</v>
      </c>
      <c r="X26" s="19">
        <f t="shared" si="17"/>
        <v>0</v>
      </c>
      <c r="Y26" s="19">
        <f t="shared" si="17"/>
        <v>898.5360000000001</v>
      </c>
      <c r="Z26" s="19">
        <f t="shared" si="17"/>
        <v>300.86877119999997</v>
      </c>
      <c r="AA26" s="19">
        <f t="shared" si="17"/>
        <v>1261.4226037999995</v>
      </c>
      <c r="AB26" s="19">
        <f t="shared" si="17"/>
        <v>227.05606868399994</v>
      </c>
      <c r="AC26" s="19">
        <f t="shared" si="17"/>
        <v>1234.85903178</v>
      </c>
      <c r="AD26" s="19">
        <f t="shared" si="17"/>
        <v>222.2746257204</v>
      </c>
      <c r="AE26" s="19">
        <f t="shared" si="17"/>
        <v>2841.9447941600006</v>
      </c>
      <c r="AF26" s="19">
        <f t="shared" si="17"/>
        <v>511.5500629488</v>
      </c>
      <c r="AG26" s="19">
        <f t="shared" si="17"/>
        <v>0</v>
      </c>
      <c r="AH26" s="19">
        <f t="shared" si="17"/>
        <v>0</v>
      </c>
      <c r="AI26" s="141">
        <f t="shared" si="17"/>
        <v>0</v>
      </c>
      <c r="AJ26" s="141">
        <f t="shared" si="17"/>
        <v>0</v>
      </c>
      <c r="AK26" s="20">
        <f t="shared" si="17"/>
        <v>5800.8099999999995</v>
      </c>
      <c r="AL26" s="20">
        <f t="shared" si="17"/>
        <v>0</v>
      </c>
      <c r="AM26" s="20">
        <f t="shared" si="17"/>
        <v>1044.1458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14343.467758293198</v>
      </c>
      <c r="AT26" s="19">
        <f t="shared" si="17"/>
        <v>0</v>
      </c>
      <c r="AU26" s="19">
        <f t="shared" si="17"/>
        <v>14153.122266399198</v>
      </c>
      <c r="AV26" s="19">
        <f t="shared" si="17"/>
        <v>-4130.2602582931995</v>
      </c>
      <c r="AW26" s="142">
        <f t="shared" si="17"/>
        <v>141.4599999999999</v>
      </c>
    </row>
    <row r="27" spans="1:49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43"/>
      <c r="AJ27" s="143"/>
      <c r="AK27" s="66"/>
      <c r="AL27" s="66"/>
      <c r="AM27" s="66"/>
      <c r="AN27" s="22"/>
      <c r="AO27" s="22"/>
      <c r="AP27" s="144"/>
      <c r="AQ27" s="50"/>
      <c r="AR27" s="50"/>
      <c r="AS27" s="50"/>
      <c r="AT27" s="50"/>
      <c r="AU27" s="50"/>
      <c r="AV27" s="50"/>
      <c r="AW27" s="145"/>
    </row>
    <row r="28" spans="1:49" s="23" customFormat="1" ht="13.5" hidden="1" thickBot="1">
      <c r="A28" s="25" t="s">
        <v>46</v>
      </c>
      <c r="B28" s="26"/>
      <c r="C28" s="26">
        <f>C12+C26</f>
        <v>16750.725</v>
      </c>
      <c r="D28" s="26">
        <f aca="true" t="shared" si="18" ref="D28:AW28">D12+D26</f>
        <v>7895.60856865</v>
      </c>
      <c r="E28" s="26">
        <f t="shared" si="18"/>
        <v>343.31000000000006</v>
      </c>
      <c r="F28" s="26">
        <f t="shared" si="18"/>
        <v>105.64</v>
      </c>
      <c r="G28" s="26">
        <f t="shared" si="18"/>
        <v>982.2700000000001</v>
      </c>
      <c r="H28" s="26">
        <f t="shared" si="18"/>
        <v>142.92999999999998</v>
      </c>
      <c r="I28" s="26">
        <f t="shared" si="18"/>
        <v>1116.24</v>
      </c>
      <c r="J28" s="26">
        <f t="shared" si="18"/>
        <v>343.5100000000001</v>
      </c>
      <c r="K28" s="26">
        <f t="shared" si="18"/>
        <v>772.8499999999999</v>
      </c>
      <c r="L28" s="26">
        <f t="shared" si="18"/>
        <v>237.95</v>
      </c>
      <c r="M28" s="26">
        <f t="shared" si="18"/>
        <v>274.68000000000006</v>
      </c>
      <c r="N28" s="26">
        <f t="shared" si="18"/>
        <v>84.48</v>
      </c>
      <c r="O28" s="26">
        <f t="shared" si="18"/>
        <v>3489.3500000000004</v>
      </c>
      <c r="P28" s="26">
        <f t="shared" si="18"/>
        <v>914.51</v>
      </c>
      <c r="Q28" s="26">
        <f t="shared" si="18"/>
        <v>319.88</v>
      </c>
      <c r="R28" s="26">
        <f t="shared" si="18"/>
        <v>432.17999999999995</v>
      </c>
      <c r="S28" s="26">
        <f t="shared" si="18"/>
        <v>1040.04</v>
      </c>
      <c r="T28" s="26">
        <f t="shared" si="18"/>
        <v>720.09</v>
      </c>
      <c r="U28" s="26">
        <f t="shared" si="18"/>
        <v>255.93</v>
      </c>
      <c r="V28" s="26">
        <f t="shared" si="18"/>
        <v>2768.12</v>
      </c>
      <c r="W28" s="26">
        <f t="shared" si="18"/>
        <v>11578.23856865</v>
      </c>
      <c r="X28" s="26">
        <f t="shared" si="18"/>
        <v>0</v>
      </c>
      <c r="Y28" s="26">
        <f t="shared" si="18"/>
        <v>1130.9160000000002</v>
      </c>
      <c r="Z28" s="26">
        <f t="shared" si="18"/>
        <v>380.61384119999997</v>
      </c>
      <c r="AA28" s="26">
        <f t="shared" si="18"/>
        <v>1589.6980837999995</v>
      </c>
      <c r="AB28" s="26">
        <f>AB12+AB26</f>
        <v>286.14565508399994</v>
      </c>
      <c r="AC28" s="26">
        <f t="shared" si="18"/>
        <v>1539.5510401799997</v>
      </c>
      <c r="AD28" s="26">
        <f t="shared" si="18"/>
        <v>277.1191872324</v>
      </c>
      <c r="AE28" s="26">
        <f t="shared" si="18"/>
        <v>3401.523386510001</v>
      </c>
      <c r="AF28" s="26">
        <f t="shared" si="18"/>
        <v>612.2742095718</v>
      </c>
      <c r="AG28" s="26">
        <f t="shared" si="18"/>
        <v>0</v>
      </c>
      <c r="AH28" s="26">
        <f t="shared" si="18"/>
        <v>0</v>
      </c>
      <c r="AI28" s="146">
        <f t="shared" si="18"/>
        <v>0</v>
      </c>
      <c r="AJ28" s="146">
        <f t="shared" si="18"/>
        <v>0</v>
      </c>
      <c r="AK28" s="147">
        <f t="shared" si="18"/>
        <v>6300.3099999999995</v>
      </c>
      <c r="AL28" s="147">
        <f t="shared" si="18"/>
        <v>0</v>
      </c>
      <c r="AM28" s="147">
        <f t="shared" si="18"/>
        <v>1134.0558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16652.207203578197</v>
      </c>
      <c r="AT28" s="26">
        <f t="shared" si="18"/>
        <v>0</v>
      </c>
      <c r="AU28" s="26">
        <f t="shared" si="18"/>
        <v>16461.861711684196</v>
      </c>
      <c r="AV28" s="26">
        <f t="shared" si="18"/>
        <v>-5073.9686349282</v>
      </c>
      <c r="AW28" s="26">
        <f t="shared" si="18"/>
        <v>-721.2300000000001</v>
      </c>
    </row>
    <row r="29" spans="1:49" ht="15" customHeight="1" hidden="1" thickBot="1">
      <c r="A29" s="8" t="s">
        <v>78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3.5" hidden="1" thickBot="1">
      <c r="A30" s="13" t="s">
        <v>37</v>
      </c>
      <c r="B30" s="211">
        <v>129.1</v>
      </c>
      <c r="C30" s="197">
        <f aca="true" t="shared" si="19" ref="C30:C41">B30*8.65</f>
        <v>1116.715</v>
      </c>
      <c r="D30" s="212">
        <f>C30-E30-F30-G30-H30-I30-J30-K30-L30-M30-N30</f>
        <v>850.9049999999999</v>
      </c>
      <c r="E30" s="87">
        <v>23.27</v>
      </c>
      <c r="F30" s="87">
        <v>7.43</v>
      </c>
      <c r="G30" s="87">
        <v>31.46</v>
      </c>
      <c r="H30" s="87">
        <v>10.07</v>
      </c>
      <c r="I30" s="87">
        <v>75.69</v>
      </c>
      <c r="J30" s="87">
        <v>24.17</v>
      </c>
      <c r="K30" s="87">
        <v>52.41</v>
      </c>
      <c r="L30" s="87">
        <v>16.75</v>
      </c>
      <c r="M30" s="87">
        <v>18.62</v>
      </c>
      <c r="N30" s="88">
        <v>5.94</v>
      </c>
      <c r="O30" s="195">
        <f>E30+G30+I30+K30+M30</f>
        <v>201.45000000000002</v>
      </c>
      <c r="P30" s="214">
        <f>N30+L30+J30+H30+F30</f>
        <v>64.36</v>
      </c>
      <c r="Q30" s="102">
        <v>23.24</v>
      </c>
      <c r="R30" s="103">
        <v>31.43</v>
      </c>
      <c r="S30" s="103">
        <v>75.61</v>
      </c>
      <c r="T30" s="103">
        <v>52.35</v>
      </c>
      <c r="U30" s="103">
        <v>18.61</v>
      </c>
      <c r="V30" s="84">
        <f>SUM(Q30:U30)</f>
        <v>201.24</v>
      </c>
      <c r="W30" s="104">
        <f>D30+P30+V30</f>
        <v>1116.5049999999999</v>
      </c>
      <c r="X30" s="105"/>
      <c r="Y30" s="24">
        <f aca="true" t="shared" si="20" ref="Y30:Y41">0.6*B30</f>
        <v>77.46</v>
      </c>
      <c r="Z30" s="24">
        <f aca="true" t="shared" si="21" ref="Z30:Z41">B30*0.2</f>
        <v>25.82</v>
      </c>
      <c r="AA30" s="24">
        <f aca="true" t="shared" si="22" ref="AA30:AA41">1*B30</f>
        <v>129.1</v>
      </c>
      <c r="AB30" s="24">
        <v>0</v>
      </c>
      <c r="AC30" s="24">
        <f>0.98*B30</f>
        <v>126.51799999999999</v>
      </c>
      <c r="AD30" s="24">
        <v>0</v>
      </c>
      <c r="AE30" s="24">
        <f aca="true" t="shared" si="23" ref="AE30:AE41">2.25*B30</f>
        <v>290.47499999999997</v>
      </c>
      <c r="AF30" s="24">
        <v>0</v>
      </c>
      <c r="AG30" s="24">
        <v>0</v>
      </c>
      <c r="AH30" s="24">
        <f>AG30*0.18</f>
        <v>0</v>
      </c>
      <c r="AI30" s="106"/>
      <c r="AJ30" s="106"/>
      <c r="AK30" s="69"/>
      <c r="AL30" s="69"/>
      <c r="AM30" s="69"/>
      <c r="AN30" s="108">
        <v>508</v>
      </c>
      <c r="AO30" s="109">
        <v>0</v>
      </c>
      <c r="AP30" s="24">
        <f>AN30*AO30*1.4</f>
        <v>0</v>
      </c>
      <c r="AQ30" s="110"/>
      <c r="AR30" s="110">
        <f>AQ30*0.18</f>
        <v>0</v>
      </c>
      <c r="AS30" s="110">
        <f>SUM(Y30:AR30)-AN30-AO30</f>
        <v>649.373</v>
      </c>
      <c r="AT30" s="111"/>
      <c r="AU30" s="71">
        <f>AS30-(X30-AT30)</f>
        <v>649.373</v>
      </c>
      <c r="AV30" s="125">
        <f aca="true" t="shared" si="24" ref="AV30:AV38">W30-AS30</f>
        <v>467.13199999999983</v>
      </c>
      <c r="AW30" s="126">
        <f>V30-O30</f>
        <v>-0.21000000000000796</v>
      </c>
    </row>
    <row r="31" spans="1:49" ht="13.5" hidden="1" thickBot="1">
      <c r="A31" s="13" t="s">
        <v>38</v>
      </c>
      <c r="B31" s="211">
        <v>129.1</v>
      </c>
      <c r="C31" s="197">
        <f t="shared" si="19"/>
        <v>1116.715</v>
      </c>
      <c r="D31" s="212">
        <f>C31-E31-F31-G31-H31-I31-J31-K31-L31-M31-N31</f>
        <v>850.9049999999999</v>
      </c>
      <c r="E31" s="87">
        <v>23.27</v>
      </c>
      <c r="F31" s="87">
        <v>7.43</v>
      </c>
      <c r="G31" s="87">
        <v>31.46</v>
      </c>
      <c r="H31" s="87">
        <v>10.07</v>
      </c>
      <c r="I31" s="87">
        <v>75.69</v>
      </c>
      <c r="J31" s="87">
        <v>24.17</v>
      </c>
      <c r="K31" s="87">
        <v>52.41</v>
      </c>
      <c r="L31" s="87">
        <v>16.75</v>
      </c>
      <c r="M31" s="87">
        <v>18.62</v>
      </c>
      <c r="N31" s="88">
        <v>5.94</v>
      </c>
      <c r="O31" s="195">
        <f>E31+G31+I31+K31+M31</f>
        <v>201.45000000000002</v>
      </c>
      <c r="P31" s="196">
        <f>N31+L31+J31+H31+F31</f>
        <v>64.36</v>
      </c>
      <c r="Q31" s="103">
        <v>23.29</v>
      </c>
      <c r="R31" s="103">
        <v>31.47</v>
      </c>
      <c r="S31" s="103">
        <v>75.73</v>
      </c>
      <c r="T31" s="103">
        <v>52.44</v>
      </c>
      <c r="U31" s="103">
        <v>18.63</v>
      </c>
      <c r="V31" s="84">
        <f>SUM(Q31:U31)</f>
        <v>201.56</v>
      </c>
      <c r="W31" s="105">
        <f>D31+P31+V31</f>
        <v>1116.8249999999998</v>
      </c>
      <c r="X31" s="105"/>
      <c r="Y31" s="24">
        <f t="shared" si="20"/>
        <v>77.46</v>
      </c>
      <c r="Z31" s="24">
        <f t="shared" si="21"/>
        <v>25.82</v>
      </c>
      <c r="AA31" s="24">
        <f t="shared" si="22"/>
        <v>129.1</v>
      </c>
      <c r="AB31" s="24">
        <v>0</v>
      </c>
      <c r="AC31" s="24">
        <f>0.98*B31</f>
        <v>126.51799999999999</v>
      </c>
      <c r="AD31" s="24">
        <v>0</v>
      </c>
      <c r="AE31" s="24">
        <f t="shared" si="23"/>
        <v>290.47499999999997</v>
      </c>
      <c r="AF31" s="24">
        <v>0</v>
      </c>
      <c r="AG31" s="24">
        <v>0</v>
      </c>
      <c r="AH31" s="24">
        <f>AG31*0.18</f>
        <v>0</v>
      </c>
      <c r="AI31" s="106"/>
      <c r="AJ31" s="106"/>
      <c r="AK31" s="69">
        <v>2853.39</v>
      </c>
      <c r="AL31" s="69"/>
      <c r="AM31" s="69"/>
      <c r="AN31" s="108">
        <v>407</v>
      </c>
      <c r="AO31" s="109">
        <v>0</v>
      </c>
      <c r="AP31" s="24">
        <f>AN31*AO31*1.4</f>
        <v>0</v>
      </c>
      <c r="AQ31" s="110"/>
      <c r="AR31" s="110">
        <f>AQ31*0.18</f>
        <v>0</v>
      </c>
      <c r="AS31" s="110">
        <f>SUM(Y31:AR31)-AN31-AO31</f>
        <v>3502.763</v>
      </c>
      <c r="AT31" s="111"/>
      <c r="AU31" s="71">
        <f>AS31-(X31-AT31)</f>
        <v>3502.763</v>
      </c>
      <c r="AV31" s="125">
        <f t="shared" si="24"/>
        <v>-2385.938</v>
      </c>
      <c r="AW31" s="126">
        <f>V31-O31</f>
        <v>0.10999999999998522</v>
      </c>
    </row>
    <row r="32" spans="1:49" ht="13.5" hidden="1" thickBot="1">
      <c r="A32" s="127" t="s">
        <v>39</v>
      </c>
      <c r="B32" s="211">
        <v>129.1</v>
      </c>
      <c r="C32" s="197">
        <f t="shared" si="19"/>
        <v>1116.715</v>
      </c>
      <c r="D32" s="212">
        <f>C32-E32-F32-G32-H32-I32-J32-K32-L32-M32-N32</f>
        <v>850.9049999999999</v>
      </c>
      <c r="E32" s="87">
        <v>23.27</v>
      </c>
      <c r="F32" s="87">
        <v>7.43</v>
      </c>
      <c r="G32" s="87">
        <v>31.46</v>
      </c>
      <c r="H32" s="87">
        <v>10.07</v>
      </c>
      <c r="I32" s="87">
        <v>75.69</v>
      </c>
      <c r="J32" s="87">
        <v>24.17</v>
      </c>
      <c r="K32" s="87">
        <v>52.41</v>
      </c>
      <c r="L32" s="87">
        <v>16.75</v>
      </c>
      <c r="M32" s="87">
        <v>18.62</v>
      </c>
      <c r="N32" s="88">
        <v>5.94</v>
      </c>
      <c r="O32" s="195">
        <f>E32+G32+I32+K32+M32</f>
        <v>201.45000000000002</v>
      </c>
      <c r="P32" s="196">
        <f>N32+L32+J32+H32+F32</f>
        <v>64.36</v>
      </c>
      <c r="Q32" s="103">
        <v>23.28</v>
      </c>
      <c r="R32" s="103">
        <v>31.48</v>
      </c>
      <c r="S32" s="103">
        <v>75.74</v>
      </c>
      <c r="T32" s="103">
        <v>52.44</v>
      </c>
      <c r="U32" s="103">
        <v>18.63</v>
      </c>
      <c r="V32" s="84">
        <f>SUM(Q32:U32)</f>
        <v>201.57</v>
      </c>
      <c r="W32" s="105">
        <f>D32+P32+V32</f>
        <v>1116.8349999999998</v>
      </c>
      <c r="X32" s="105"/>
      <c r="Y32" s="24">
        <f t="shared" si="20"/>
        <v>77.46</v>
      </c>
      <c r="Z32" s="24">
        <f t="shared" si="21"/>
        <v>25.82</v>
      </c>
      <c r="AA32" s="24">
        <f t="shared" si="22"/>
        <v>129.1</v>
      </c>
      <c r="AB32" s="24">
        <v>0</v>
      </c>
      <c r="AC32" s="24">
        <f>0.98*B32</f>
        <v>126.51799999999999</v>
      </c>
      <c r="AD32" s="24">
        <v>0</v>
      </c>
      <c r="AE32" s="24">
        <f t="shared" si="23"/>
        <v>290.47499999999997</v>
      </c>
      <c r="AF32" s="24">
        <v>0</v>
      </c>
      <c r="AG32" s="24"/>
      <c r="AH32" s="24"/>
      <c r="AI32" s="106"/>
      <c r="AJ32" s="106"/>
      <c r="AK32" s="69"/>
      <c r="AL32" s="69"/>
      <c r="AM32" s="69"/>
      <c r="AN32" s="108">
        <v>383</v>
      </c>
      <c r="AO32" s="109">
        <v>0</v>
      </c>
      <c r="AP32" s="24">
        <f>AN32*AO32*1.4</f>
        <v>0</v>
      </c>
      <c r="AQ32" s="110"/>
      <c r="AR32" s="110">
        <f>AQ32*0.18</f>
        <v>0</v>
      </c>
      <c r="AS32" s="110">
        <f>SUM(Y32:AR32)-AN32-AO32</f>
        <v>649.373</v>
      </c>
      <c r="AT32" s="111"/>
      <c r="AU32" s="148">
        <f>AS32-(X32-AT32)</f>
        <v>649.373</v>
      </c>
      <c r="AV32" s="149">
        <f t="shared" si="24"/>
        <v>467.46199999999976</v>
      </c>
      <c r="AW32" s="150">
        <f>V32-O32</f>
        <v>0.11999999999997613</v>
      </c>
    </row>
    <row r="33" spans="1:49" ht="13.5" hidden="1" thickBot="1">
      <c r="A33" s="129" t="s">
        <v>40</v>
      </c>
      <c r="B33" s="211">
        <v>129.1</v>
      </c>
      <c r="C33" s="197">
        <f t="shared" si="19"/>
        <v>1116.715</v>
      </c>
      <c r="D33" s="212">
        <f>C33*0.1</f>
        <v>111.6715</v>
      </c>
      <c r="E33" s="87">
        <v>23.27</v>
      </c>
      <c r="F33" s="87">
        <v>7.43</v>
      </c>
      <c r="G33" s="87">
        <v>31.46</v>
      </c>
      <c r="H33" s="87">
        <v>10.07</v>
      </c>
      <c r="I33" s="87">
        <v>75.69</v>
      </c>
      <c r="J33" s="87">
        <v>24.17</v>
      </c>
      <c r="K33" s="87">
        <v>52.41</v>
      </c>
      <c r="L33" s="87">
        <v>16.75</v>
      </c>
      <c r="M33" s="87">
        <v>18.62</v>
      </c>
      <c r="N33" s="88">
        <v>5.94</v>
      </c>
      <c r="O33" s="195">
        <f aca="true" t="shared" si="25" ref="O33:O41">E33+G33+I33+K33+M33</f>
        <v>201.45000000000002</v>
      </c>
      <c r="P33" s="196">
        <f aca="true" t="shared" si="26" ref="P33:P41">N33+L33+J33+H33+F33</f>
        <v>64.36</v>
      </c>
      <c r="Q33" s="103">
        <v>23.09</v>
      </c>
      <c r="R33" s="103">
        <v>31.22</v>
      </c>
      <c r="S33" s="103">
        <v>75.1</v>
      </c>
      <c r="T33" s="103">
        <v>52</v>
      </c>
      <c r="U33" s="103">
        <v>18.47</v>
      </c>
      <c r="V33" s="84">
        <f aca="true" t="shared" si="27" ref="V33:V41">SUM(Q33:U33)</f>
        <v>199.88</v>
      </c>
      <c r="W33" s="105">
        <f aca="true" t="shared" si="28" ref="W33:W41">D33+P33+V33</f>
        <v>375.9115</v>
      </c>
      <c r="X33" s="105"/>
      <c r="Y33" s="24">
        <f t="shared" si="20"/>
        <v>77.46</v>
      </c>
      <c r="Z33" s="24">
        <f t="shared" si="21"/>
        <v>25.82</v>
      </c>
      <c r="AA33" s="24">
        <f t="shared" si="22"/>
        <v>129.1</v>
      </c>
      <c r="AB33" s="24">
        <v>0</v>
      </c>
      <c r="AC33" s="24">
        <f aca="true" t="shared" si="29" ref="AC33:AC41">(0.98*B33)</f>
        <v>126.51799999999999</v>
      </c>
      <c r="AD33" s="24">
        <v>0</v>
      </c>
      <c r="AE33" s="24">
        <f t="shared" si="23"/>
        <v>290.47499999999997</v>
      </c>
      <c r="AF33" s="24">
        <v>0</v>
      </c>
      <c r="AG33" s="24"/>
      <c r="AH33" s="24"/>
      <c r="AI33" s="106"/>
      <c r="AJ33" s="106"/>
      <c r="AK33" s="69"/>
      <c r="AL33" s="69"/>
      <c r="AM33" s="69"/>
      <c r="AN33" s="108">
        <v>307</v>
      </c>
      <c r="AO33" s="109">
        <v>0</v>
      </c>
      <c r="AP33" s="24">
        <f>AN33*AO33*1.4</f>
        <v>0</v>
      </c>
      <c r="AQ33" s="110"/>
      <c r="AR33" s="110">
        <f aca="true" t="shared" si="30" ref="AR33:AR41">AQ33*0.18</f>
        <v>0</v>
      </c>
      <c r="AS33" s="110">
        <f>SUM(Y33:AR33)-AN33-AO33</f>
        <v>649.3729999999999</v>
      </c>
      <c r="AT33" s="111"/>
      <c r="AU33" s="71">
        <f>AS33-(X33-AT33)</f>
        <v>649.3729999999999</v>
      </c>
      <c r="AV33" s="125">
        <f t="shared" si="24"/>
        <v>-273.46149999999994</v>
      </c>
      <c r="AW33" s="126">
        <f>V33-O33</f>
        <v>-1.5700000000000216</v>
      </c>
    </row>
    <row r="34" spans="1:49" ht="13.5" hidden="1" thickBot="1">
      <c r="A34" s="13" t="s">
        <v>41</v>
      </c>
      <c r="B34" s="84">
        <v>127.4</v>
      </c>
      <c r="C34" s="197">
        <f t="shared" si="19"/>
        <v>1102.01</v>
      </c>
      <c r="D34" s="212">
        <f>C34*0.1</f>
        <v>110.20100000000001</v>
      </c>
      <c r="E34" s="87">
        <v>22.42</v>
      </c>
      <c r="F34" s="87">
        <v>7.43</v>
      </c>
      <c r="G34" s="87">
        <v>30.31</v>
      </c>
      <c r="H34" s="87">
        <v>10.07</v>
      </c>
      <c r="I34" s="87">
        <v>72.93</v>
      </c>
      <c r="J34" s="87">
        <v>24.17</v>
      </c>
      <c r="K34" s="87">
        <v>50.5</v>
      </c>
      <c r="L34" s="87">
        <v>16.75</v>
      </c>
      <c r="M34" s="87">
        <v>17.94</v>
      </c>
      <c r="N34" s="88">
        <v>5.94</v>
      </c>
      <c r="O34" s="195">
        <f t="shared" si="25"/>
        <v>194.10000000000002</v>
      </c>
      <c r="P34" s="196">
        <f t="shared" si="26"/>
        <v>64.36</v>
      </c>
      <c r="Q34" s="103">
        <v>23.29</v>
      </c>
      <c r="R34" s="103">
        <v>31.47</v>
      </c>
      <c r="S34" s="103">
        <v>75.72</v>
      </c>
      <c r="T34" s="103">
        <v>52.44</v>
      </c>
      <c r="U34" s="103">
        <v>18.63</v>
      </c>
      <c r="V34" s="84">
        <f t="shared" si="27"/>
        <v>201.54999999999998</v>
      </c>
      <c r="W34" s="105">
        <f t="shared" si="28"/>
        <v>376.111</v>
      </c>
      <c r="X34" s="105"/>
      <c r="Y34" s="24">
        <f t="shared" si="20"/>
        <v>76.44</v>
      </c>
      <c r="Z34" s="24">
        <f t="shared" si="21"/>
        <v>25.480000000000004</v>
      </c>
      <c r="AA34" s="24">
        <f t="shared" si="22"/>
        <v>127.4</v>
      </c>
      <c r="AB34" s="24">
        <v>0</v>
      </c>
      <c r="AC34" s="24">
        <f t="shared" si="29"/>
        <v>124.852</v>
      </c>
      <c r="AD34" s="24">
        <v>0</v>
      </c>
      <c r="AE34" s="24">
        <f t="shared" si="23"/>
        <v>286.65000000000003</v>
      </c>
      <c r="AF34" s="24">
        <v>0</v>
      </c>
      <c r="AG34" s="24"/>
      <c r="AH34" s="24"/>
      <c r="AI34" s="106"/>
      <c r="AJ34" s="106"/>
      <c r="AK34" s="69"/>
      <c r="AL34" s="69"/>
      <c r="AM34" s="69"/>
      <c r="AN34" s="108">
        <v>263</v>
      </c>
      <c r="AO34" s="109">
        <v>0</v>
      </c>
      <c r="AP34" s="24">
        <f>AN34*AO34*1.4</f>
        <v>0</v>
      </c>
      <c r="AQ34" s="110"/>
      <c r="AR34" s="110">
        <f t="shared" si="30"/>
        <v>0</v>
      </c>
      <c r="AS34" s="110">
        <f>SUM(Y34:AR34)-AN34-AO34</f>
        <v>640.8220000000001</v>
      </c>
      <c r="AT34" s="111"/>
      <c r="AU34" s="71">
        <f aca="true" t="shared" si="31" ref="AU34:AU41">AS34-(X34-AT34)</f>
        <v>640.8220000000001</v>
      </c>
      <c r="AV34" s="125">
        <f t="shared" si="24"/>
        <v>-264.7110000000001</v>
      </c>
      <c r="AW34" s="126">
        <f aca="true" t="shared" si="32" ref="AW34:AW41">V34-O34</f>
        <v>7.44999999999996</v>
      </c>
    </row>
    <row r="35" spans="1:49" ht="13.5" hidden="1" thickBot="1">
      <c r="A35" s="127" t="s">
        <v>42</v>
      </c>
      <c r="B35" s="84">
        <v>127.4</v>
      </c>
      <c r="C35" s="197">
        <f t="shared" si="19"/>
        <v>1102.01</v>
      </c>
      <c r="D35" s="101">
        <f>(C35-E35-F35-G35-H35-I35-J35-K35-L35-M35-N35)*0.80125</f>
        <v>675.8944374999999</v>
      </c>
      <c r="E35" s="87">
        <v>22.42</v>
      </c>
      <c r="F35" s="87">
        <v>7.43</v>
      </c>
      <c r="G35" s="87">
        <v>30.31</v>
      </c>
      <c r="H35" s="87">
        <v>10.07</v>
      </c>
      <c r="I35" s="87">
        <v>72.93</v>
      </c>
      <c r="J35" s="87">
        <v>24.17</v>
      </c>
      <c r="K35" s="87">
        <v>50.5</v>
      </c>
      <c r="L35" s="87">
        <v>16.75</v>
      </c>
      <c r="M35" s="87">
        <v>17.94</v>
      </c>
      <c r="N35" s="88">
        <v>5.94</v>
      </c>
      <c r="O35" s="195">
        <f t="shared" si="25"/>
        <v>194.10000000000002</v>
      </c>
      <c r="P35" s="196">
        <f t="shared" si="26"/>
        <v>64.36</v>
      </c>
      <c r="Q35" s="103">
        <v>22.49</v>
      </c>
      <c r="R35" s="103">
        <v>30.42</v>
      </c>
      <c r="S35" s="103">
        <v>73.19</v>
      </c>
      <c r="T35" s="103">
        <v>50.68</v>
      </c>
      <c r="U35" s="103">
        <v>18</v>
      </c>
      <c r="V35" s="84">
        <f t="shared" si="27"/>
        <v>194.78</v>
      </c>
      <c r="W35" s="105">
        <f t="shared" si="28"/>
        <v>935.0344374999999</v>
      </c>
      <c r="X35" s="105"/>
      <c r="Y35" s="24">
        <f t="shared" si="20"/>
        <v>76.44</v>
      </c>
      <c r="Z35" s="24">
        <f t="shared" si="21"/>
        <v>25.480000000000004</v>
      </c>
      <c r="AA35" s="24">
        <f t="shared" si="22"/>
        <v>127.4</v>
      </c>
      <c r="AB35" s="24">
        <v>0</v>
      </c>
      <c r="AC35" s="24">
        <f t="shared" si="29"/>
        <v>124.852</v>
      </c>
      <c r="AD35" s="24">
        <v>0</v>
      </c>
      <c r="AE35" s="24">
        <f t="shared" si="23"/>
        <v>286.65000000000003</v>
      </c>
      <c r="AF35" s="24">
        <v>0</v>
      </c>
      <c r="AG35" s="24"/>
      <c r="AH35" s="24"/>
      <c r="AI35" s="106"/>
      <c r="AJ35" s="106"/>
      <c r="AK35" s="69"/>
      <c r="AL35" s="69"/>
      <c r="AM35" s="69"/>
      <c r="AN35" s="108">
        <v>233</v>
      </c>
      <c r="AO35" s="109">
        <v>0</v>
      </c>
      <c r="AP35" s="24">
        <f aca="true" t="shared" si="33" ref="AP35:AP41">AN35*AO35*1.4</f>
        <v>0</v>
      </c>
      <c r="AQ35" s="110"/>
      <c r="AR35" s="110">
        <f t="shared" si="30"/>
        <v>0</v>
      </c>
      <c r="AS35" s="110">
        <f aca="true" t="shared" si="34" ref="AS35:AS41">SUM(Y35:AM35)+AP35</f>
        <v>640.8220000000001</v>
      </c>
      <c r="AT35" s="111"/>
      <c r="AU35" s="148">
        <f t="shared" si="31"/>
        <v>640.8220000000001</v>
      </c>
      <c r="AV35" s="149">
        <f t="shared" si="24"/>
        <v>294.21243749999974</v>
      </c>
      <c r="AW35" s="150">
        <f t="shared" si="32"/>
        <v>0.6799999999999784</v>
      </c>
    </row>
    <row r="36" spans="1:49" ht="13.5" hidden="1" thickBot="1">
      <c r="A36" s="129" t="s">
        <v>43</v>
      </c>
      <c r="B36" s="151">
        <v>127.4</v>
      </c>
      <c r="C36" s="197">
        <f t="shared" si="19"/>
        <v>1102.01</v>
      </c>
      <c r="D36" s="101">
        <f>(C36-E36-F36-G36-H36-I36-J36-K36-L36-M36-N36)*0.805915</f>
        <v>679.82959825</v>
      </c>
      <c r="E36" s="87">
        <v>29.85</v>
      </c>
      <c r="F36" s="87">
        <v>0</v>
      </c>
      <c r="G36" s="87">
        <v>40.38</v>
      </c>
      <c r="H36" s="87">
        <v>0</v>
      </c>
      <c r="I36" s="87">
        <v>97.1</v>
      </c>
      <c r="J36" s="87">
        <v>0</v>
      </c>
      <c r="K36" s="87">
        <v>67.25</v>
      </c>
      <c r="L36" s="87">
        <v>0</v>
      </c>
      <c r="M36" s="87">
        <v>23.88</v>
      </c>
      <c r="N36" s="88">
        <v>0</v>
      </c>
      <c r="O36" s="195">
        <f t="shared" si="25"/>
        <v>258.46</v>
      </c>
      <c r="P36" s="196">
        <f t="shared" si="26"/>
        <v>0</v>
      </c>
      <c r="Q36" s="103">
        <v>22.49</v>
      </c>
      <c r="R36" s="103">
        <v>71.81</v>
      </c>
      <c r="S36" s="103">
        <v>73.17</v>
      </c>
      <c r="T36" s="103">
        <v>50.66</v>
      </c>
      <c r="U36" s="103">
        <v>18</v>
      </c>
      <c r="V36" s="84">
        <f t="shared" si="27"/>
        <v>236.13</v>
      </c>
      <c r="W36" s="105">
        <f t="shared" si="28"/>
        <v>915.95959825</v>
      </c>
      <c r="X36" s="105"/>
      <c r="Y36" s="24">
        <f t="shared" si="20"/>
        <v>76.44</v>
      </c>
      <c r="Z36" s="24">
        <f t="shared" si="21"/>
        <v>25.480000000000004</v>
      </c>
      <c r="AA36" s="24">
        <f t="shared" si="22"/>
        <v>127.4</v>
      </c>
      <c r="AB36" s="24">
        <v>0</v>
      </c>
      <c r="AC36" s="24">
        <f t="shared" si="29"/>
        <v>124.852</v>
      </c>
      <c r="AD36" s="24">
        <v>0</v>
      </c>
      <c r="AE36" s="24">
        <f t="shared" si="23"/>
        <v>286.65000000000003</v>
      </c>
      <c r="AF36" s="24">
        <v>0</v>
      </c>
      <c r="AG36" s="24"/>
      <c r="AH36" s="24"/>
      <c r="AI36" s="106"/>
      <c r="AJ36" s="106"/>
      <c r="AK36" s="69">
        <v>1071</v>
      </c>
      <c r="AL36" s="69"/>
      <c r="AM36" s="69"/>
      <c r="AN36" s="108">
        <v>248</v>
      </c>
      <c r="AO36" s="109">
        <v>0</v>
      </c>
      <c r="AP36" s="24">
        <f t="shared" si="33"/>
        <v>0</v>
      </c>
      <c r="AQ36" s="110"/>
      <c r="AR36" s="110">
        <f t="shared" si="30"/>
        <v>0</v>
      </c>
      <c r="AS36" s="110">
        <f t="shared" si="34"/>
        <v>1711.8220000000001</v>
      </c>
      <c r="AT36" s="111"/>
      <c r="AU36" s="152">
        <f t="shared" si="31"/>
        <v>1711.8220000000001</v>
      </c>
      <c r="AV36" s="153">
        <f t="shared" si="24"/>
        <v>-795.8624017500001</v>
      </c>
      <c r="AW36" s="154">
        <f t="shared" si="32"/>
        <v>-22.329999999999984</v>
      </c>
    </row>
    <row r="37" spans="1:49" ht="13.5" hidden="1" thickBot="1">
      <c r="A37" s="13" t="s">
        <v>44</v>
      </c>
      <c r="B37" s="84">
        <v>127.4</v>
      </c>
      <c r="C37" s="197">
        <f t="shared" si="19"/>
        <v>1102.01</v>
      </c>
      <c r="D37" s="101">
        <f>(C37-E37-F37-G37-H37-I37-J37-K37-L37-M37-N37)*0.857717</f>
        <v>723.5271753499999</v>
      </c>
      <c r="E37" s="87">
        <v>29.85</v>
      </c>
      <c r="F37" s="87">
        <v>0</v>
      </c>
      <c r="G37" s="87">
        <v>40.38</v>
      </c>
      <c r="H37" s="87">
        <v>0</v>
      </c>
      <c r="I37" s="87">
        <v>97.1</v>
      </c>
      <c r="J37" s="87">
        <v>0</v>
      </c>
      <c r="K37" s="87">
        <v>67.25</v>
      </c>
      <c r="L37" s="87">
        <v>0</v>
      </c>
      <c r="M37" s="87">
        <v>23.88</v>
      </c>
      <c r="N37" s="88">
        <v>0</v>
      </c>
      <c r="O37" s="195">
        <f t="shared" si="25"/>
        <v>258.46</v>
      </c>
      <c r="P37" s="196">
        <f t="shared" si="26"/>
        <v>0</v>
      </c>
      <c r="Q37" s="103">
        <v>29.85</v>
      </c>
      <c r="R37" s="103">
        <v>40.37</v>
      </c>
      <c r="S37" s="103">
        <v>97.09</v>
      </c>
      <c r="T37" s="103">
        <v>67.24</v>
      </c>
      <c r="U37" s="103">
        <v>23.88</v>
      </c>
      <c r="V37" s="84">
        <f t="shared" si="27"/>
        <v>258.43</v>
      </c>
      <c r="W37" s="105">
        <f t="shared" si="28"/>
        <v>981.9571753499999</v>
      </c>
      <c r="X37" s="105"/>
      <c r="Y37" s="24">
        <f t="shared" si="20"/>
        <v>76.44</v>
      </c>
      <c r="Z37" s="24">
        <f t="shared" si="21"/>
        <v>25.480000000000004</v>
      </c>
      <c r="AA37" s="24">
        <f t="shared" si="22"/>
        <v>127.4</v>
      </c>
      <c r="AB37" s="24">
        <v>0</v>
      </c>
      <c r="AC37" s="24">
        <f t="shared" si="29"/>
        <v>124.852</v>
      </c>
      <c r="AD37" s="24">
        <v>0</v>
      </c>
      <c r="AE37" s="24">
        <f t="shared" si="23"/>
        <v>286.65000000000003</v>
      </c>
      <c r="AF37" s="24">
        <v>0</v>
      </c>
      <c r="AG37" s="24"/>
      <c r="AH37" s="24"/>
      <c r="AI37" s="106"/>
      <c r="AJ37" s="106"/>
      <c r="AK37" s="69"/>
      <c r="AL37" s="69">
        <f>47.8</f>
        <v>47.8</v>
      </c>
      <c r="AM37" s="69"/>
      <c r="AN37" s="108">
        <v>293</v>
      </c>
      <c r="AO37" s="109">
        <v>0</v>
      </c>
      <c r="AP37" s="24">
        <f t="shared" si="33"/>
        <v>0</v>
      </c>
      <c r="AQ37" s="110"/>
      <c r="AR37" s="110">
        <f t="shared" si="30"/>
        <v>0</v>
      </c>
      <c r="AS37" s="110">
        <f t="shared" si="34"/>
        <v>688.6220000000001</v>
      </c>
      <c r="AT37" s="111"/>
      <c r="AU37" s="71">
        <f t="shared" si="31"/>
        <v>688.6220000000001</v>
      </c>
      <c r="AV37" s="125">
        <f t="shared" si="24"/>
        <v>293.3351753499999</v>
      </c>
      <c r="AW37" s="126">
        <f t="shared" si="32"/>
        <v>-0.029999999999972715</v>
      </c>
    </row>
    <row r="38" spans="1:49" ht="13.5" hidden="1" thickBot="1">
      <c r="A38" s="127" t="s">
        <v>45</v>
      </c>
      <c r="B38" s="84">
        <v>127.4</v>
      </c>
      <c r="C38" s="197">
        <f t="shared" si="19"/>
        <v>1102.01</v>
      </c>
      <c r="D38" s="101">
        <f>(C38-E38-F38-G38-H38-I38-J38-K38-L38-M38-N38)*0.87553</f>
        <v>738.5533315</v>
      </c>
      <c r="E38" s="87">
        <v>29.85</v>
      </c>
      <c r="F38" s="87">
        <v>0</v>
      </c>
      <c r="G38" s="87">
        <v>40.38</v>
      </c>
      <c r="H38" s="87">
        <v>0</v>
      </c>
      <c r="I38" s="87">
        <v>97.1</v>
      </c>
      <c r="J38" s="87">
        <v>0</v>
      </c>
      <c r="K38" s="87">
        <v>67.25</v>
      </c>
      <c r="L38" s="87">
        <v>0</v>
      </c>
      <c r="M38" s="87">
        <v>23.88</v>
      </c>
      <c r="N38" s="88">
        <v>0</v>
      </c>
      <c r="O38" s="195">
        <f t="shared" si="25"/>
        <v>258.46</v>
      </c>
      <c r="P38" s="196">
        <f t="shared" si="26"/>
        <v>0</v>
      </c>
      <c r="Q38" s="103">
        <v>29.84</v>
      </c>
      <c r="R38" s="103">
        <v>40.38</v>
      </c>
      <c r="S38" s="103">
        <v>97.09</v>
      </c>
      <c r="T38" s="103">
        <v>67.25</v>
      </c>
      <c r="U38" s="103">
        <v>23.88</v>
      </c>
      <c r="V38" s="84">
        <f t="shared" si="27"/>
        <v>258.44</v>
      </c>
      <c r="W38" s="105">
        <f t="shared" si="28"/>
        <v>996.9933315000001</v>
      </c>
      <c r="X38" s="105"/>
      <c r="Y38" s="24">
        <f t="shared" si="20"/>
        <v>76.44</v>
      </c>
      <c r="Z38" s="24">
        <f t="shared" si="21"/>
        <v>25.480000000000004</v>
      </c>
      <c r="AA38" s="24">
        <f t="shared" si="22"/>
        <v>127.4</v>
      </c>
      <c r="AB38" s="24">
        <v>0</v>
      </c>
      <c r="AC38" s="24">
        <f t="shared" si="29"/>
        <v>124.852</v>
      </c>
      <c r="AD38" s="24">
        <v>0</v>
      </c>
      <c r="AE38" s="24">
        <f t="shared" si="23"/>
        <v>286.65000000000003</v>
      </c>
      <c r="AF38" s="24">
        <v>0</v>
      </c>
      <c r="AG38" s="24"/>
      <c r="AH38" s="24"/>
      <c r="AI38" s="106"/>
      <c r="AJ38" s="106"/>
      <c r="AK38" s="69"/>
      <c r="AL38" s="69"/>
      <c r="AM38" s="69"/>
      <c r="AN38" s="108">
        <v>349</v>
      </c>
      <c r="AO38" s="109">
        <v>0</v>
      </c>
      <c r="AP38" s="24">
        <f t="shared" si="33"/>
        <v>0</v>
      </c>
      <c r="AQ38" s="110"/>
      <c r="AR38" s="110">
        <f t="shared" si="30"/>
        <v>0</v>
      </c>
      <c r="AS38" s="110">
        <f t="shared" si="34"/>
        <v>640.8220000000001</v>
      </c>
      <c r="AT38" s="111"/>
      <c r="AU38" s="148">
        <f t="shared" si="31"/>
        <v>640.8220000000001</v>
      </c>
      <c r="AV38" s="149">
        <f t="shared" si="24"/>
        <v>356.17133149999995</v>
      </c>
      <c r="AW38" s="150">
        <f t="shared" si="32"/>
        <v>-0.01999999999998181</v>
      </c>
    </row>
    <row r="39" spans="1:49" ht="13.5" hidden="1" thickBot="1">
      <c r="A39" s="129" t="s">
        <v>33</v>
      </c>
      <c r="B39" s="84">
        <v>127.4</v>
      </c>
      <c r="C39" s="197">
        <f t="shared" si="19"/>
        <v>1102.01</v>
      </c>
      <c r="D39" s="101">
        <f>(C39-E39-F39-G39-H39-I39-J39-K39-L39-M39-N39)*0.811308</f>
        <v>684.3788634</v>
      </c>
      <c r="E39" s="87">
        <v>29.85</v>
      </c>
      <c r="F39" s="87">
        <v>0</v>
      </c>
      <c r="G39" s="87">
        <v>40.38</v>
      </c>
      <c r="H39" s="87">
        <v>0</v>
      </c>
      <c r="I39" s="87">
        <v>97.1</v>
      </c>
      <c r="J39" s="87">
        <v>0</v>
      </c>
      <c r="K39" s="87">
        <v>67.25</v>
      </c>
      <c r="L39" s="87">
        <v>0</v>
      </c>
      <c r="M39" s="87">
        <v>23.88</v>
      </c>
      <c r="N39" s="88">
        <v>0</v>
      </c>
      <c r="O39" s="195">
        <f t="shared" si="25"/>
        <v>258.46</v>
      </c>
      <c r="P39" s="196">
        <f t="shared" si="26"/>
        <v>0</v>
      </c>
      <c r="Q39" s="103">
        <v>29.86</v>
      </c>
      <c r="R39" s="103">
        <v>40.37</v>
      </c>
      <c r="S39" s="103">
        <v>97.09</v>
      </c>
      <c r="T39" s="103">
        <v>67.24</v>
      </c>
      <c r="U39" s="103">
        <v>23.87</v>
      </c>
      <c r="V39" s="84">
        <f t="shared" si="27"/>
        <v>258.43</v>
      </c>
      <c r="W39" s="105">
        <f t="shared" si="28"/>
        <v>942.8088634000001</v>
      </c>
      <c r="X39" s="105"/>
      <c r="Y39" s="24">
        <f t="shared" si="20"/>
        <v>76.44</v>
      </c>
      <c r="Z39" s="24">
        <f t="shared" si="21"/>
        <v>25.480000000000004</v>
      </c>
      <c r="AA39" s="24">
        <f t="shared" si="22"/>
        <v>127.4</v>
      </c>
      <c r="AB39" s="24">
        <v>0</v>
      </c>
      <c r="AC39" s="24">
        <f t="shared" si="29"/>
        <v>124.852</v>
      </c>
      <c r="AD39" s="24">
        <v>0</v>
      </c>
      <c r="AE39" s="24">
        <f t="shared" si="23"/>
        <v>286.65000000000003</v>
      </c>
      <c r="AF39" s="24">
        <v>0</v>
      </c>
      <c r="AG39" s="24"/>
      <c r="AH39" s="24"/>
      <c r="AI39" s="106"/>
      <c r="AJ39" s="106"/>
      <c r="AK39" s="69"/>
      <c r="AL39" s="69"/>
      <c r="AM39" s="69"/>
      <c r="AN39" s="108">
        <v>425</v>
      </c>
      <c r="AO39" s="109">
        <v>0</v>
      </c>
      <c r="AP39" s="24">
        <f t="shared" si="33"/>
        <v>0</v>
      </c>
      <c r="AQ39" s="110"/>
      <c r="AR39" s="110">
        <f t="shared" si="30"/>
        <v>0</v>
      </c>
      <c r="AS39" s="110">
        <f t="shared" si="34"/>
        <v>640.8220000000001</v>
      </c>
      <c r="AT39" s="111"/>
      <c r="AU39" s="52">
        <f t="shared" si="31"/>
        <v>640.8220000000001</v>
      </c>
      <c r="AV39" s="155">
        <f>(W39-AS39)+(X39-AT39)</f>
        <v>301.98686339999995</v>
      </c>
      <c r="AW39" s="156">
        <f t="shared" si="32"/>
        <v>-0.029999999999972715</v>
      </c>
    </row>
    <row r="40" spans="1:49" ht="13.5" hidden="1" thickBot="1">
      <c r="A40" s="13" t="s">
        <v>34</v>
      </c>
      <c r="B40" s="84">
        <v>127.4</v>
      </c>
      <c r="C40" s="197">
        <f t="shared" si="19"/>
        <v>1102.01</v>
      </c>
      <c r="D40" s="101">
        <f>(C40-E40-F40-G40-H40-I40-J40-K40-L40-M40-N40)*0.870679</f>
        <v>734.4612704499999</v>
      </c>
      <c r="E40" s="87">
        <v>29.85</v>
      </c>
      <c r="F40" s="87">
        <v>0</v>
      </c>
      <c r="G40" s="87">
        <v>40.38</v>
      </c>
      <c r="H40" s="87">
        <v>0</v>
      </c>
      <c r="I40" s="87">
        <v>97.1</v>
      </c>
      <c r="J40" s="87">
        <v>0</v>
      </c>
      <c r="K40" s="87">
        <v>67.25</v>
      </c>
      <c r="L40" s="87">
        <v>0</v>
      </c>
      <c r="M40" s="87">
        <v>23.88</v>
      </c>
      <c r="N40" s="88">
        <v>0</v>
      </c>
      <c r="O40" s="195">
        <f t="shared" si="25"/>
        <v>258.46</v>
      </c>
      <c r="P40" s="196">
        <f t="shared" si="26"/>
        <v>0</v>
      </c>
      <c r="Q40" s="103">
        <v>29.85</v>
      </c>
      <c r="R40" s="103">
        <v>40.41</v>
      </c>
      <c r="S40" s="103">
        <v>97.15</v>
      </c>
      <c r="T40" s="103">
        <v>67.29</v>
      </c>
      <c r="U40" s="103">
        <v>23.9</v>
      </c>
      <c r="V40" s="84">
        <f t="shared" si="27"/>
        <v>258.59999999999997</v>
      </c>
      <c r="W40" s="105">
        <f t="shared" si="28"/>
        <v>993.0612704499999</v>
      </c>
      <c r="X40" s="105"/>
      <c r="Y40" s="24">
        <f t="shared" si="20"/>
        <v>76.44</v>
      </c>
      <c r="Z40" s="24">
        <f t="shared" si="21"/>
        <v>25.480000000000004</v>
      </c>
      <c r="AA40" s="24">
        <f t="shared" si="22"/>
        <v>127.4</v>
      </c>
      <c r="AB40" s="24">
        <v>0</v>
      </c>
      <c r="AC40" s="24">
        <f t="shared" si="29"/>
        <v>124.852</v>
      </c>
      <c r="AD40" s="24">
        <v>0</v>
      </c>
      <c r="AE40" s="24">
        <f t="shared" si="23"/>
        <v>286.65000000000003</v>
      </c>
      <c r="AF40" s="24">
        <v>0</v>
      </c>
      <c r="AG40" s="24"/>
      <c r="AH40" s="24"/>
      <c r="AI40" s="106"/>
      <c r="AJ40" s="106"/>
      <c r="AK40" s="69"/>
      <c r="AL40" s="69"/>
      <c r="AM40" s="69"/>
      <c r="AN40" s="108">
        <v>470</v>
      </c>
      <c r="AO40" s="109">
        <v>0</v>
      </c>
      <c r="AP40" s="24">
        <f t="shared" si="33"/>
        <v>0</v>
      </c>
      <c r="AQ40" s="110"/>
      <c r="AR40" s="110">
        <f t="shared" si="30"/>
        <v>0</v>
      </c>
      <c r="AS40" s="110">
        <f t="shared" si="34"/>
        <v>640.8220000000001</v>
      </c>
      <c r="AT40" s="111"/>
      <c r="AU40" s="16">
        <f t="shared" si="31"/>
        <v>640.8220000000001</v>
      </c>
      <c r="AV40" s="157">
        <f>(W40-AS40)+(X40-AT40)</f>
        <v>352.2392704499998</v>
      </c>
      <c r="AW40" s="158">
        <f t="shared" si="32"/>
        <v>0.13999999999998636</v>
      </c>
    </row>
    <row r="41" spans="1:49" s="100" customFormat="1" ht="12.75" hidden="1">
      <c r="A41" s="83" t="s">
        <v>35</v>
      </c>
      <c r="B41" s="84">
        <v>127.4</v>
      </c>
      <c r="C41" s="197">
        <f t="shared" si="19"/>
        <v>1102.01</v>
      </c>
      <c r="D41" s="101">
        <f>(C41-E41-F41-G41-H41-I41-J41-K41-L41-M41-N41)*0.91496</f>
        <v>771.8145079999999</v>
      </c>
      <c r="E41" s="87">
        <v>29.85</v>
      </c>
      <c r="F41" s="87">
        <v>0</v>
      </c>
      <c r="G41" s="87">
        <v>40.38</v>
      </c>
      <c r="H41" s="87">
        <v>0</v>
      </c>
      <c r="I41" s="87">
        <v>97.1</v>
      </c>
      <c r="J41" s="87">
        <v>0</v>
      </c>
      <c r="K41" s="87">
        <v>67.25</v>
      </c>
      <c r="L41" s="87">
        <v>0</v>
      </c>
      <c r="M41" s="87">
        <v>23.88</v>
      </c>
      <c r="N41" s="88">
        <v>0</v>
      </c>
      <c r="O41" s="195">
        <f t="shared" si="25"/>
        <v>258.46</v>
      </c>
      <c r="P41" s="196">
        <f t="shared" si="26"/>
        <v>0</v>
      </c>
      <c r="Q41" s="103">
        <v>26.87</v>
      </c>
      <c r="R41" s="103">
        <v>36.32</v>
      </c>
      <c r="S41" s="103">
        <v>87.36</v>
      </c>
      <c r="T41" s="103">
        <v>60.5</v>
      </c>
      <c r="U41" s="103">
        <v>21.48</v>
      </c>
      <c r="V41" s="84">
        <f t="shared" si="27"/>
        <v>232.53</v>
      </c>
      <c r="W41" s="105">
        <f t="shared" si="28"/>
        <v>1004.3445079999999</v>
      </c>
      <c r="X41" s="105"/>
      <c r="Y41" s="24">
        <f t="shared" si="20"/>
        <v>76.44</v>
      </c>
      <c r="Z41" s="24">
        <f t="shared" si="21"/>
        <v>25.480000000000004</v>
      </c>
      <c r="AA41" s="24">
        <f t="shared" si="22"/>
        <v>127.4</v>
      </c>
      <c r="AB41" s="24">
        <v>0</v>
      </c>
      <c r="AC41" s="24">
        <f t="shared" si="29"/>
        <v>124.852</v>
      </c>
      <c r="AD41" s="24">
        <v>0</v>
      </c>
      <c r="AE41" s="24">
        <f t="shared" si="23"/>
        <v>286.65000000000003</v>
      </c>
      <c r="AF41" s="24">
        <v>0</v>
      </c>
      <c r="AG41" s="24"/>
      <c r="AH41" s="24"/>
      <c r="AI41" s="106"/>
      <c r="AJ41" s="106"/>
      <c r="AK41" s="69"/>
      <c r="AL41" s="69"/>
      <c r="AM41" s="69"/>
      <c r="AN41" s="108">
        <v>514</v>
      </c>
      <c r="AO41" s="109">
        <v>0</v>
      </c>
      <c r="AP41" s="24">
        <f t="shared" si="33"/>
        <v>0</v>
      </c>
      <c r="AQ41" s="110"/>
      <c r="AR41" s="110">
        <f t="shared" si="30"/>
        <v>0</v>
      </c>
      <c r="AS41" s="110">
        <f t="shared" si="34"/>
        <v>640.8220000000001</v>
      </c>
      <c r="AT41" s="111"/>
      <c r="AU41" s="16">
        <f t="shared" si="31"/>
        <v>640.8220000000001</v>
      </c>
      <c r="AV41" s="159">
        <f>(W41-AS41)+(X41-AT41)</f>
        <v>363.5225079999998</v>
      </c>
      <c r="AW41" s="158">
        <f t="shared" si="32"/>
        <v>-25.92999999999998</v>
      </c>
    </row>
    <row r="42" spans="1:49" s="23" customFormat="1" ht="12.75" hidden="1">
      <c r="A42" s="18" t="s">
        <v>3</v>
      </c>
      <c r="B42" s="19"/>
      <c r="C42" s="19">
        <f aca="true" t="shared" si="35" ref="C42:AW42">SUM(C30:C41)</f>
        <v>13282.94</v>
      </c>
      <c r="D42" s="19">
        <f t="shared" si="35"/>
        <v>7783.046684450001</v>
      </c>
      <c r="E42" s="19">
        <f t="shared" si="35"/>
        <v>317.02000000000004</v>
      </c>
      <c r="F42" s="19">
        <f t="shared" si="35"/>
        <v>44.58</v>
      </c>
      <c r="G42" s="19">
        <f t="shared" si="35"/>
        <v>428.74</v>
      </c>
      <c r="H42" s="19">
        <f t="shared" si="35"/>
        <v>60.42</v>
      </c>
      <c r="I42" s="19">
        <f t="shared" si="35"/>
        <v>1031.22</v>
      </c>
      <c r="J42" s="19">
        <f t="shared" si="35"/>
        <v>145.02</v>
      </c>
      <c r="K42" s="19">
        <f t="shared" si="35"/>
        <v>714.14</v>
      </c>
      <c r="L42" s="19">
        <f t="shared" si="35"/>
        <v>100.5</v>
      </c>
      <c r="M42" s="19">
        <f t="shared" si="35"/>
        <v>253.64</v>
      </c>
      <c r="N42" s="19">
        <f t="shared" si="35"/>
        <v>35.64</v>
      </c>
      <c r="O42" s="19">
        <f t="shared" si="35"/>
        <v>2744.76</v>
      </c>
      <c r="P42" s="19">
        <f t="shared" si="35"/>
        <v>386.16</v>
      </c>
      <c r="Q42" s="19">
        <f t="shared" si="35"/>
        <v>307.44000000000005</v>
      </c>
      <c r="R42" s="19">
        <f t="shared" si="35"/>
        <v>457.15000000000003</v>
      </c>
      <c r="S42" s="19">
        <f t="shared" si="35"/>
        <v>1000.0400000000001</v>
      </c>
      <c r="T42" s="19">
        <f t="shared" si="35"/>
        <v>692.53</v>
      </c>
      <c r="U42" s="19">
        <f t="shared" si="35"/>
        <v>245.97999999999996</v>
      </c>
      <c r="V42" s="19">
        <f t="shared" si="35"/>
        <v>2703.1400000000003</v>
      </c>
      <c r="W42" s="19">
        <f t="shared" si="35"/>
        <v>10872.34668445</v>
      </c>
      <c r="X42" s="19">
        <f t="shared" si="35"/>
        <v>0</v>
      </c>
      <c r="Y42" s="19">
        <f t="shared" si="35"/>
        <v>921.3600000000001</v>
      </c>
      <c r="Z42" s="19">
        <f t="shared" si="35"/>
        <v>307.1200000000001</v>
      </c>
      <c r="AA42" s="19">
        <f t="shared" si="35"/>
        <v>1535.6000000000004</v>
      </c>
      <c r="AB42" s="19">
        <f t="shared" si="35"/>
        <v>0</v>
      </c>
      <c r="AC42" s="19">
        <f t="shared" si="35"/>
        <v>1504.8880000000001</v>
      </c>
      <c r="AD42" s="19">
        <f t="shared" si="35"/>
        <v>0</v>
      </c>
      <c r="AE42" s="19">
        <f t="shared" si="35"/>
        <v>3455.1000000000004</v>
      </c>
      <c r="AF42" s="19">
        <f t="shared" si="35"/>
        <v>0</v>
      </c>
      <c r="AG42" s="19">
        <f t="shared" si="35"/>
        <v>0</v>
      </c>
      <c r="AH42" s="19">
        <f t="shared" si="35"/>
        <v>0</v>
      </c>
      <c r="AI42" s="141">
        <f t="shared" si="35"/>
        <v>0</v>
      </c>
      <c r="AJ42" s="141">
        <f t="shared" si="35"/>
        <v>0</v>
      </c>
      <c r="AK42" s="20">
        <f t="shared" si="35"/>
        <v>3924.39</v>
      </c>
      <c r="AL42" s="20">
        <f t="shared" si="35"/>
        <v>47.8</v>
      </c>
      <c r="AM42" s="20">
        <f t="shared" si="35"/>
        <v>0</v>
      </c>
      <c r="AN42" s="19">
        <f t="shared" si="35"/>
        <v>4400</v>
      </c>
      <c r="AO42" s="19">
        <f t="shared" si="35"/>
        <v>0</v>
      </c>
      <c r="AP42" s="19">
        <f t="shared" si="35"/>
        <v>0</v>
      </c>
      <c r="AQ42" s="19">
        <f t="shared" si="35"/>
        <v>0</v>
      </c>
      <c r="AR42" s="19">
        <f t="shared" si="35"/>
        <v>0</v>
      </c>
      <c r="AS42" s="19">
        <f t="shared" si="35"/>
        <v>11696.258</v>
      </c>
      <c r="AT42" s="19">
        <f t="shared" si="35"/>
        <v>0</v>
      </c>
      <c r="AU42" s="19">
        <f t="shared" si="35"/>
        <v>11696.258</v>
      </c>
      <c r="AV42" s="19">
        <f t="shared" si="35"/>
        <v>-823.9113155500013</v>
      </c>
      <c r="AW42" s="142">
        <f t="shared" si="35"/>
        <v>-41.62000000000003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43"/>
      <c r="AJ43" s="143"/>
      <c r="AK43" s="66"/>
      <c r="AL43" s="66"/>
      <c r="AM43" s="66"/>
      <c r="AN43" s="22"/>
      <c r="AO43" s="22"/>
      <c r="AP43" s="144"/>
      <c r="AQ43" s="50"/>
      <c r="AR43" s="50"/>
      <c r="AS43" s="50"/>
      <c r="AT43" s="50"/>
      <c r="AU43" s="50"/>
      <c r="AV43" s="50"/>
      <c r="AW43" s="145"/>
    </row>
    <row r="44" spans="1:49" s="23" customFormat="1" ht="13.5" thickBot="1">
      <c r="A44" s="25" t="s">
        <v>46</v>
      </c>
      <c r="B44" s="26"/>
      <c r="C44" s="26">
        <f>C28+C42</f>
        <v>30033.665</v>
      </c>
      <c r="D44" s="26">
        <f aca="true" t="shared" si="36" ref="D44:AW44">D28+D42</f>
        <v>15678.655253100002</v>
      </c>
      <c r="E44" s="26">
        <f t="shared" si="36"/>
        <v>660.3300000000002</v>
      </c>
      <c r="F44" s="26">
        <f t="shared" si="36"/>
        <v>150.22</v>
      </c>
      <c r="G44" s="26">
        <f t="shared" si="36"/>
        <v>1411.0100000000002</v>
      </c>
      <c r="H44" s="26">
        <f t="shared" si="36"/>
        <v>203.34999999999997</v>
      </c>
      <c r="I44" s="26">
        <f t="shared" si="36"/>
        <v>2147.46</v>
      </c>
      <c r="J44" s="26">
        <f t="shared" si="36"/>
        <v>488.5300000000001</v>
      </c>
      <c r="K44" s="26">
        <f t="shared" si="36"/>
        <v>1486.9899999999998</v>
      </c>
      <c r="L44" s="26">
        <f t="shared" si="36"/>
        <v>338.45</v>
      </c>
      <c r="M44" s="26">
        <f t="shared" si="36"/>
        <v>528.32</v>
      </c>
      <c r="N44" s="26">
        <f t="shared" si="36"/>
        <v>120.12</v>
      </c>
      <c r="O44" s="26">
        <f t="shared" si="36"/>
        <v>6234.110000000001</v>
      </c>
      <c r="P44" s="26">
        <f t="shared" si="36"/>
        <v>1300.67</v>
      </c>
      <c r="Q44" s="26">
        <f t="shared" si="36"/>
        <v>627.32</v>
      </c>
      <c r="R44" s="26">
        <f t="shared" si="36"/>
        <v>889.3299999999999</v>
      </c>
      <c r="S44" s="26">
        <f t="shared" si="36"/>
        <v>2040.08</v>
      </c>
      <c r="T44" s="26">
        <f t="shared" si="36"/>
        <v>1412.62</v>
      </c>
      <c r="U44" s="26">
        <f t="shared" si="36"/>
        <v>501.90999999999997</v>
      </c>
      <c r="V44" s="26">
        <f t="shared" si="36"/>
        <v>5471.26</v>
      </c>
      <c r="W44" s="26">
        <f t="shared" si="36"/>
        <v>22450.5852531</v>
      </c>
      <c r="X44" s="26">
        <f t="shared" si="36"/>
        <v>0</v>
      </c>
      <c r="Y44" s="26">
        <f t="shared" si="36"/>
        <v>2052.2760000000003</v>
      </c>
      <c r="Z44" s="26">
        <f t="shared" si="36"/>
        <v>687.7338412000001</v>
      </c>
      <c r="AA44" s="26">
        <f t="shared" si="36"/>
        <v>3125.2980838</v>
      </c>
      <c r="AB44" s="26">
        <f t="shared" si="36"/>
        <v>286.14565508399994</v>
      </c>
      <c r="AC44" s="26">
        <f t="shared" si="36"/>
        <v>3044.43904018</v>
      </c>
      <c r="AD44" s="26">
        <f t="shared" si="36"/>
        <v>277.1191872324</v>
      </c>
      <c r="AE44" s="26">
        <f t="shared" si="36"/>
        <v>6856.623386510001</v>
      </c>
      <c r="AF44" s="26">
        <f t="shared" si="36"/>
        <v>612.2742095718</v>
      </c>
      <c r="AG44" s="26">
        <f t="shared" si="36"/>
        <v>0</v>
      </c>
      <c r="AH44" s="26">
        <f t="shared" si="36"/>
        <v>0</v>
      </c>
      <c r="AI44" s="146">
        <f t="shared" si="36"/>
        <v>0</v>
      </c>
      <c r="AJ44" s="146">
        <f t="shared" si="36"/>
        <v>0</v>
      </c>
      <c r="AK44" s="147">
        <f t="shared" si="36"/>
        <v>10224.699999999999</v>
      </c>
      <c r="AL44" s="147">
        <f t="shared" si="36"/>
        <v>47.8</v>
      </c>
      <c r="AM44" s="147">
        <f t="shared" si="36"/>
        <v>1134.0558</v>
      </c>
      <c r="AN44" s="26">
        <f t="shared" si="36"/>
        <v>8800</v>
      </c>
      <c r="AO44" s="26">
        <f t="shared" si="36"/>
        <v>0</v>
      </c>
      <c r="AP44" s="26">
        <f t="shared" si="36"/>
        <v>0</v>
      </c>
      <c r="AQ44" s="26">
        <f t="shared" si="36"/>
        <v>0</v>
      </c>
      <c r="AR44" s="26">
        <f t="shared" si="36"/>
        <v>0</v>
      </c>
      <c r="AS44" s="26">
        <f t="shared" si="36"/>
        <v>28348.4652035782</v>
      </c>
      <c r="AT44" s="26">
        <f t="shared" si="36"/>
        <v>0</v>
      </c>
      <c r="AU44" s="26">
        <f t="shared" si="36"/>
        <v>28158.119711684194</v>
      </c>
      <c r="AV44" s="26">
        <f t="shared" si="36"/>
        <v>-5897.879950478202</v>
      </c>
      <c r="AW44" s="26">
        <f t="shared" si="36"/>
        <v>-762.8500000000001</v>
      </c>
    </row>
  </sheetData>
  <sheetProtection/>
  <mergeCells count="56">
    <mergeCell ref="AW3:AW6"/>
    <mergeCell ref="AT4:AT6"/>
    <mergeCell ref="AU4:AU6"/>
    <mergeCell ref="AT3:AU3"/>
    <mergeCell ref="Y3:AS4"/>
    <mergeCell ref="AV3:AV6"/>
    <mergeCell ref="AN5:AP5"/>
    <mergeCell ref="AQ5:AQ6"/>
    <mergeCell ref="AR5:AR6"/>
    <mergeCell ref="AS5:AS6"/>
    <mergeCell ref="E3:F4"/>
    <mergeCell ref="G3:H4"/>
    <mergeCell ref="I3:J4"/>
    <mergeCell ref="K3:L4"/>
    <mergeCell ref="M3:N4"/>
    <mergeCell ref="X3:X6"/>
    <mergeCell ref="O3:P4"/>
    <mergeCell ref="Q3:V4"/>
    <mergeCell ref="S5:S6"/>
    <mergeCell ref="T5:T6"/>
    <mergeCell ref="AL5:AL6"/>
    <mergeCell ref="AC5:AC6"/>
    <mergeCell ref="AD5:AD6"/>
    <mergeCell ref="AJ5:AJ6"/>
    <mergeCell ref="AK5:AK6"/>
    <mergeCell ref="AI5:AI6"/>
    <mergeCell ref="AF5:AF6"/>
    <mergeCell ref="AE5:AE6"/>
    <mergeCell ref="U5:U6"/>
    <mergeCell ref="R5:R6"/>
    <mergeCell ref="V5:V6"/>
    <mergeCell ref="AG5:AG6"/>
    <mergeCell ref="AH5:AH6"/>
    <mergeCell ref="W3:W6"/>
    <mergeCell ref="Y5:Y6"/>
    <mergeCell ref="Z5:Z6"/>
    <mergeCell ref="AA5:AA6"/>
    <mergeCell ref="AB5:AB6"/>
    <mergeCell ref="G5:G6"/>
    <mergeCell ref="H5:H6"/>
    <mergeCell ref="P5:P6"/>
    <mergeCell ref="Q5:Q6"/>
    <mergeCell ref="J5:J6"/>
    <mergeCell ref="K5:K6"/>
    <mergeCell ref="L5:L6"/>
    <mergeCell ref="O5:O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PageLayoutView="0" workbookViewId="0" topLeftCell="A19">
      <selection activeCell="L43" sqref="L4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428" t="s">
        <v>64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429" t="s">
        <v>50</v>
      </c>
      <c r="B10" s="432" t="s">
        <v>0</v>
      </c>
      <c r="C10" s="435" t="s">
        <v>51</v>
      </c>
      <c r="D10" s="438" t="s">
        <v>2</v>
      </c>
      <c r="E10" s="378" t="s">
        <v>52</v>
      </c>
      <c r="F10" s="378"/>
      <c r="G10" s="424" t="s">
        <v>61</v>
      </c>
      <c r="H10" s="425"/>
      <c r="I10" s="406" t="s">
        <v>6</v>
      </c>
      <c r="J10" s="407"/>
      <c r="K10" s="407"/>
      <c r="L10" s="407"/>
      <c r="M10" s="407"/>
      <c r="N10" s="408"/>
      <c r="O10" s="412" t="s">
        <v>53</v>
      </c>
      <c r="P10" s="442" t="s">
        <v>79</v>
      </c>
    </row>
    <row r="11" spans="1:16" ht="12.75">
      <c r="A11" s="430"/>
      <c r="B11" s="433"/>
      <c r="C11" s="436"/>
      <c r="D11" s="439"/>
      <c r="E11" s="441"/>
      <c r="F11" s="441"/>
      <c r="G11" s="426"/>
      <c r="H11" s="427"/>
      <c r="I11" s="409"/>
      <c r="J11" s="410"/>
      <c r="K11" s="410"/>
      <c r="L11" s="410"/>
      <c r="M11" s="410"/>
      <c r="N11" s="411"/>
      <c r="O11" s="413"/>
      <c r="P11" s="443"/>
    </row>
    <row r="12" spans="1:16" ht="26.25" customHeight="1">
      <c r="A12" s="430"/>
      <c r="B12" s="433"/>
      <c r="C12" s="436"/>
      <c r="D12" s="439"/>
      <c r="E12" s="379" t="s">
        <v>54</v>
      </c>
      <c r="F12" s="379"/>
      <c r="G12" s="160" t="s">
        <v>55</v>
      </c>
      <c r="H12" s="404" t="s">
        <v>5</v>
      </c>
      <c r="I12" s="419" t="s">
        <v>56</v>
      </c>
      <c r="J12" s="415" t="s">
        <v>24</v>
      </c>
      <c r="K12" s="415" t="s">
        <v>57</v>
      </c>
      <c r="L12" s="415" t="s">
        <v>29</v>
      </c>
      <c r="M12" s="415" t="s">
        <v>58</v>
      </c>
      <c r="N12" s="417" t="s">
        <v>31</v>
      </c>
      <c r="O12" s="413"/>
      <c r="P12" s="443"/>
    </row>
    <row r="13" spans="1:16" ht="66.75" customHeight="1" thickBot="1">
      <c r="A13" s="431"/>
      <c r="B13" s="434"/>
      <c r="C13" s="437"/>
      <c r="D13" s="440"/>
      <c r="E13" s="161" t="s">
        <v>59</v>
      </c>
      <c r="F13" s="162" t="s">
        <v>15</v>
      </c>
      <c r="G13" s="77" t="s">
        <v>62</v>
      </c>
      <c r="H13" s="405"/>
      <c r="I13" s="420"/>
      <c r="J13" s="416"/>
      <c r="K13" s="416"/>
      <c r="L13" s="416"/>
      <c r="M13" s="416"/>
      <c r="N13" s="418"/>
      <c r="O13" s="414"/>
      <c r="P13" s="444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63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64">
        <v>14</v>
      </c>
      <c r="O14" s="36">
        <v>15</v>
      </c>
      <c r="P14" s="165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66"/>
      <c r="I15" s="37"/>
      <c r="J15" s="9"/>
      <c r="K15" s="9"/>
      <c r="L15" s="9"/>
      <c r="M15" s="9"/>
      <c r="N15" s="167"/>
      <c r="O15" s="38"/>
      <c r="P15" s="168"/>
    </row>
    <row r="16" spans="1:18" ht="12.75">
      <c r="A16" s="13" t="s">
        <v>33</v>
      </c>
      <c r="B16" s="14">
        <f>Лист1!B9</f>
        <v>129.1</v>
      </c>
      <c r="C16" s="169">
        <f>Лист1!C9</f>
        <v>1116.715</v>
      </c>
      <c r="D16" s="170">
        <f>Лист1!D9</f>
        <v>267.9943092</v>
      </c>
      <c r="E16" s="39">
        <f>Лист1!O9</f>
        <v>834.0500000000001</v>
      </c>
      <c r="F16" s="67">
        <f>Лист1!P9</f>
        <v>114.17999999999999</v>
      </c>
      <c r="G16" s="40">
        <f>Лист1!V9</f>
        <v>0</v>
      </c>
      <c r="H16" s="171">
        <f>Лист1!W9</f>
        <v>382.1743092</v>
      </c>
      <c r="I16" s="39">
        <f>Лист1!Y9</f>
        <v>77.46</v>
      </c>
      <c r="J16" s="16">
        <f>Лист1!AA9+Лист1!AB9</f>
        <v>129.1216888</v>
      </c>
      <c r="K16" s="16">
        <f>Лист1!Z9+Лист1!AC9+Лист1!AD9+Лист1!AE9+Лист1!AF9+Лист1!AG9+Лист1!AH9+Лист1!AI9+Лист1!AJ9</f>
        <v>367.27070949499995</v>
      </c>
      <c r="L16" s="17">
        <f>Лист1!AK9+Лист1!AL9+Лист1!AM9</f>
        <v>0</v>
      </c>
      <c r="M16" s="17">
        <f>Лист1!AP9</f>
        <v>0</v>
      </c>
      <c r="N16" s="172">
        <f>Лист1!AS9</f>
        <v>573.852398295</v>
      </c>
      <c r="O16" s="41">
        <f>Лист1!AV9</f>
        <v>-191.67808909499996</v>
      </c>
      <c r="P16" s="173">
        <f>Лист1!AW9</f>
        <v>-834.0500000000001</v>
      </c>
      <c r="Q16" s="1"/>
      <c r="R16" s="1"/>
    </row>
    <row r="17" spans="1:18" ht="12.75">
      <c r="A17" s="13" t="s">
        <v>34</v>
      </c>
      <c r="B17" s="14">
        <f>Лист1!B10</f>
        <v>129.1</v>
      </c>
      <c r="C17" s="169">
        <f>Лист1!C10</f>
        <v>1116.715</v>
      </c>
      <c r="D17" s="170">
        <f>Лист1!D10</f>
        <v>267.9943092</v>
      </c>
      <c r="E17" s="39">
        <f>Лист1!O10</f>
        <v>-0.01</v>
      </c>
      <c r="F17" s="67">
        <f>Лист1!P10</f>
        <v>0</v>
      </c>
      <c r="G17" s="40">
        <f>Лист1!V10</f>
        <v>385.4</v>
      </c>
      <c r="H17" s="171">
        <f>Лист1!W10</f>
        <v>653.3943092</v>
      </c>
      <c r="I17" s="39">
        <f>Лист1!Y10</f>
        <v>77.46</v>
      </c>
      <c r="J17" s="16">
        <f>Лист1!AA10+Лист1!AB10</f>
        <v>129.1216888</v>
      </c>
      <c r="K17" s="16">
        <f>Лист1!Z10+Лист1!AC10+Лист1!AD10+Лист1!AE10+Лист1!AF10+Лист1!AG10+Лист1!AH10+Лист1!AI10+Лист1!AJ10</f>
        <v>365.895536295</v>
      </c>
      <c r="L17" s="17">
        <f>Лист1!AK10+Лист1!AL10+Лист1!AM10</f>
        <v>589.41</v>
      </c>
      <c r="M17" s="17">
        <f>Лист1!AP10</f>
        <v>0</v>
      </c>
      <c r="N17" s="172">
        <f>Лист1!AS10</f>
        <v>1161.887225095</v>
      </c>
      <c r="O17" s="41">
        <f>Лист1!AV10</f>
        <v>-508.4929158950001</v>
      </c>
      <c r="P17" s="173">
        <f>Лист1!AW10</f>
        <v>385.40999999999997</v>
      </c>
      <c r="Q17" s="1"/>
      <c r="R17" s="1"/>
    </row>
    <row r="18" spans="1:18" ht="13.5" thickBot="1">
      <c r="A18" s="42" t="s">
        <v>35</v>
      </c>
      <c r="B18" s="14">
        <f>Лист1!B11</f>
        <v>129.1</v>
      </c>
      <c r="C18" s="169">
        <f>Лист1!C11</f>
        <v>1116.715</v>
      </c>
      <c r="D18" s="170">
        <f>Лист1!D11</f>
        <v>269.40245025</v>
      </c>
      <c r="E18" s="39">
        <f>Лист1!O11</f>
        <v>417.02000000000004</v>
      </c>
      <c r="F18" s="67">
        <f>Лист1!P11</f>
        <v>57.089999999999996</v>
      </c>
      <c r="G18" s="40">
        <f>Лист1!V11</f>
        <v>2.9699999999999998</v>
      </c>
      <c r="H18" s="171">
        <f>Лист1!W11</f>
        <v>329.46245025</v>
      </c>
      <c r="I18" s="39">
        <f>Лист1!Y11</f>
        <v>77.46</v>
      </c>
      <c r="J18" s="16">
        <f>Лист1!AA11+Лист1!AB11</f>
        <v>129.1216888</v>
      </c>
      <c r="K18" s="16">
        <f>Лист1!Z11+Лист1!AC11+Лист1!AD11+Лист1!AE11+Лист1!AF11+Лист1!AG11+Лист1!AH11+Лист1!AI11+Лист1!AJ11</f>
        <v>366.418133095</v>
      </c>
      <c r="L18" s="17">
        <f>Лист1!AK11+Лист1!AL11+Лист1!AM11</f>
        <v>0</v>
      </c>
      <c r="M18" s="17">
        <f>Лист1!AP11</f>
        <v>0</v>
      </c>
      <c r="N18" s="172">
        <f>Лист1!AS11</f>
        <v>572.9998218950001</v>
      </c>
      <c r="O18" s="41">
        <f>Лист1!AV11</f>
        <v>-243.53737164500006</v>
      </c>
      <c r="P18" s="173">
        <f>Лист1!AW11</f>
        <v>-414.05</v>
      </c>
      <c r="Q18" s="1"/>
      <c r="R18" s="1"/>
    </row>
    <row r="19" spans="1:18" s="23" customFormat="1" ht="13.5" thickBot="1">
      <c r="A19" s="43" t="s">
        <v>3</v>
      </c>
      <c r="B19" s="44"/>
      <c r="C19" s="182">
        <f aca="true" t="shared" si="0" ref="C19:O19">SUM(C16:C18)</f>
        <v>3350.1449999999995</v>
      </c>
      <c r="D19" s="182">
        <f t="shared" si="0"/>
        <v>805.39106865</v>
      </c>
      <c r="E19" s="182">
        <f t="shared" si="0"/>
        <v>1251.0600000000002</v>
      </c>
      <c r="F19" s="182">
        <f t="shared" si="0"/>
        <v>171.26999999999998</v>
      </c>
      <c r="G19" s="182">
        <f t="shared" si="0"/>
        <v>388.37</v>
      </c>
      <c r="H19" s="182">
        <f t="shared" si="0"/>
        <v>1365.03106865</v>
      </c>
      <c r="I19" s="182">
        <f t="shared" si="0"/>
        <v>232.38</v>
      </c>
      <c r="J19" s="182">
        <f t="shared" si="0"/>
        <v>387.36506639999993</v>
      </c>
      <c r="K19" s="182">
        <f t="shared" si="0"/>
        <v>1099.584378885</v>
      </c>
      <c r="L19" s="182">
        <f t="shared" si="0"/>
        <v>589.41</v>
      </c>
      <c r="M19" s="182">
        <f t="shared" si="0"/>
        <v>0</v>
      </c>
      <c r="N19" s="182">
        <f t="shared" si="0"/>
        <v>2308.739445285</v>
      </c>
      <c r="O19" s="182">
        <f t="shared" si="0"/>
        <v>-943.7083766350001</v>
      </c>
      <c r="P19" s="182">
        <f>SUM(P16:P18)</f>
        <v>-862.69</v>
      </c>
      <c r="Q19" s="50"/>
      <c r="R19" s="50"/>
    </row>
    <row r="20" spans="1:18" ht="12.75">
      <c r="A20" s="8" t="s">
        <v>36</v>
      </c>
      <c r="B20" s="62"/>
      <c r="C20" s="174"/>
      <c r="D20" s="175"/>
      <c r="E20" s="53"/>
      <c r="F20" s="176"/>
      <c r="G20" s="54"/>
      <c r="H20" s="177"/>
      <c r="I20" s="53"/>
      <c r="J20" s="51"/>
      <c r="K20" s="51"/>
      <c r="L20" s="63"/>
      <c r="M20" s="63"/>
      <c r="N20" s="178"/>
      <c r="O20" s="64"/>
      <c r="P20" s="179"/>
      <c r="Q20" s="1"/>
      <c r="R20" s="1"/>
    </row>
    <row r="21" spans="1:18" ht="12.75">
      <c r="A21" s="13" t="s">
        <v>37</v>
      </c>
      <c r="B21" s="14">
        <f>Лист1!B14</f>
        <v>129.1</v>
      </c>
      <c r="C21" s="169">
        <f>Лист1!C14</f>
        <v>1116.715</v>
      </c>
      <c r="D21" s="170">
        <f>Лист1!D14</f>
        <v>139.589375</v>
      </c>
      <c r="E21" s="39">
        <f>Лист1!O14</f>
        <v>417.02000000000004</v>
      </c>
      <c r="F21" s="67">
        <f>Лист1!P14</f>
        <v>57.089999999999996</v>
      </c>
      <c r="G21" s="40">
        <f>Лист1!V14</f>
        <v>192.73</v>
      </c>
      <c r="H21" s="171">
        <f>Лист1!W14</f>
        <v>389.40937499999995</v>
      </c>
      <c r="I21" s="39">
        <f>Лист1!Y14</f>
        <v>69.714</v>
      </c>
      <c r="J21" s="16">
        <f>Лист1!AA14+Лист1!AB14</f>
        <v>114.63395795999999</v>
      </c>
      <c r="K21" s="16">
        <f>Лист1!Z14+Лист1!AC14+Лист1!AD14+Лист1!AE14+Лист1!AF14+Лист1!AG14+Лист1!AH14+Лист1!AI14+Лист1!AJ14</f>
        <v>393.26259443999993</v>
      </c>
      <c r="L21" s="17">
        <f>Лист1!AK14+Лист1!AL14+Лист1!AM14</f>
        <v>637.2</v>
      </c>
      <c r="M21" s="17">
        <f>Лист1!AP14</f>
        <v>0</v>
      </c>
      <c r="N21" s="172">
        <f>Лист1!AS14</f>
        <v>1214.8105524</v>
      </c>
      <c r="O21" s="41">
        <f>Лист1!AV14</f>
        <v>-825.4011774</v>
      </c>
      <c r="P21" s="173">
        <f>Лист1!AW14</f>
        <v>-224.29000000000005</v>
      </c>
      <c r="Q21" s="1"/>
      <c r="R21" s="1"/>
    </row>
    <row r="22" spans="1:18" ht="12.75">
      <c r="A22" s="13" t="s">
        <v>38</v>
      </c>
      <c r="B22" s="14">
        <f>Лист1!B15</f>
        <v>129.1</v>
      </c>
      <c r="C22" s="169">
        <f>Лист1!C15</f>
        <v>1116.715</v>
      </c>
      <c r="D22" s="170">
        <f>Лист1!D15</f>
        <v>139.589375</v>
      </c>
      <c r="E22" s="39">
        <f>Лист1!O15</f>
        <v>417.02000000000004</v>
      </c>
      <c r="F22" s="67">
        <f>Лист1!P15</f>
        <v>57.089999999999996</v>
      </c>
      <c r="G22" s="40">
        <f>Лист1!V15</f>
        <v>194.1</v>
      </c>
      <c r="H22" s="171">
        <f>Лист1!W15</f>
        <v>390.77937499999996</v>
      </c>
      <c r="I22" s="39">
        <f>Лист1!Y15</f>
        <v>69.714</v>
      </c>
      <c r="J22" s="16">
        <f>Лист1!AA15+Лист1!AB15</f>
        <v>114.63510668999997</v>
      </c>
      <c r="K22" s="16">
        <f>Лист1!Z15+Лист1!AC15+Лист1!AD15+Лист1!AE15+Лист1!AF15+Лист1!AG15+Лист1!AH15+Лист1!AI15+Лист1!AJ15</f>
        <v>399.307772</v>
      </c>
      <c r="L22" s="17">
        <f>Лист1!AK15+Лист1!AL15+Лист1!AM15</f>
        <v>605.93</v>
      </c>
      <c r="M22" s="17">
        <f>Лист1!AP15</f>
        <v>0</v>
      </c>
      <c r="N22" s="172">
        <f>Лист1!AS15</f>
        <v>1189.5868786899998</v>
      </c>
      <c r="O22" s="41">
        <f>Лист1!AV15</f>
        <v>-798.8075036899999</v>
      </c>
      <c r="P22" s="173">
        <f>Лист1!AW15</f>
        <v>-222.92000000000004</v>
      </c>
      <c r="Q22" s="1"/>
      <c r="R22" s="1"/>
    </row>
    <row r="23" spans="1:18" ht="12.75">
      <c r="A23" s="13" t="s">
        <v>39</v>
      </c>
      <c r="B23" s="14">
        <f>Лист1!B16</f>
        <v>129.1</v>
      </c>
      <c r="C23" s="169">
        <f>Лист1!C16</f>
        <v>1116.715</v>
      </c>
      <c r="D23" s="170">
        <f>Лист1!D16</f>
        <v>139.589375</v>
      </c>
      <c r="E23" s="39">
        <f>Лист1!O16</f>
        <v>-711.28</v>
      </c>
      <c r="F23" s="67">
        <f>Лист1!P16</f>
        <v>57.089999999999996</v>
      </c>
      <c r="G23" s="40">
        <f>Лист1!V16</f>
        <v>194.1</v>
      </c>
      <c r="H23" s="171">
        <f>Лист1!W16</f>
        <v>390.77937499999996</v>
      </c>
      <c r="I23" s="39">
        <f>Лист1!Y16</f>
        <v>69.714</v>
      </c>
      <c r="J23" s="16">
        <f>Лист1!AA16+Лист1!AB16</f>
        <v>115.36023556999999</v>
      </c>
      <c r="K23" s="16">
        <f>Лист1!Z16+Лист1!AC16+Лист1!AD16+Лист1!AE16+Лист1!AF16+Лист1!AG16+Лист1!AH16+Лист1!AI16+Лист1!AJ16</f>
        <v>396.065585324</v>
      </c>
      <c r="L23" s="17">
        <f>Лист1!AK16+Лист1!AL16+Лист1!AM16</f>
        <v>0</v>
      </c>
      <c r="M23" s="17">
        <f>Лист1!AP16</f>
        <v>0</v>
      </c>
      <c r="N23" s="172">
        <f>Лист1!AS16</f>
        <v>581.1398208940001</v>
      </c>
      <c r="O23" s="41">
        <f>Лист1!AV16</f>
        <v>-190.36044589400012</v>
      </c>
      <c r="P23" s="173">
        <f>Лист1!AW16</f>
        <v>905.38</v>
      </c>
      <c r="Q23" s="1"/>
      <c r="R23" s="1"/>
    </row>
    <row r="24" spans="1:18" ht="12.75">
      <c r="A24" s="13" t="s">
        <v>40</v>
      </c>
      <c r="B24" s="14">
        <f>Лист1!B17</f>
        <v>129.1</v>
      </c>
      <c r="C24" s="169">
        <f>Лист1!C17</f>
        <v>1116.715</v>
      </c>
      <c r="D24" s="170">
        <f>Лист1!D17</f>
        <v>139.589375</v>
      </c>
      <c r="E24" s="39">
        <f>Лист1!O17</f>
        <v>228.97</v>
      </c>
      <c r="F24" s="67">
        <f>Лист1!P17</f>
        <v>57.089999999999996</v>
      </c>
      <c r="G24" s="40">
        <f>Лист1!V17</f>
        <v>194.51</v>
      </c>
      <c r="H24" s="171">
        <f>Лист1!W17</f>
        <v>391.189375</v>
      </c>
      <c r="I24" s="39">
        <f>Лист1!Y17</f>
        <v>69.714</v>
      </c>
      <c r="J24" s="16">
        <f>Лист1!AA17+Лист1!AB17</f>
        <v>115.36023556999999</v>
      </c>
      <c r="K24" s="16">
        <f>Лист1!Z17+Лист1!AC17+Лист1!AD17+Лист1!AE17+Лист1!AF17+Лист1!AG17+Лист1!AH17+Лист1!AI17+Лист1!AJ17</f>
        <v>396.46063132399996</v>
      </c>
      <c r="L24" s="17">
        <f>Лист1!AK17+Лист1!AL17+Лист1!AM17</f>
        <v>0</v>
      </c>
      <c r="M24" s="17">
        <f>Лист1!AP17</f>
        <v>0</v>
      </c>
      <c r="N24" s="172">
        <f>Лист1!AS17</f>
        <v>581.534866894</v>
      </c>
      <c r="O24" s="41">
        <f>Лист1!AV17</f>
        <v>-190.34549189399996</v>
      </c>
      <c r="P24" s="173">
        <f>Лист1!AW17</f>
        <v>-34.46000000000001</v>
      </c>
      <c r="Q24" s="1"/>
      <c r="R24" s="1"/>
    </row>
    <row r="25" spans="1:18" ht="12.75">
      <c r="A25" s="13" t="s">
        <v>41</v>
      </c>
      <c r="B25" s="14">
        <f>Лист1!B18</f>
        <v>129.1</v>
      </c>
      <c r="C25" s="169">
        <f>Лист1!C18</f>
        <v>1116.715</v>
      </c>
      <c r="D25" s="170">
        <f>Лист1!D18</f>
        <v>811.6249999999999</v>
      </c>
      <c r="E25" s="39">
        <f>Лист1!O18</f>
        <v>240.73</v>
      </c>
      <c r="F25" s="67">
        <f>Лист1!P18</f>
        <v>64.36</v>
      </c>
      <c r="G25" s="40">
        <f>Лист1!V18</f>
        <v>193.93</v>
      </c>
      <c r="H25" s="171">
        <f>Лист1!W18</f>
        <v>1069.915</v>
      </c>
      <c r="I25" s="39">
        <f>Лист1!Y18</f>
        <v>77.46</v>
      </c>
      <c r="J25" s="16">
        <f>Лист1!AA18+Лист1!AB18</f>
        <v>128.17947826999998</v>
      </c>
      <c r="K25" s="16">
        <f>Лист1!Z18+Лист1!AC18+Лист1!AD18+Лист1!AE18+Лист1!AF18+Лист1!AG18+Лист1!AH18+Лист1!AI18+Лист1!AJ18</f>
        <v>440.0444505</v>
      </c>
      <c r="L25" s="17">
        <f>Лист1!AK18+Лист1!AL18+Лист1!AM18</f>
        <v>0</v>
      </c>
      <c r="M25" s="17">
        <f>Лист1!AP18</f>
        <v>0</v>
      </c>
      <c r="N25" s="172">
        <f>Лист1!AS18</f>
        <v>645.68392877</v>
      </c>
      <c r="O25" s="41">
        <f>Лист1!AV18</f>
        <v>424.23107123</v>
      </c>
      <c r="P25" s="173">
        <f>Лист1!AW18</f>
        <v>-46.79999999999998</v>
      </c>
      <c r="Q25" s="1"/>
      <c r="R25" s="1"/>
    </row>
    <row r="26" spans="1:18" ht="12.75">
      <c r="A26" s="13" t="s">
        <v>42</v>
      </c>
      <c r="B26" s="14">
        <f>Лист1!B19</f>
        <v>129.1</v>
      </c>
      <c r="C26" s="169">
        <f>Лист1!C19</f>
        <v>1116.715</v>
      </c>
      <c r="D26" s="170">
        <f>Лист1!D19</f>
        <v>811.2</v>
      </c>
      <c r="E26" s="39">
        <f>Лист1!O19</f>
        <v>405.8</v>
      </c>
      <c r="F26" s="67">
        <f>Лист1!P19</f>
        <v>104.53</v>
      </c>
      <c r="G26" s="40">
        <f>Лист1!V19</f>
        <v>201.57</v>
      </c>
      <c r="H26" s="171">
        <f>Лист1!W19</f>
        <v>1117.3</v>
      </c>
      <c r="I26" s="39">
        <f>Лист1!Y19</f>
        <v>77.46</v>
      </c>
      <c r="J26" s="16">
        <f>Лист1!AA19+Лист1!AB19</f>
        <v>127.96452935199997</v>
      </c>
      <c r="K26" s="16">
        <f>Лист1!Z19+Лист1!AC19+Лист1!AD19+Лист1!AE19+Лист1!AF19+Лист1!AG19+Лист1!AH19+Лист1!AI19+Лист1!AJ19</f>
        <v>439.4178812076</v>
      </c>
      <c r="L26" s="17">
        <f>Лист1!AK19+Лист1!AL19+Лист1!AM19</f>
        <v>1416</v>
      </c>
      <c r="M26" s="17">
        <f>Лист1!AP19</f>
        <v>0</v>
      </c>
      <c r="N26" s="172">
        <f>Лист1!AS19</f>
        <v>2060.8424105596</v>
      </c>
      <c r="O26" s="41">
        <f>Лист1!AV19</f>
        <v>-943.5424105596001</v>
      </c>
      <c r="P26" s="173">
        <f>Лист1!AW19</f>
        <v>-204.23000000000002</v>
      </c>
      <c r="Q26" s="1"/>
      <c r="R26" s="1"/>
    </row>
    <row r="27" spans="1:18" ht="12.75">
      <c r="A27" s="13" t="s">
        <v>43</v>
      </c>
      <c r="B27" s="14">
        <f>Лист1!B20</f>
        <v>129.1</v>
      </c>
      <c r="C27" s="169">
        <f>Лист1!C20</f>
        <v>1116.715</v>
      </c>
      <c r="D27" s="170">
        <f>Лист1!D20</f>
        <v>811.63</v>
      </c>
      <c r="E27" s="39">
        <f>Лист1!O20</f>
        <v>75.66</v>
      </c>
      <c r="F27" s="67">
        <f>Лист1!P20</f>
        <v>24.190000000000005</v>
      </c>
      <c r="G27" s="40">
        <f>Лист1!V20</f>
        <v>326.45</v>
      </c>
      <c r="H27" s="171">
        <f>Лист1!W20</f>
        <v>1162.27</v>
      </c>
      <c r="I27" s="39">
        <f>Лист1!Y20</f>
        <v>77.46</v>
      </c>
      <c r="J27" s="16">
        <f>Лист1!AA20+Лист1!AB20</f>
        <v>127.96452935199997</v>
      </c>
      <c r="K27" s="16">
        <f>Лист1!Z20+Лист1!AC20+Лист1!AD20+Лист1!AE20+Лист1!AF20+Лист1!AG20+Лист1!AH20+Лист1!AI20+Лист1!AJ20</f>
        <v>438.99985540759997</v>
      </c>
      <c r="L27" s="17">
        <f>Лист1!AK20+Лист1!AL20+Лист1!AM20</f>
        <v>424.8</v>
      </c>
      <c r="M27" s="17">
        <f>Лист1!AP20</f>
        <v>0</v>
      </c>
      <c r="N27" s="172">
        <f>Лист1!AS20</f>
        <v>1069.2243847596</v>
      </c>
      <c r="O27" s="41">
        <f>Лист1!AV20</f>
        <v>93.04561524039991</v>
      </c>
      <c r="P27" s="173">
        <f>Лист1!AW20</f>
        <v>250.79</v>
      </c>
      <c r="Q27" s="1"/>
      <c r="R27" s="1"/>
    </row>
    <row r="28" spans="1:18" ht="12.75">
      <c r="A28" s="13" t="s">
        <v>44</v>
      </c>
      <c r="B28" s="14">
        <f>Лист1!B21</f>
        <v>129.1</v>
      </c>
      <c r="C28" s="169">
        <f>Лист1!C21</f>
        <v>1116.715</v>
      </c>
      <c r="D28" s="170">
        <f>Лист1!D21</f>
        <v>811.6249999999999</v>
      </c>
      <c r="E28" s="39">
        <f>Лист1!O21</f>
        <v>240.73</v>
      </c>
      <c r="F28" s="67">
        <f>Лист1!P21</f>
        <v>64.36</v>
      </c>
      <c r="G28" s="40">
        <f>Лист1!V21</f>
        <v>77.24000000000001</v>
      </c>
      <c r="H28" s="171">
        <f>Лист1!W21</f>
        <v>953.2249999999999</v>
      </c>
      <c r="I28" s="39">
        <f>Лист1!Y21</f>
        <v>77.46</v>
      </c>
      <c r="J28" s="16">
        <f>Лист1!AA21+Лист1!AB21</f>
        <v>127.95934985999997</v>
      </c>
      <c r="K28" s="16">
        <f>Лист1!Z21+Лист1!AC21+Лист1!AD21+Лист1!AE21+Лист1!AF21+Лист1!AG21+Лист1!AH21+Лист1!AI21+Лист1!AJ21</f>
        <v>439.10326502399994</v>
      </c>
      <c r="L28" s="17">
        <f>Лист1!AK21+Лист1!AL21+Лист1!AM21</f>
        <v>929.0257999999999</v>
      </c>
      <c r="M28" s="17">
        <f>Лист1!AP21</f>
        <v>0</v>
      </c>
      <c r="N28" s="172">
        <f>Лист1!AS21</f>
        <v>1573.5484148839998</v>
      </c>
      <c r="O28" s="41">
        <f>Лист1!AV21</f>
        <v>-620.3234148839999</v>
      </c>
      <c r="P28" s="173">
        <f>Лист1!AW21</f>
        <v>-163.48999999999998</v>
      </c>
      <c r="Q28" s="1"/>
      <c r="R28" s="1"/>
    </row>
    <row r="29" spans="1:18" ht="12.75">
      <c r="A29" s="13" t="s">
        <v>45</v>
      </c>
      <c r="B29" s="14">
        <f>Лист1!B22</f>
        <v>129.1</v>
      </c>
      <c r="C29" s="169">
        <f>Лист1!C22</f>
        <v>1116.715</v>
      </c>
      <c r="D29" s="170">
        <f>Лист1!D22</f>
        <v>811.6249999999999</v>
      </c>
      <c r="E29" s="39">
        <f>Лист1!O22</f>
        <v>240.73</v>
      </c>
      <c r="F29" s="67">
        <f>Лист1!P22</f>
        <v>64.36</v>
      </c>
      <c r="G29" s="40">
        <f>Лист1!V22</f>
        <v>200.67</v>
      </c>
      <c r="H29" s="171">
        <f>Лист1!W22</f>
        <v>1076.655</v>
      </c>
      <c r="I29" s="39">
        <f>Лист1!Y22</f>
        <v>77.46</v>
      </c>
      <c r="J29" s="16">
        <f>Лист1!AA22+Лист1!AB22</f>
        <v>127.95934985999997</v>
      </c>
      <c r="K29" s="16">
        <f>Лист1!Z22+Лист1!AC22+Лист1!AD22+Лист1!AE22+Лист1!AF22+Лист1!AG22+Лист1!AH22+Лист1!AI22+Лист1!AJ22</f>
        <v>439.15689058199996</v>
      </c>
      <c r="L29" s="17">
        <f>Лист1!AK22+Лист1!AL22+Лист1!AM22</f>
        <v>0</v>
      </c>
      <c r="M29" s="17">
        <f>Лист1!AP22</f>
        <v>0</v>
      </c>
      <c r="N29" s="172">
        <f>Лист1!AS22</f>
        <v>644.576240442</v>
      </c>
      <c r="O29" s="41">
        <f>Лист1!AV22</f>
        <v>432.078759558</v>
      </c>
      <c r="P29" s="173">
        <f>Лист1!AW22</f>
        <v>-40.06</v>
      </c>
      <c r="Q29" s="1"/>
      <c r="R29" s="1"/>
    </row>
    <row r="30" spans="1:18" ht="12.75">
      <c r="A30" s="13" t="s">
        <v>33</v>
      </c>
      <c r="B30" s="14">
        <f>Лист1!B23</f>
        <v>129.1</v>
      </c>
      <c r="C30" s="169">
        <f>Лист1!C23</f>
        <v>1116.715</v>
      </c>
      <c r="D30" s="170">
        <f>Лист1!D23</f>
        <v>811.6249999999999</v>
      </c>
      <c r="E30" s="39">
        <f>Лист1!O23</f>
        <v>240.73</v>
      </c>
      <c r="F30" s="67">
        <f>Лист1!P23</f>
        <v>64.36</v>
      </c>
      <c r="G30" s="40">
        <f>Лист1!V23</f>
        <v>201.44</v>
      </c>
      <c r="H30" s="171">
        <f>Лист1!W23</f>
        <v>1077.425</v>
      </c>
      <c r="I30" s="39">
        <f>Лист1!Y23</f>
        <v>77.46</v>
      </c>
      <c r="J30" s="16">
        <f>Лист1!AA23+Лист1!AB23</f>
        <v>129.48729999999998</v>
      </c>
      <c r="K30" s="16">
        <f>Лист1!Z23+Лист1!AC23+Лист1!AD23+Лист1!AE23+Лист1!AF23+Лист1!AG23+Лист1!AH23+Лист1!AI23+Лист1!AJ23</f>
        <v>443.22612000000004</v>
      </c>
      <c r="L30" s="17">
        <f>Лист1!AK23+Лист1!AL23+Лист1!AM23</f>
        <v>2832</v>
      </c>
      <c r="M30" s="17">
        <f>Лист1!AP23</f>
        <v>0</v>
      </c>
      <c r="N30" s="172">
        <f>Лист1!AS23</f>
        <v>3482.17342</v>
      </c>
      <c r="O30" s="41">
        <f>Лист1!AV23</f>
        <v>-2404.74842</v>
      </c>
      <c r="P30" s="173">
        <f>Лист1!AW23</f>
        <v>-39.28999999999999</v>
      </c>
      <c r="Q30" s="1"/>
      <c r="R30" s="1"/>
    </row>
    <row r="31" spans="1:18" ht="12.75">
      <c r="A31" s="13" t="s">
        <v>34</v>
      </c>
      <c r="B31" s="14">
        <f>Лист1!B24</f>
        <v>129.1</v>
      </c>
      <c r="C31" s="169">
        <f>Лист1!C24</f>
        <v>1116.715</v>
      </c>
      <c r="D31" s="170">
        <f>Лист1!D24</f>
        <v>811.6249999999999</v>
      </c>
      <c r="E31" s="39">
        <f>Лист1!O24</f>
        <v>240.73</v>
      </c>
      <c r="F31" s="67">
        <f>Лист1!P24</f>
        <v>64.36</v>
      </c>
      <c r="G31" s="40">
        <f>Лист1!V24</f>
        <v>201.62</v>
      </c>
      <c r="H31" s="171">
        <f>Лист1!W24</f>
        <v>1077.605</v>
      </c>
      <c r="I31" s="39">
        <f>Лист1!Y24</f>
        <v>77.46</v>
      </c>
      <c r="J31" s="16">
        <f>Лист1!AA24+Лист1!AB24</f>
        <v>129.48729999999998</v>
      </c>
      <c r="K31" s="16">
        <f>Лист1!Z24+Лист1!AC24+Лист1!AD24+Лист1!AE24+Лист1!AF24+Лист1!AG24+Лист1!AH24+Лист1!AI24+Лист1!AJ24</f>
        <v>443.22612000000004</v>
      </c>
      <c r="L31" s="17">
        <f>Лист1!AK24+Лист1!AL24+Лист1!AM24</f>
        <v>0</v>
      </c>
      <c r="M31" s="17">
        <f>Лист1!AP24</f>
        <v>0</v>
      </c>
      <c r="N31" s="172">
        <f>Лист1!AS24</f>
        <v>650.17342</v>
      </c>
      <c r="O31" s="41">
        <f>Лист1!AV24</f>
        <v>427.43158000000005</v>
      </c>
      <c r="P31" s="173">
        <f>Лист1!AW24</f>
        <v>-39.109999999999985</v>
      </c>
      <c r="Q31" s="1"/>
      <c r="R31" s="1"/>
    </row>
    <row r="32" spans="1:18" ht="13.5" thickBot="1">
      <c r="A32" s="42" t="s">
        <v>35</v>
      </c>
      <c r="B32" s="14">
        <f>Лист1!B25</f>
        <v>129.1</v>
      </c>
      <c r="C32" s="169">
        <f>Лист1!C25</f>
        <v>1116.715</v>
      </c>
      <c r="D32" s="170">
        <f>Лист1!D25</f>
        <v>850.9049999999999</v>
      </c>
      <c r="E32" s="39">
        <f>Лист1!O25</f>
        <v>201.45000000000002</v>
      </c>
      <c r="F32" s="67">
        <f>Лист1!P25</f>
        <v>64.36</v>
      </c>
      <c r="G32" s="40">
        <f>Лист1!V25</f>
        <v>201.39</v>
      </c>
      <c r="H32" s="171">
        <f>Лист1!W25</f>
        <v>1116.6549999999997</v>
      </c>
      <c r="I32" s="39">
        <f>Лист1!Y25</f>
        <v>77.46</v>
      </c>
      <c r="J32" s="16">
        <f>Лист1!AA25+Лист1!AB25</f>
        <v>129.48729999999998</v>
      </c>
      <c r="K32" s="16">
        <f>Лист1!Z25+Лист1!AC25+Лист1!AD25+Лист1!AE25+Лист1!AF25+Лист1!AG25+Лист1!AH25+Лист1!AI25+Лист1!AJ25</f>
        <v>443.22612000000004</v>
      </c>
      <c r="L32" s="17">
        <f>Лист1!AK25+Лист1!AL25+Лист1!AM25</f>
        <v>0</v>
      </c>
      <c r="M32" s="17">
        <f>Лист1!AP25</f>
        <v>0</v>
      </c>
      <c r="N32" s="172">
        <f>Лист1!AS25</f>
        <v>650.17342</v>
      </c>
      <c r="O32" s="41">
        <f>Лист1!AV25</f>
        <v>466.4815799999998</v>
      </c>
      <c r="P32" s="173">
        <f>Лист1!AW25</f>
        <v>-0.060000000000030695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13400.58</v>
      </c>
      <c r="D33" s="49">
        <f t="shared" si="1"/>
        <v>7090.2175</v>
      </c>
      <c r="E33" s="48">
        <f t="shared" si="1"/>
        <v>2238.2900000000004</v>
      </c>
      <c r="F33" s="45">
        <f t="shared" si="1"/>
        <v>743.24</v>
      </c>
      <c r="G33" s="46">
        <f t="shared" si="1"/>
        <v>2379.75</v>
      </c>
      <c r="H33" s="180">
        <f t="shared" si="1"/>
        <v>10213.2075</v>
      </c>
      <c r="I33" s="48">
        <f t="shared" si="1"/>
        <v>898.5360000000001</v>
      </c>
      <c r="J33" s="45">
        <f t="shared" si="1"/>
        <v>1488.4786724839998</v>
      </c>
      <c r="K33" s="45">
        <f t="shared" si="1"/>
        <v>5111.497285809201</v>
      </c>
      <c r="L33" s="45">
        <f t="shared" si="1"/>
        <v>6844.9558</v>
      </c>
      <c r="M33" s="45">
        <f t="shared" si="1"/>
        <v>0</v>
      </c>
      <c r="N33" s="181">
        <f t="shared" si="1"/>
        <v>14343.467758293198</v>
      </c>
      <c r="O33" s="49">
        <f>SUM(O21:O32)</f>
        <v>-4130.2602582931995</v>
      </c>
      <c r="P33" s="182">
        <f t="shared" si="1"/>
        <v>141.4599999999999</v>
      </c>
      <c r="Q33" s="50"/>
      <c r="R33" s="50"/>
    </row>
    <row r="34" spans="1:18" ht="13.5" thickBot="1">
      <c r="A34" s="183" t="s">
        <v>60</v>
      </c>
      <c r="B34" s="184"/>
      <c r="C34" s="185"/>
      <c r="D34" s="186"/>
      <c r="E34" s="184"/>
      <c r="F34" s="184"/>
      <c r="G34" s="183"/>
      <c r="H34" s="187"/>
      <c r="I34" s="184"/>
      <c r="J34" s="184"/>
      <c r="K34" s="184"/>
      <c r="L34" s="184"/>
      <c r="M34" s="184"/>
      <c r="N34" s="188"/>
      <c r="O34" s="186"/>
      <c r="P34" s="189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16750.725</v>
      </c>
      <c r="D35" s="60">
        <f aca="true" t="shared" si="2" ref="D35:P35">D19+D33</f>
        <v>7895.60856865</v>
      </c>
      <c r="E35" s="190">
        <f t="shared" si="2"/>
        <v>3489.3500000000004</v>
      </c>
      <c r="F35" s="59">
        <f t="shared" si="2"/>
        <v>914.51</v>
      </c>
      <c r="G35" s="58">
        <f t="shared" si="2"/>
        <v>2768.12</v>
      </c>
      <c r="H35" s="191">
        <f t="shared" si="2"/>
        <v>11578.23856865</v>
      </c>
      <c r="I35" s="190">
        <f t="shared" si="2"/>
        <v>1130.9160000000002</v>
      </c>
      <c r="J35" s="56">
        <f t="shared" si="2"/>
        <v>1875.8437388839998</v>
      </c>
      <c r="K35" s="56">
        <f t="shared" si="2"/>
        <v>6211.0816646942</v>
      </c>
      <c r="L35" s="56">
        <f t="shared" si="2"/>
        <v>7434.3658</v>
      </c>
      <c r="M35" s="56">
        <f t="shared" si="2"/>
        <v>0</v>
      </c>
      <c r="N35" s="192">
        <f t="shared" si="2"/>
        <v>16652.207203578197</v>
      </c>
      <c r="O35" s="60">
        <f t="shared" si="2"/>
        <v>-5073.9686349282</v>
      </c>
      <c r="P35" s="193">
        <f t="shared" si="2"/>
        <v>-721.2300000000001</v>
      </c>
      <c r="Q35" s="61"/>
      <c r="R35" s="50"/>
    </row>
    <row r="36" spans="1:18" ht="12.75">
      <c r="A36" s="8" t="s">
        <v>78</v>
      </c>
      <c r="B36" s="62"/>
      <c r="C36" s="174"/>
      <c r="D36" s="175"/>
      <c r="E36" s="53"/>
      <c r="F36" s="176"/>
      <c r="G36" s="54"/>
      <c r="H36" s="177"/>
      <c r="I36" s="53"/>
      <c r="J36" s="51"/>
      <c r="K36" s="51"/>
      <c r="L36" s="63"/>
      <c r="M36" s="63"/>
      <c r="N36" s="178"/>
      <c r="O36" s="64"/>
      <c r="P36" s="179"/>
      <c r="Q36" s="1"/>
      <c r="R36" s="1"/>
    </row>
    <row r="37" spans="1:18" ht="12.75">
      <c r="A37" s="13" t="s">
        <v>37</v>
      </c>
      <c r="B37" s="14">
        <f>Лист1!B30</f>
        <v>129.1</v>
      </c>
      <c r="C37" s="169">
        <f>Лист1!C30</f>
        <v>1116.715</v>
      </c>
      <c r="D37" s="170">
        <f>Лист1!D30</f>
        <v>850.9049999999999</v>
      </c>
      <c r="E37" s="39">
        <f>Лист1!O30</f>
        <v>201.45000000000002</v>
      </c>
      <c r="F37" s="67">
        <f>Лист1!P30</f>
        <v>64.36</v>
      </c>
      <c r="G37" s="40">
        <f>Лист1!V30</f>
        <v>201.24</v>
      </c>
      <c r="H37" s="171">
        <f>Лист1!W30</f>
        <v>1116.5049999999999</v>
      </c>
      <c r="I37" s="39">
        <f>Лист1!Y30</f>
        <v>77.46</v>
      </c>
      <c r="J37" s="16">
        <f>Лист1!AA30+Лист1!AB30</f>
        <v>129.1</v>
      </c>
      <c r="K37" s="16">
        <f>Лист1!Z30+Лист1!AC30+Лист1!AD30+Лист1!AE30+Лист1!AF30+Лист1!AG30+Лист1!AH30+Лист1!AI30+Лист1!AJ30</f>
        <v>442.813</v>
      </c>
      <c r="L37" s="17">
        <f>Лист1!AK30+Лист1!AL30+Лист1!AM30</f>
        <v>0</v>
      </c>
      <c r="M37" s="17">
        <f>Лист1!AP30</f>
        <v>0</v>
      </c>
      <c r="N37" s="172">
        <f>Лист1!AS30</f>
        <v>649.373</v>
      </c>
      <c r="O37" s="41">
        <f>Лист1!AV30</f>
        <v>467.13199999999983</v>
      </c>
      <c r="P37" s="173">
        <f>Лист1!AW30</f>
        <v>-0.21000000000000796</v>
      </c>
      <c r="Q37" s="1"/>
      <c r="R37" s="1"/>
    </row>
    <row r="38" spans="1:18" ht="12.75">
      <c r="A38" s="13" t="s">
        <v>38</v>
      </c>
      <c r="B38" s="14">
        <f>Лист1!B31</f>
        <v>129.1</v>
      </c>
      <c r="C38" s="169">
        <f>Лист1!C31</f>
        <v>1116.715</v>
      </c>
      <c r="D38" s="170">
        <f>Лист1!D31</f>
        <v>850.9049999999999</v>
      </c>
      <c r="E38" s="39">
        <f>Лист1!O31</f>
        <v>201.45000000000002</v>
      </c>
      <c r="F38" s="67">
        <f>Лист1!P31</f>
        <v>64.36</v>
      </c>
      <c r="G38" s="40">
        <f>Лист1!V31</f>
        <v>201.56</v>
      </c>
      <c r="H38" s="171">
        <f>Лист1!W31</f>
        <v>1116.8249999999998</v>
      </c>
      <c r="I38" s="39">
        <f>Лист1!Y31</f>
        <v>77.46</v>
      </c>
      <c r="J38" s="16">
        <f>Лист1!AA31+Лист1!AB31</f>
        <v>129.1</v>
      </c>
      <c r="K38" s="16">
        <f>Лист1!Z31+Лист1!AC31+Лист1!AD31+Лист1!AE31+Лист1!AF31+Лист1!AG31+Лист1!AH31+Лист1!AI31+Лист1!AJ31</f>
        <v>442.813</v>
      </c>
      <c r="L38" s="17">
        <f>Лист1!AK31+Лист1!AL31+Лист1!AM31</f>
        <v>2853.39</v>
      </c>
      <c r="M38" s="17">
        <f>Лист1!AP31</f>
        <v>0</v>
      </c>
      <c r="N38" s="172">
        <f>Лист1!AS31</f>
        <v>3502.763</v>
      </c>
      <c r="O38" s="41">
        <f>Лист1!AV31</f>
        <v>-2385.938</v>
      </c>
      <c r="P38" s="173">
        <f>Лист1!AW31</f>
        <v>0.10999999999998522</v>
      </c>
      <c r="Q38" s="1"/>
      <c r="R38" s="1"/>
    </row>
    <row r="39" spans="1:18" ht="12.75">
      <c r="A39" s="13" t="s">
        <v>39</v>
      </c>
      <c r="B39" s="14">
        <f>Лист1!B32</f>
        <v>129.1</v>
      </c>
      <c r="C39" s="169">
        <f>Лист1!C32</f>
        <v>1116.715</v>
      </c>
      <c r="D39" s="170">
        <f>Лист1!D32</f>
        <v>850.9049999999999</v>
      </c>
      <c r="E39" s="39">
        <f>Лист1!O32</f>
        <v>201.45000000000002</v>
      </c>
      <c r="F39" s="67">
        <f>Лист1!P32</f>
        <v>64.36</v>
      </c>
      <c r="G39" s="40">
        <f>Лист1!V32</f>
        <v>201.57</v>
      </c>
      <c r="H39" s="171">
        <f>Лист1!W32</f>
        <v>1116.8349999999998</v>
      </c>
      <c r="I39" s="39">
        <f>Лист1!Y32</f>
        <v>77.46</v>
      </c>
      <c r="J39" s="16">
        <f>Лист1!AA32+Лист1!AB32</f>
        <v>129.1</v>
      </c>
      <c r="K39" s="16">
        <f>Лист1!Z32+Лист1!AC32+Лист1!AD32+Лист1!AE32+Лист1!AF32+Лист1!AG32+Лист1!AH32+Лист1!AI32+Лист1!AJ32</f>
        <v>442.813</v>
      </c>
      <c r="L39" s="17">
        <f>Лист1!AK32+Лист1!AL32+Лист1!AM32</f>
        <v>0</v>
      </c>
      <c r="M39" s="17">
        <f>Лист1!AP32</f>
        <v>0</v>
      </c>
      <c r="N39" s="172">
        <f>Лист1!AS32</f>
        <v>649.373</v>
      </c>
      <c r="O39" s="41">
        <f>Лист1!AV32</f>
        <v>467.46199999999976</v>
      </c>
      <c r="P39" s="173">
        <f>Лист1!AW32</f>
        <v>0.11999999999997613</v>
      </c>
      <c r="Q39" s="1"/>
      <c r="R39" s="1"/>
    </row>
    <row r="40" spans="1:18" ht="12.75">
      <c r="A40" s="13" t="s">
        <v>40</v>
      </c>
      <c r="B40" s="14">
        <f>Лист1!B33</f>
        <v>129.1</v>
      </c>
      <c r="C40" s="169">
        <f>Лист1!C33</f>
        <v>1116.715</v>
      </c>
      <c r="D40" s="170">
        <f>Лист1!D33</f>
        <v>111.6715</v>
      </c>
      <c r="E40" s="39">
        <f>Лист1!O33</f>
        <v>201.45000000000002</v>
      </c>
      <c r="F40" s="67">
        <f>Лист1!P33</f>
        <v>64.36</v>
      </c>
      <c r="G40" s="40">
        <f>Лист1!V33</f>
        <v>199.88</v>
      </c>
      <c r="H40" s="171">
        <f>Лист1!W33</f>
        <v>375.9115</v>
      </c>
      <c r="I40" s="39">
        <f>Лист1!Y33</f>
        <v>77.46</v>
      </c>
      <c r="J40" s="16">
        <f>Лист1!AA33+Лист1!AB33</f>
        <v>129.1</v>
      </c>
      <c r="K40" s="16">
        <f>Лист1!Z33+Лист1!AC33+Лист1!AD33+Лист1!AE33+Лист1!AF33+Лист1!AG33+Лист1!AH33+Лист1!AI33+Лист1!AJ33</f>
        <v>442.813</v>
      </c>
      <c r="L40" s="17">
        <f>Лист1!AK33+Лист1!AL33+Лист1!AM33</f>
        <v>0</v>
      </c>
      <c r="M40" s="17">
        <f>Лист1!AP33</f>
        <v>0</v>
      </c>
      <c r="N40" s="172">
        <f>Лист1!AS33</f>
        <v>649.3729999999999</v>
      </c>
      <c r="O40" s="41">
        <f>Лист1!AV33</f>
        <v>-273.46149999999994</v>
      </c>
      <c r="P40" s="173">
        <f>Лист1!AW33</f>
        <v>-1.5700000000000216</v>
      </c>
      <c r="Q40" s="1"/>
      <c r="R40" s="1"/>
    </row>
    <row r="41" spans="1:18" ht="12.75">
      <c r="A41" s="13" t="s">
        <v>41</v>
      </c>
      <c r="B41" s="14">
        <f>Лист1!B34</f>
        <v>127.4</v>
      </c>
      <c r="C41" s="169">
        <f>Лист1!C34</f>
        <v>1102.01</v>
      </c>
      <c r="D41" s="170">
        <f>Лист1!D34</f>
        <v>110.20100000000001</v>
      </c>
      <c r="E41" s="39">
        <f>Лист1!O34</f>
        <v>194.10000000000002</v>
      </c>
      <c r="F41" s="67">
        <f>Лист1!P34</f>
        <v>64.36</v>
      </c>
      <c r="G41" s="40">
        <f>Лист1!V34</f>
        <v>201.54999999999998</v>
      </c>
      <c r="H41" s="171">
        <f>Лист1!W34</f>
        <v>376.111</v>
      </c>
      <c r="I41" s="39">
        <f>Лист1!Y34</f>
        <v>76.44</v>
      </c>
      <c r="J41" s="16">
        <f>Лист1!AA34+Лист1!AB34</f>
        <v>127.4</v>
      </c>
      <c r="K41" s="16">
        <f>Лист1!Z34+Лист1!AC34+Лист1!AD34+Лист1!AE34+Лист1!AF34+Лист1!AG34+Лист1!AH34+Лист1!AI34+Лист1!AJ34</f>
        <v>436.982</v>
      </c>
      <c r="L41" s="17">
        <f>Лист1!AK34+Лист1!AL34+Лист1!AM34</f>
        <v>0</v>
      </c>
      <c r="M41" s="17">
        <f>Лист1!AP34</f>
        <v>0</v>
      </c>
      <c r="N41" s="172">
        <f>Лист1!AS34</f>
        <v>640.8220000000001</v>
      </c>
      <c r="O41" s="41">
        <f>Лист1!AV34</f>
        <v>-264.7110000000001</v>
      </c>
      <c r="P41" s="173">
        <f>Лист1!AW34</f>
        <v>7.44999999999996</v>
      </c>
      <c r="Q41" s="1"/>
      <c r="R41" s="1"/>
    </row>
    <row r="42" spans="1:18" ht="12.75">
      <c r="A42" s="13" t="s">
        <v>42</v>
      </c>
      <c r="B42" s="14">
        <f>Лист1!B35</f>
        <v>127.4</v>
      </c>
      <c r="C42" s="169">
        <f>Лист1!C35</f>
        <v>1102.01</v>
      </c>
      <c r="D42" s="170">
        <f>Лист1!D35</f>
        <v>675.8944374999999</v>
      </c>
      <c r="E42" s="39">
        <f>Лист1!O35</f>
        <v>194.10000000000002</v>
      </c>
      <c r="F42" s="67">
        <f>Лист1!P35</f>
        <v>64.36</v>
      </c>
      <c r="G42" s="40">
        <f>Лист1!V35</f>
        <v>194.78</v>
      </c>
      <c r="H42" s="171">
        <f>Лист1!W35</f>
        <v>935.0344374999999</v>
      </c>
      <c r="I42" s="39">
        <f>Лист1!Y35</f>
        <v>76.44</v>
      </c>
      <c r="J42" s="16">
        <f>Лист1!AA35+Лист1!AB35</f>
        <v>127.4</v>
      </c>
      <c r="K42" s="16">
        <f>Лист1!Z35+Лист1!AC35+Лист1!AD35+Лист1!AE35+Лист1!AF35+Лист1!AG35+Лист1!AH35+Лист1!AI35+Лист1!AJ35</f>
        <v>436.982</v>
      </c>
      <c r="L42" s="17">
        <f>Лист1!AK35+Лист1!AL35+Лист1!AM35</f>
        <v>0</v>
      </c>
      <c r="M42" s="17">
        <f>Лист1!AP35</f>
        <v>0</v>
      </c>
      <c r="N42" s="172">
        <f>Лист1!AS35</f>
        <v>640.8220000000001</v>
      </c>
      <c r="O42" s="41">
        <f>Лист1!AV35</f>
        <v>294.21243749999974</v>
      </c>
      <c r="P42" s="173">
        <f>Лист1!AW35</f>
        <v>0.6799999999999784</v>
      </c>
      <c r="Q42" s="1"/>
      <c r="R42" s="1"/>
    </row>
    <row r="43" spans="1:18" ht="12.75">
      <c r="A43" s="13" t="s">
        <v>43</v>
      </c>
      <c r="B43" s="14">
        <f>Лист1!B36</f>
        <v>127.4</v>
      </c>
      <c r="C43" s="169">
        <f>Лист1!C36</f>
        <v>1102.01</v>
      </c>
      <c r="D43" s="170">
        <f>Лист1!D36</f>
        <v>679.82959825</v>
      </c>
      <c r="E43" s="39">
        <f>Лист1!O36</f>
        <v>258.46</v>
      </c>
      <c r="F43" s="67">
        <f>Лист1!P36</f>
        <v>0</v>
      </c>
      <c r="G43" s="40">
        <f>Лист1!V36</f>
        <v>236.13</v>
      </c>
      <c r="H43" s="171">
        <f>Лист1!W36</f>
        <v>915.95959825</v>
      </c>
      <c r="I43" s="39">
        <f>Лист1!Y36</f>
        <v>76.44</v>
      </c>
      <c r="J43" s="16">
        <f>Лист1!AA36+Лист1!AB36</f>
        <v>127.4</v>
      </c>
      <c r="K43" s="16">
        <f>Лист1!Z36+Лист1!AC36+Лист1!AD36+Лист1!AE36+Лист1!AF36+Лист1!AG36+Лист1!AH36+Лист1!AI36+Лист1!AJ36</f>
        <v>436.982</v>
      </c>
      <c r="L43" s="17">
        <f>Лист1!AK36+Лист1!AL36+Лист1!AM36</f>
        <v>1071</v>
      </c>
      <c r="M43" s="17">
        <f>Лист1!AP36</f>
        <v>0</v>
      </c>
      <c r="N43" s="172">
        <f>Лист1!AS36</f>
        <v>1711.8220000000001</v>
      </c>
      <c r="O43" s="41">
        <f>Лист1!AV36</f>
        <v>-795.8624017500001</v>
      </c>
      <c r="P43" s="173">
        <f>Лист1!AW36</f>
        <v>-22.329999999999984</v>
      </c>
      <c r="Q43" s="1"/>
      <c r="R43" s="1"/>
    </row>
    <row r="44" spans="1:18" ht="12.75">
      <c r="A44" s="13" t="s">
        <v>44</v>
      </c>
      <c r="B44" s="14">
        <f>Лист1!B37</f>
        <v>127.4</v>
      </c>
      <c r="C44" s="169">
        <f>Лист1!C37</f>
        <v>1102.01</v>
      </c>
      <c r="D44" s="170">
        <f>Лист1!D37</f>
        <v>723.5271753499999</v>
      </c>
      <c r="E44" s="39">
        <f>Лист1!O37</f>
        <v>258.46</v>
      </c>
      <c r="F44" s="67">
        <f>Лист1!P37</f>
        <v>0</v>
      </c>
      <c r="G44" s="40">
        <f>Лист1!V37</f>
        <v>258.43</v>
      </c>
      <c r="H44" s="171">
        <f>Лист1!W37</f>
        <v>981.9571753499999</v>
      </c>
      <c r="I44" s="39">
        <f>Лист1!Y37</f>
        <v>76.44</v>
      </c>
      <c r="J44" s="16">
        <f>Лист1!AA37+Лист1!AB37</f>
        <v>127.4</v>
      </c>
      <c r="K44" s="16">
        <f>Лист1!Z37+Лист1!AC37+Лист1!AD37+Лист1!AE37+Лист1!AF37+Лист1!AG37+Лист1!AH37+Лист1!AI37+Лист1!AJ37</f>
        <v>436.982</v>
      </c>
      <c r="L44" s="17">
        <f>Лист1!AK37+Лист1!AL37+Лист1!AM37</f>
        <v>47.8</v>
      </c>
      <c r="M44" s="17">
        <f>Лист1!AP37</f>
        <v>0</v>
      </c>
      <c r="N44" s="172">
        <f>Лист1!AS37</f>
        <v>688.6220000000001</v>
      </c>
      <c r="O44" s="41">
        <f>Лист1!AV37</f>
        <v>293.3351753499999</v>
      </c>
      <c r="P44" s="173">
        <f>Лист1!AW37</f>
        <v>-0.029999999999972715</v>
      </c>
      <c r="Q44" s="1"/>
      <c r="R44" s="1"/>
    </row>
    <row r="45" spans="1:18" ht="12.75">
      <c r="A45" s="13" t="s">
        <v>45</v>
      </c>
      <c r="B45" s="14">
        <f>Лист1!B38</f>
        <v>127.4</v>
      </c>
      <c r="C45" s="169">
        <f>Лист1!C38</f>
        <v>1102.01</v>
      </c>
      <c r="D45" s="170">
        <f>Лист1!D38</f>
        <v>738.5533315</v>
      </c>
      <c r="E45" s="39">
        <f>Лист1!O38</f>
        <v>258.46</v>
      </c>
      <c r="F45" s="67">
        <f>Лист1!P38</f>
        <v>0</v>
      </c>
      <c r="G45" s="40">
        <f>Лист1!V38</f>
        <v>258.44</v>
      </c>
      <c r="H45" s="171">
        <f>Лист1!W38</f>
        <v>996.9933315000001</v>
      </c>
      <c r="I45" s="39">
        <f>Лист1!Y38</f>
        <v>76.44</v>
      </c>
      <c r="J45" s="16">
        <f>Лист1!AA38+Лист1!AB38</f>
        <v>127.4</v>
      </c>
      <c r="K45" s="16">
        <f>Лист1!Z38+Лист1!AC38+Лист1!AD38+Лист1!AE38+Лист1!AF38+Лист1!AG38+Лист1!AH38+Лист1!AI38+Лист1!AJ38</f>
        <v>436.982</v>
      </c>
      <c r="L45" s="17">
        <f>Лист1!AK38+Лист1!AL38+Лист1!AM38</f>
        <v>0</v>
      </c>
      <c r="M45" s="17">
        <f>Лист1!AP38</f>
        <v>0</v>
      </c>
      <c r="N45" s="172">
        <f>Лист1!AS38</f>
        <v>640.8220000000001</v>
      </c>
      <c r="O45" s="41">
        <f>Лист1!AV38</f>
        <v>356.17133149999995</v>
      </c>
      <c r="P45" s="173">
        <f>Лист1!AW38</f>
        <v>-0.01999999999998181</v>
      </c>
      <c r="Q45" s="1"/>
      <c r="R45" s="1"/>
    </row>
    <row r="46" spans="1:18" ht="12.75">
      <c r="A46" s="13" t="s">
        <v>33</v>
      </c>
      <c r="B46" s="14">
        <f>Лист1!B39</f>
        <v>127.4</v>
      </c>
      <c r="C46" s="169">
        <f>Лист1!C39</f>
        <v>1102.01</v>
      </c>
      <c r="D46" s="170">
        <f>Лист1!D39</f>
        <v>684.3788634</v>
      </c>
      <c r="E46" s="39">
        <f>Лист1!O39</f>
        <v>258.46</v>
      </c>
      <c r="F46" s="67">
        <f>Лист1!P39</f>
        <v>0</v>
      </c>
      <c r="G46" s="40">
        <f>Лист1!V39</f>
        <v>258.43</v>
      </c>
      <c r="H46" s="171">
        <f>Лист1!W39</f>
        <v>942.8088634000001</v>
      </c>
      <c r="I46" s="39">
        <f>Лист1!Y39</f>
        <v>76.44</v>
      </c>
      <c r="J46" s="16">
        <f>Лист1!AA39+Лист1!AB39</f>
        <v>127.4</v>
      </c>
      <c r="K46" s="16">
        <f>Лист1!Z39+Лист1!AC39+Лист1!AD39+Лист1!AE39+Лист1!AF39+Лист1!AG39+Лист1!AH39+Лист1!AI39+Лист1!AJ39</f>
        <v>436.982</v>
      </c>
      <c r="L46" s="17">
        <f>Лист1!AK39+Лист1!AL39+Лист1!AM39</f>
        <v>0</v>
      </c>
      <c r="M46" s="17">
        <f>Лист1!AP39</f>
        <v>0</v>
      </c>
      <c r="N46" s="172">
        <f>Лист1!AS39</f>
        <v>640.8220000000001</v>
      </c>
      <c r="O46" s="41">
        <f>Лист1!AV39</f>
        <v>301.98686339999995</v>
      </c>
      <c r="P46" s="173">
        <f>Лист1!AW39</f>
        <v>-0.029999999999972715</v>
      </c>
      <c r="Q46" s="1"/>
      <c r="R46" s="1"/>
    </row>
    <row r="47" spans="1:18" ht="12.75">
      <c r="A47" s="13" t="s">
        <v>34</v>
      </c>
      <c r="B47" s="14">
        <f>Лист1!B40</f>
        <v>127.4</v>
      </c>
      <c r="C47" s="169">
        <f>Лист1!C40</f>
        <v>1102.01</v>
      </c>
      <c r="D47" s="170">
        <f>Лист1!D40</f>
        <v>734.4612704499999</v>
      </c>
      <c r="E47" s="39">
        <f>Лист1!O40</f>
        <v>258.46</v>
      </c>
      <c r="F47" s="67">
        <f>Лист1!P40</f>
        <v>0</v>
      </c>
      <c r="G47" s="40">
        <f>Лист1!V40</f>
        <v>258.59999999999997</v>
      </c>
      <c r="H47" s="171">
        <f>Лист1!W40</f>
        <v>993.0612704499999</v>
      </c>
      <c r="I47" s="39">
        <f>Лист1!Y40</f>
        <v>76.44</v>
      </c>
      <c r="J47" s="16">
        <f>Лист1!AA40+Лист1!AB40</f>
        <v>127.4</v>
      </c>
      <c r="K47" s="16">
        <f>Лист1!Z40+Лист1!AC40+Лист1!AD40+Лист1!AE40+Лист1!AF40+Лист1!AG40+Лист1!AH40+Лист1!AI40+Лист1!AJ40</f>
        <v>436.982</v>
      </c>
      <c r="L47" s="17">
        <f>Лист1!AK40+Лист1!AL40+Лист1!AM40</f>
        <v>0</v>
      </c>
      <c r="M47" s="17">
        <f>Лист1!AP40</f>
        <v>0</v>
      </c>
      <c r="N47" s="172">
        <f>Лист1!AS40</f>
        <v>640.8220000000001</v>
      </c>
      <c r="O47" s="41">
        <f>Лист1!AV40</f>
        <v>352.2392704499998</v>
      </c>
      <c r="P47" s="173">
        <f>Лист1!AW40</f>
        <v>0.13999999999998636</v>
      </c>
      <c r="Q47" s="1"/>
      <c r="R47" s="1"/>
    </row>
    <row r="48" spans="1:18" ht="13.5" thickBot="1">
      <c r="A48" s="42" t="s">
        <v>35</v>
      </c>
      <c r="B48" s="14">
        <f>Лист1!B41</f>
        <v>127.4</v>
      </c>
      <c r="C48" s="169">
        <f>Лист1!C41</f>
        <v>1102.01</v>
      </c>
      <c r="D48" s="170">
        <f>Лист1!D41</f>
        <v>771.8145079999999</v>
      </c>
      <c r="E48" s="39">
        <f>Лист1!O41</f>
        <v>258.46</v>
      </c>
      <c r="F48" s="67">
        <f>Лист1!P41</f>
        <v>0</v>
      </c>
      <c r="G48" s="40">
        <f>Лист1!V41</f>
        <v>232.53</v>
      </c>
      <c r="H48" s="171">
        <f>Лист1!W41</f>
        <v>1004.3445079999999</v>
      </c>
      <c r="I48" s="39">
        <f>Лист1!Y41</f>
        <v>76.44</v>
      </c>
      <c r="J48" s="16">
        <f>Лист1!AA41+Лист1!AB41</f>
        <v>127.4</v>
      </c>
      <c r="K48" s="16">
        <f>Лист1!Z41+Лист1!AC41+Лист1!AD41+Лист1!AE41+Лист1!AF41+Лист1!AG41+Лист1!AH41+Лист1!AI41+Лист1!AJ41</f>
        <v>436.982</v>
      </c>
      <c r="L48" s="17">
        <f>Лист1!AK41+Лист1!AL41+Лист1!AM41</f>
        <v>0</v>
      </c>
      <c r="M48" s="17">
        <f>Лист1!AP41</f>
        <v>0</v>
      </c>
      <c r="N48" s="172">
        <f>Лист1!AS41</f>
        <v>640.8220000000001</v>
      </c>
      <c r="O48" s="41">
        <f>Лист1!AV41</f>
        <v>363.5225079999998</v>
      </c>
      <c r="P48" s="173">
        <f>Лист1!AW41</f>
        <v>-25.92999999999998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13282.94</v>
      </c>
      <c r="D49" s="49">
        <f t="shared" si="3"/>
        <v>7783.046684450001</v>
      </c>
      <c r="E49" s="48">
        <f t="shared" si="3"/>
        <v>2744.76</v>
      </c>
      <c r="F49" s="45">
        <f t="shared" si="3"/>
        <v>386.16</v>
      </c>
      <c r="G49" s="46">
        <f t="shared" si="3"/>
        <v>2703.1400000000003</v>
      </c>
      <c r="H49" s="180">
        <f t="shared" si="3"/>
        <v>10872.34668445</v>
      </c>
      <c r="I49" s="48">
        <f t="shared" si="3"/>
        <v>921.3600000000001</v>
      </c>
      <c r="J49" s="45">
        <f t="shared" si="3"/>
        <v>1535.6000000000004</v>
      </c>
      <c r="K49" s="45">
        <f t="shared" si="3"/>
        <v>5267.108</v>
      </c>
      <c r="L49" s="45">
        <f t="shared" si="3"/>
        <v>3972.19</v>
      </c>
      <c r="M49" s="45">
        <f t="shared" si="3"/>
        <v>0</v>
      </c>
      <c r="N49" s="181">
        <f t="shared" si="3"/>
        <v>11696.258</v>
      </c>
      <c r="O49" s="49">
        <f t="shared" si="3"/>
        <v>-823.9113155500013</v>
      </c>
      <c r="P49" s="182">
        <f t="shared" si="3"/>
        <v>-41.62000000000003</v>
      </c>
      <c r="Q49" s="50"/>
      <c r="R49" s="50"/>
    </row>
    <row r="50" spans="1:18" ht="13.5" thickBot="1">
      <c r="A50" s="183" t="s">
        <v>60</v>
      </c>
      <c r="B50" s="184"/>
      <c r="C50" s="185"/>
      <c r="D50" s="186"/>
      <c r="E50" s="184"/>
      <c r="F50" s="184"/>
      <c r="G50" s="183"/>
      <c r="H50" s="187"/>
      <c r="I50" s="184"/>
      <c r="J50" s="184"/>
      <c r="K50" s="184"/>
      <c r="L50" s="184"/>
      <c r="M50" s="184"/>
      <c r="N50" s="188"/>
      <c r="O50" s="186"/>
      <c r="P50" s="189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30033.665</v>
      </c>
      <c r="D51" s="60">
        <f aca="true" t="shared" si="4" ref="D51:P51">D35+D49</f>
        <v>15678.655253100002</v>
      </c>
      <c r="E51" s="190">
        <f t="shared" si="4"/>
        <v>6234.110000000001</v>
      </c>
      <c r="F51" s="59">
        <f t="shared" si="4"/>
        <v>1300.67</v>
      </c>
      <c r="G51" s="58">
        <f t="shared" si="4"/>
        <v>5471.26</v>
      </c>
      <c r="H51" s="191">
        <f t="shared" si="4"/>
        <v>22450.5852531</v>
      </c>
      <c r="I51" s="190">
        <f t="shared" si="4"/>
        <v>2052.2760000000003</v>
      </c>
      <c r="J51" s="56">
        <f t="shared" si="4"/>
        <v>3411.443738884</v>
      </c>
      <c r="K51" s="56">
        <f t="shared" si="4"/>
        <v>11478.1896646942</v>
      </c>
      <c r="L51" s="56">
        <f t="shared" si="4"/>
        <v>11406.5558</v>
      </c>
      <c r="M51" s="56">
        <f t="shared" si="4"/>
        <v>0</v>
      </c>
      <c r="N51" s="192">
        <f t="shared" si="4"/>
        <v>28348.4652035782</v>
      </c>
      <c r="O51" s="60">
        <f t="shared" si="4"/>
        <v>-5897.879950478202</v>
      </c>
      <c r="P51" s="193">
        <f t="shared" si="4"/>
        <v>-762.8500000000001</v>
      </c>
      <c r="Q51" s="61"/>
      <c r="R51" s="50"/>
    </row>
    <row r="54" spans="1:11" ht="12.75">
      <c r="A54" s="23" t="s">
        <v>80</v>
      </c>
      <c r="B54" s="215"/>
      <c r="C54" s="215"/>
      <c r="D54" s="215" t="s">
        <v>81</v>
      </c>
      <c r="E54" s="215"/>
      <c r="F54" s="215"/>
      <c r="G54" s="215"/>
      <c r="H54" s="215"/>
      <c r="I54" s="215"/>
      <c r="J54" s="215"/>
      <c r="K54" s="215"/>
    </row>
    <row r="55" spans="1:11" ht="12.75">
      <c r="A55" s="216" t="s">
        <v>82</v>
      </c>
      <c r="B55" s="216" t="s">
        <v>83</v>
      </c>
      <c r="C55" s="421" t="s">
        <v>84</v>
      </c>
      <c r="D55" s="421"/>
      <c r="E55" s="215"/>
      <c r="F55" s="215"/>
      <c r="G55" s="215"/>
      <c r="H55" s="215"/>
      <c r="I55" s="215"/>
      <c r="J55" s="215"/>
      <c r="K55" s="215"/>
    </row>
    <row r="56" spans="1:11" ht="12.75">
      <c r="A56" s="217">
        <v>0</v>
      </c>
      <c r="B56" s="218">
        <v>0</v>
      </c>
      <c r="C56" s="422">
        <v>0</v>
      </c>
      <c r="D56" s="423"/>
      <c r="E56" s="215"/>
      <c r="F56" s="215"/>
      <c r="G56" s="215"/>
      <c r="H56" s="215"/>
      <c r="I56" s="215"/>
      <c r="J56" s="215"/>
      <c r="K56" s="215"/>
    </row>
    <row r="57" spans="1:11" ht="12.75">
      <c r="A57" s="219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>
      <c r="A58" s="219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2.75">
      <c r="A59" s="215" t="s">
        <v>85</v>
      </c>
      <c r="B59" s="215"/>
      <c r="C59" s="215"/>
      <c r="D59" s="215"/>
      <c r="E59" s="215"/>
      <c r="F59" s="215"/>
      <c r="G59" s="215" t="s">
        <v>86</v>
      </c>
      <c r="H59" s="215"/>
      <c r="I59" s="215"/>
      <c r="J59" s="215"/>
      <c r="K59" s="215"/>
    </row>
    <row r="60" spans="1:11" ht="12.75">
      <c r="A60" s="220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</sheetData>
  <sheetProtection/>
  <mergeCells count="20"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E12:F12"/>
    <mergeCell ref="H12:H13"/>
    <mergeCell ref="I10:N11"/>
    <mergeCell ref="O10:O13"/>
    <mergeCell ref="M12:M13"/>
    <mergeCell ref="N12:N13"/>
    <mergeCell ref="K12:K13"/>
    <mergeCell ref="L12:L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0.125" style="215" customWidth="1"/>
    <col min="4" max="4" width="10.375" style="215" customWidth="1"/>
    <col min="5" max="5" width="11.125" style="215" customWidth="1"/>
    <col min="6" max="6" width="10.875" style="215" customWidth="1"/>
    <col min="7" max="8" width="12.125" style="215" customWidth="1"/>
    <col min="9" max="9" width="12.00390625" style="215" customWidth="1"/>
    <col min="10" max="10" width="11.125" style="215" customWidth="1"/>
    <col min="11" max="11" width="11.00390625" style="215" customWidth="1"/>
    <col min="12" max="12" width="12.375" style="215" customWidth="1"/>
    <col min="13" max="13" width="10.125" style="215" bestFit="1" customWidth="1"/>
    <col min="14" max="14" width="15.625" style="215" customWidth="1"/>
    <col min="15" max="15" width="16.375" style="215" customWidth="1"/>
    <col min="16" max="16" width="14.625" style="215" customWidth="1"/>
    <col min="17" max="17" width="11.625" style="215" customWidth="1"/>
    <col min="18" max="18" width="11.25390625" style="215" customWidth="1"/>
    <col min="19" max="19" width="10.625" style="215" customWidth="1"/>
    <col min="20" max="20" width="9.25390625" style="215" customWidth="1"/>
    <col min="21" max="21" width="10.125" style="215" bestFit="1" customWidth="1"/>
    <col min="22" max="22" width="11.00390625" style="215" customWidth="1"/>
    <col min="23" max="23" width="12.625" style="215" customWidth="1"/>
    <col min="24" max="24" width="9.25390625" style="215" bestFit="1" customWidth="1"/>
    <col min="25" max="25" width="11.625" style="215" customWidth="1"/>
    <col min="26" max="26" width="9.25390625" style="215" customWidth="1"/>
    <col min="27" max="27" width="10.625" style="215" customWidth="1"/>
    <col min="28" max="28" width="10.75390625" style="215" customWidth="1"/>
    <col min="29" max="29" width="12.125" style="215" customWidth="1"/>
    <col min="30" max="31" width="10.375" style="215" customWidth="1"/>
    <col min="32" max="32" width="10.75390625" style="215" customWidth="1"/>
    <col min="33" max="33" width="9.125" style="215" customWidth="1"/>
    <col min="34" max="34" width="10.125" style="215" bestFit="1" customWidth="1"/>
    <col min="35" max="35" width="9.125" style="215" customWidth="1"/>
    <col min="36" max="36" width="9.75390625" style="215" bestFit="1" customWidth="1"/>
    <col min="37" max="16384" width="9.125" style="215" customWidth="1"/>
  </cols>
  <sheetData>
    <row r="1" spans="1:16" ht="21" customHeight="1">
      <c r="A1" s="338" t="s">
        <v>106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220"/>
    </row>
    <row r="2" spans="1:16" ht="15" customHeight="1">
      <c r="A2" s="220"/>
      <c r="B2" s="221"/>
      <c r="C2" s="222"/>
      <c r="D2" s="22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3.5" thickBot="1"/>
    <row r="4" spans="1:29" ht="31.5" customHeight="1" thickBot="1">
      <c r="A4" s="429" t="s">
        <v>88</v>
      </c>
      <c r="B4" s="341" t="s">
        <v>0</v>
      </c>
      <c r="C4" s="343" t="s">
        <v>1</v>
      </c>
      <c r="D4" s="472" t="s">
        <v>2</v>
      </c>
      <c r="E4" s="339" t="s">
        <v>89</v>
      </c>
      <c r="F4" s="378"/>
      <c r="G4" s="375"/>
      <c r="H4" s="375" t="s">
        <v>90</v>
      </c>
      <c r="I4" s="446" t="s">
        <v>3</v>
      </c>
      <c r="J4" s="462" t="s">
        <v>4</v>
      </c>
      <c r="K4" s="463"/>
      <c r="L4" s="464"/>
      <c r="M4" s="468" t="s">
        <v>21</v>
      </c>
      <c r="N4" s="359" t="s">
        <v>91</v>
      </c>
      <c r="O4" s="395" t="s">
        <v>67</v>
      </c>
      <c r="P4" s="398" t="s">
        <v>6</v>
      </c>
      <c r="Q4" s="399"/>
      <c r="R4" s="399"/>
      <c r="S4" s="399"/>
      <c r="T4" s="399"/>
      <c r="U4" s="399"/>
      <c r="V4" s="399"/>
      <c r="W4" s="399"/>
      <c r="X4" s="399"/>
      <c r="Y4" s="400"/>
      <c r="Z4" s="396" t="s">
        <v>68</v>
      </c>
      <c r="AA4" s="397"/>
      <c r="AB4" s="389" t="s">
        <v>7</v>
      </c>
      <c r="AC4" s="389" t="s">
        <v>8</v>
      </c>
    </row>
    <row r="5" spans="1:29" ht="20.25" customHeight="1" thickBot="1">
      <c r="A5" s="430"/>
      <c r="B5" s="342"/>
      <c r="C5" s="344"/>
      <c r="D5" s="473"/>
      <c r="E5" s="376"/>
      <c r="F5" s="384"/>
      <c r="G5" s="377"/>
      <c r="H5" s="380"/>
      <c r="I5" s="447"/>
      <c r="J5" s="465"/>
      <c r="K5" s="466"/>
      <c r="L5" s="467"/>
      <c r="M5" s="469"/>
      <c r="N5" s="360"/>
      <c r="O5" s="357"/>
      <c r="P5" s="356"/>
      <c r="Q5" s="401"/>
      <c r="R5" s="401"/>
      <c r="S5" s="401"/>
      <c r="T5" s="401"/>
      <c r="U5" s="401"/>
      <c r="V5" s="401"/>
      <c r="W5" s="401"/>
      <c r="X5" s="401"/>
      <c r="Y5" s="402"/>
      <c r="Z5" s="392" t="s">
        <v>69</v>
      </c>
      <c r="AA5" s="395" t="s">
        <v>104</v>
      </c>
      <c r="AB5" s="390"/>
      <c r="AC5" s="390"/>
    </row>
    <row r="6" spans="1:29" ht="27" customHeight="1">
      <c r="A6" s="430"/>
      <c r="B6" s="342"/>
      <c r="C6" s="344"/>
      <c r="D6" s="473"/>
      <c r="E6" s="339" t="s">
        <v>92</v>
      </c>
      <c r="F6" s="446" t="s">
        <v>11</v>
      </c>
      <c r="G6" s="446" t="s">
        <v>13</v>
      </c>
      <c r="H6" s="380"/>
      <c r="I6" s="447"/>
      <c r="J6" s="340" t="s">
        <v>92</v>
      </c>
      <c r="K6" s="447" t="s">
        <v>11</v>
      </c>
      <c r="L6" s="379" t="s">
        <v>13</v>
      </c>
      <c r="M6" s="469"/>
      <c r="N6" s="360"/>
      <c r="O6" s="357"/>
      <c r="P6" s="449" t="s">
        <v>22</v>
      </c>
      <c r="Q6" s="451" t="s">
        <v>23</v>
      </c>
      <c r="R6" s="451" t="s">
        <v>92</v>
      </c>
      <c r="S6" s="457"/>
      <c r="T6" s="457"/>
      <c r="U6" s="460" t="s">
        <v>101</v>
      </c>
      <c r="V6" s="453" t="s">
        <v>93</v>
      </c>
      <c r="W6" s="455" t="s">
        <v>102</v>
      </c>
      <c r="X6" s="470" t="s">
        <v>30</v>
      </c>
      <c r="Y6" s="470" t="s">
        <v>103</v>
      </c>
      <c r="Z6" s="393"/>
      <c r="AA6" s="357"/>
      <c r="AB6" s="390"/>
      <c r="AC6" s="390"/>
    </row>
    <row r="7" spans="1:29" ht="26.25" customHeight="1" thickBot="1">
      <c r="A7" s="431"/>
      <c r="B7" s="342"/>
      <c r="C7" s="344"/>
      <c r="D7" s="473"/>
      <c r="E7" s="445"/>
      <c r="F7" s="447"/>
      <c r="G7" s="448"/>
      <c r="H7" s="459"/>
      <c r="I7" s="447"/>
      <c r="J7" s="445"/>
      <c r="K7" s="447"/>
      <c r="L7" s="379"/>
      <c r="M7" s="469"/>
      <c r="N7" s="360"/>
      <c r="O7" s="357"/>
      <c r="P7" s="450"/>
      <c r="Q7" s="452"/>
      <c r="R7" s="452"/>
      <c r="S7" s="458"/>
      <c r="T7" s="458"/>
      <c r="U7" s="461"/>
      <c r="V7" s="454"/>
      <c r="W7" s="456"/>
      <c r="X7" s="471"/>
      <c r="Y7" s="471"/>
      <c r="Z7" s="393"/>
      <c r="AA7" s="357"/>
      <c r="AB7" s="390"/>
      <c r="AC7" s="390"/>
    </row>
    <row r="8" spans="1:50" s="23" customFormat="1" ht="13.5" thickBot="1">
      <c r="A8" s="223" t="s">
        <v>46</v>
      </c>
      <c r="B8" s="26"/>
      <c r="C8" s="26">
        <v>0</v>
      </c>
      <c r="D8" s="26"/>
      <c r="E8" s="147"/>
      <c r="F8" s="147"/>
      <c r="G8" s="224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25"/>
      <c r="U8" s="225"/>
      <c r="V8" s="225"/>
      <c r="W8" s="225"/>
      <c r="X8" s="225"/>
      <c r="Y8" s="225"/>
      <c r="Z8" s="225"/>
      <c r="AA8" s="26"/>
      <c r="AB8" s="26"/>
      <c r="AC8" s="26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50"/>
    </row>
    <row r="9" spans="1:36" ht="12.75">
      <c r="A9" s="226" t="s">
        <v>94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20"/>
      <c r="AE9" s="220"/>
      <c r="AF9" s="220"/>
      <c r="AG9" s="220"/>
      <c r="AH9" s="220"/>
      <c r="AI9" s="220"/>
      <c r="AJ9" s="220"/>
    </row>
    <row r="10" spans="1:41" ht="12.75">
      <c r="A10" s="229" t="s">
        <v>42</v>
      </c>
      <c r="B10" s="263">
        <v>120.1</v>
      </c>
      <c r="C10" s="265">
        <f aca="true" t="shared" si="0" ref="C10:C16">B10*8.55</f>
        <v>1026.855</v>
      </c>
      <c r="D10" s="266">
        <v>124.18339999999999</v>
      </c>
      <c r="E10" s="267">
        <v>631.18</v>
      </c>
      <c r="F10" s="267">
        <v>306.49</v>
      </c>
      <c r="G10" s="268">
        <v>106.29</v>
      </c>
      <c r="H10" s="291"/>
      <c r="I10" s="269">
        <f>SUM(E10:G10)</f>
        <v>1043.96</v>
      </c>
      <c r="J10" s="270">
        <v>305.59</v>
      </c>
      <c r="K10" s="270">
        <v>148.42</v>
      </c>
      <c r="L10" s="271">
        <v>51.49</v>
      </c>
      <c r="M10" s="272">
        <v>505.5</v>
      </c>
      <c r="N10" s="281">
        <f aca="true" t="shared" si="1" ref="N10:N16">M10+D10</f>
        <v>629.6834</v>
      </c>
      <c r="O10" s="273"/>
      <c r="P10" s="274">
        <f aca="true" t="shared" si="2" ref="P10:P16">0.67*B10</f>
        <v>80.467</v>
      </c>
      <c r="Q10" s="274">
        <f aca="true" t="shared" si="3" ref="Q10:Q16">B10*0.2</f>
        <v>24.02</v>
      </c>
      <c r="R10" s="274">
        <f aca="true" t="shared" si="4" ref="R10:R16">3.25*B10</f>
        <v>390.325</v>
      </c>
      <c r="S10" s="282"/>
      <c r="T10" s="282"/>
      <c r="U10" s="275"/>
      <c r="V10" s="275"/>
      <c r="W10" s="275"/>
      <c r="X10" s="276">
        <v>0</v>
      </c>
      <c r="Y10" s="277">
        <f aca="true" t="shared" si="5" ref="Y10:Y16">SUM(P10:X10)</f>
        <v>494.812</v>
      </c>
      <c r="Z10" s="278"/>
      <c r="AA10" s="228">
        <f>Y10+Z10</f>
        <v>494.812</v>
      </c>
      <c r="AB10" s="227">
        <f>N10-AA10</f>
        <v>134.8714</v>
      </c>
      <c r="AC10" s="228">
        <f>M10-I10</f>
        <v>-538.46</v>
      </c>
      <c r="AD10" s="221"/>
      <c r="AE10" s="221"/>
      <c r="AF10" s="221"/>
      <c r="AG10" s="221"/>
      <c r="AH10" s="220"/>
      <c r="AI10" s="220"/>
      <c r="AJ10" s="220"/>
      <c r="AK10" s="220"/>
      <c r="AL10" s="220"/>
      <c r="AM10" s="220"/>
      <c r="AN10" s="220"/>
      <c r="AO10" s="220"/>
    </row>
    <row r="11" spans="1:37" ht="12.75">
      <c r="A11" s="229" t="s">
        <v>43</v>
      </c>
      <c r="B11" s="84">
        <v>120.1</v>
      </c>
      <c r="C11" s="279">
        <f t="shared" si="0"/>
        <v>1026.855</v>
      </c>
      <c r="D11" s="231">
        <v>124.18339999999999</v>
      </c>
      <c r="E11" s="234">
        <v>1262.36</v>
      </c>
      <c r="F11" s="234">
        <v>612.98</v>
      </c>
      <c r="G11" s="235">
        <v>212.58</v>
      </c>
      <c r="H11" s="292"/>
      <c r="I11" s="232">
        <f aca="true" t="shared" si="6" ref="I11:I16">SUM(E11:G11)</f>
        <v>2087.92</v>
      </c>
      <c r="J11" s="103">
        <v>701.69</v>
      </c>
      <c r="K11" s="103">
        <v>340.73</v>
      </c>
      <c r="L11" s="103">
        <v>118.17</v>
      </c>
      <c r="M11" s="264">
        <f aca="true" t="shared" si="7" ref="M11:M16">SUM(J11:L11)</f>
        <v>1160.5900000000001</v>
      </c>
      <c r="N11" s="237">
        <f t="shared" si="1"/>
        <v>1284.7734</v>
      </c>
      <c r="O11" s="281"/>
      <c r="P11" s="274">
        <f t="shared" si="2"/>
        <v>80.467</v>
      </c>
      <c r="Q11" s="274">
        <f t="shared" si="3"/>
        <v>24.02</v>
      </c>
      <c r="R11" s="274">
        <f t="shared" si="4"/>
        <v>390.325</v>
      </c>
      <c r="S11" s="274"/>
      <c r="T11" s="274"/>
      <c r="U11" s="283"/>
      <c r="V11" s="283"/>
      <c r="W11" s="283"/>
      <c r="X11" s="284">
        <v>0</v>
      </c>
      <c r="Y11" s="277">
        <f t="shared" si="5"/>
        <v>494.812</v>
      </c>
      <c r="Z11" s="285"/>
      <c r="AA11" s="228">
        <f aca="true" t="shared" si="8" ref="AA11:AA16">Y11+Z11</f>
        <v>494.812</v>
      </c>
      <c r="AB11" s="227">
        <f aca="true" t="shared" si="9" ref="AB11:AB16">N11-AA11</f>
        <v>789.9614</v>
      </c>
      <c r="AC11" s="228">
        <f aca="true" t="shared" si="10" ref="AC11:AC16">M11-I11</f>
        <v>-927.3299999999999</v>
      </c>
      <c r="AD11" s="220"/>
      <c r="AE11" s="220"/>
      <c r="AF11" s="220"/>
      <c r="AG11" s="220"/>
      <c r="AH11" s="220"/>
      <c r="AI11" s="220"/>
      <c r="AJ11" s="220"/>
      <c r="AK11" s="220"/>
    </row>
    <row r="12" spans="1:36" ht="12.75">
      <c r="A12" s="229" t="s">
        <v>44</v>
      </c>
      <c r="B12" s="84">
        <v>120.1</v>
      </c>
      <c r="C12" s="279">
        <f t="shared" si="0"/>
        <v>1026.855</v>
      </c>
      <c r="D12" s="231">
        <v>124.18339999999999</v>
      </c>
      <c r="E12" s="286">
        <v>631.18</v>
      </c>
      <c r="F12" s="286">
        <v>306.49</v>
      </c>
      <c r="G12" s="286">
        <v>106.29</v>
      </c>
      <c r="H12" s="293"/>
      <c r="I12" s="232">
        <f t="shared" si="6"/>
        <v>1043.96</v>
      </c>
      <c r="J12" s="103">
        <v>560.38</v>
      </c>
      <c r="K12" s="103">
        <v>272.11</v>
      </c>
      <c r="L12" s="103">
        <v>94.36</v>
      </c>
      <c r="M12" s="264">
        <f t="shared" si="7"/>
        <v>926.85</v>
      </c>
      <c r="N12" s="237">
        <f t="shared" si="1"/>
        <v>1051.0334</v>
      </c>
      <c r="O12" s="281"/>
      <c r="P12" s="274">
        <f t="shared" si="2"/>
        <v>80.467</v>
      </c>
      <c r="Q12" s="274">
        <f t="shared" si="3"/>
        <v>24.02</v>
      </c>
      <c r="R12" s="274">
        <f t="shared" si="4"/>
        <v>390.325</v>
      </c>
      <c r="S12" s="274"/>
      <c r="T12" s="274"/>
      <c r="U12" s="283"/>
      <c r="V12" s="283"/>
      <c r="W12" s="283"/>
      <c r="X12" s="284">
        <v>0</v>
      </c>
      <c r="Y12" s="277">
        <f t="shared" si="5"/>
        <v>494.812</v>
      </c>
      <c r="Z12" s="285"/>
      <c r="AA12" s="228">
        <f t="shared" si="8"/>
        <v>494.812</v>
      </c>
      <c r="AB12" s="227">
        <f t="shared" si="9"/>
        <v>556.2214</v>
      </c>
      <c r="AC12" s="228">
        <f t="shared" si="10"/>
        <v>-117.11000000000001</v>
      </c>
      <c r="AD12" s="220"/>
      <c r="AE12" s="220"/>
      <c r="AF12" s="220"/>
      <c r="AG12" s="220"/>
      <c r="AH12" s="220"/>
      <c r="AI12" s="220"/>
      <c r="AJ12" s="220"/>
    </row>
    <row r="13" spans="1:36" ht="12.75">
      <c r="A13" s="229" t="s">
        <v>45</v>
      </c>
      <c r="B13" s="84">
        <v>120.1</v>
      </c>
      <c r="C13" s="279">
        <f t="shared" si="0"/>
        <v>1026.855</v>
      </c>
      <c r="D13" s="231">
        <v>124.18339999999999</v>
      </c>
      <c r="E13" s="286">
        <v>631.18</v>
      </c>
      <c r="F13" s="286">
        <v>306.49</v>
      </c>
      <c r="G13" s="286">
        <v>106.29</v>
      </c>
      <c r="H13" s="293"/>
      <c r="I13" s="232">
        <f t="shared" si="6"/>
        <v>1043.96</v>
      </c>
      <c r="J13" s="103">
        <v>162.86</v>
      </c>
      <c r="K13" s="103">
        <v>79.06</v>
      </c>
      <c r="L13" s="103">
        <v>27.4</v>
      </c>
      <c r="M13" s="236">
        <f t="shared" si="7"/>
        <v>269.32</v>
      </c>
      <c r="N13" s="237">
        <f t="shared" si="1"/>
        <v>393.5034</v>
      </c>
      <c r="O13" s="281"/>
      <c r="P13" s="274">
        <f t="shared" si="2"/>
        <v>80.467</v>
      </c>
      <c r="Q13" s="274">
        <f t="shared" si="3"/>
        <v>24.02</v>
      </c>
      <c r="R13" s="274">
        <f t="shared" si="4"/>
        <v>390.325</v>
      </c>
      <c r="S13" s="274"/>
      <c r="T13" s="274"/>
      <c r="U13" s="283"/>
      <c r="V13" s="283"/>
      <c r="W13" s="283"/>
      <c r="X13" s="284">
        <v>0</v>
      </c>
      <c r="Y13" s="277">
        <f t="shared" si="5"/>
        <v>494.812</v>
      </c>
      <c r="Z13" s="285"/>
      <c r="AA13" s="228">
        <f t="shared" si="8"/>
        <v>494.812</v>
      </c>
      <c r="AB13" s="227">
        <f t="shared" si="9"/>
        <v>-101.30860000000001</v>
      </c>
      <c r="AC13" s="228">
        <f t="shared" si="10"/>
        <v>-774.6400000000001</v>
      </c>
      <c r="AD13" s="220"/>
      <c r="AE13" s="220"/>
      <c r="AF13" s="220"/>
      <c r="AG13" s="220"/>
      <c r="AH13" s="220"/>
      <c r="AI13" s="220"/>
      <c r="AJ13" s="220"/>
    </row>
    <row r="14" spans="1:36" ht="12.75">
      <c r="A14" s="229" t="s">
        <v>33</v>
      </c>
      <c r="B14" s="84">
        <v>120.1</v>
      </c>
      <c r="C14" s="279">
        <f t="shared" si="0"/>
        <v>1026.855</v>
      </c>
      <c r="D14" s="231">
        <v>124.18339999999999</v>
      </c>
      <c r="E14" s="286">
        <v>631.18</v>
      </c>
      <c r="F14" s="286">
        <v>306.49</v>
      </c>
      <c r="G14" s="287">
        <v>106.29</v>
      </c>
      <c r="H14" s="294"/>
      <c r="I14" s="232">
        <f t="shared" si="6"/>
        <v>1043.96</v>
      </c>
      <c r="J14" s="288">
        <v>926.27</v>
      </c>
      <c r="K14" s="288">
        <v>449.81</v>
      </c>
      <c r="L14" s="289">
        <v>156.02</v>
      </c>
      <c r="M14" s="236">
        <f t="shared" si="7"/>
        <v>1532.1</v>
      </c>
      <c r="N14" s="237">
        <f t="shared" si="1"/>
        <v>1656.2833999999998</v>
      </c>
      <c r="O14" s="281"/>
      <c r="P14" s="274">
        <f t="shared" si="2"/>
        <v>80.467</v>
      </c>
      <c r="Q14" s="274">
        <f t="shared" si="3"/>
        <v>24.02</v>
      </c>
      <c r="R14" s="274">
        <f t="shared" si="4"/>
        <v>390.325</v>
      </c>
      <c r="S14" s="274"/>
      <c r="T14" s="274"/>
      <c r="U14" s="283"/>
      <c r="V14" s="283"/>
      <c r="W14" s="283"/>
      <c r="X14" s="284">
        <v>0</v>
      </c>
      <c r="Y14" s="277">
        <f t="shared" si="5"/>
        <v>494.812</v>
      </c>
      <c r="Z14" s="285"/>
      <c r="AA14" s="228">
        <f t="shared" si="8"/>
        <v>494.812</v>
      </c>
      <c r="AB14" s="227">
        <f t="shared" si="9"/>
        <v>1161.4714</v>
      </c>
      <c r="AC14" s="228">
        <f t="shared" si="10"/>
        <v>488.1399999999999</v>
      </c>
      <c r="AD14" s="220"/>
      <c r="AE14" s="220"/>
      <c r="AF14" s="220"/>
      <c r="AG14" s="220"/>
      <c r="AH14" s="220"/>
      <c r="AI14" s="220"/>
      <c r="AJ14" s="220"/>
    </row>
    <row r="15" spans="1:36" ht="12.75">
      <c r="A15" s="216" t="s">
        <v>34</v>
      </c>
      <c r="B15" s="84">
        <v>120.1</v>
      </c>
      <c r="C15" s="279">
        <f t="shared" si="0"/>
        <v>1026.855</v>
      </c>
      <c r="D15" s="231">
        <v>124.18339999999999</v>
      </c>
      <c r="E15" s="286">
        <v>631.18</v>
      </c>
      <c r="F15" s="286">
        <v>306.49</v>
      </c>
      <c r="G15" s="286">
        <v>106.29</v>
      </c>
      <c r="H15" s="293"/>
      <c r="I15" s="232">
        <f t="shared" si="6"/>
        <v>1043.96</v>
      </c>
      <c r="J15" s="288">
        <v>730.36</v>
      </c>
      <c r="K15" s="288">
        <v>354.66</v>
      </c>
      <c r="L15" s="288">
        <v>122.99</v>
      </c>
      <c r="M15" s="236">
        <f t="shared" si="7"/>
        <v>1208.01</v>
      </c>
      <c r="N15" s="237">
        <f t="shared" si="1"/>
        <v>1332.1933999999999</v>
      </c>
      <c r="O15" s="281"/>
      <c r="P15" s="274">
        <f t="shared" si="2"/>
        <v>80.467</v>
      </c>
      <c r="Q15" s="274">
        <f t="shared" si="3"/>
        <v>24.02</v>
      </c>
      <c r="R15" s="274">
        <f t="shared" si="4"/>
        <v>390.325</v>
      </c>
      <c r="S15" s="274"/>
      <c r="T15" s="274"/>
      <c r="U15" s="283"/>
      <c r="V15" s="283"/>
      <c r="W15" s="283"/>
      <c r="X15" s="284">
        <v>0</v>
      </c>
      <c r="Y15" s="277">
        <f t="shared" si="5"/>
        <v>494.812</v>
      </c>
      <c r="Z15" s="285"/>
      <c r="AA15" s="228">
        <f t="shared" si="8"/>
        <v>494.812</v>
      </c>
      <c r="AB15" s="227">
        <f t="shared" si="9"/>
        <v>837.3813999999999</v>
      </c>
      <c r="AC15" s="228">
        <f t="shared" si="10"/>
        <v>164.04999999999995</v>
      </c>
      <c r="AD15" s="220"/>
      <c r="AE15" s="220"/>
      <c r="AF15" s="220"/>
      <c r="AG15" s="220"/>
      <c r="AH15" s="220"/>
      <c r="AI15" s="220"/>
      <c r="AJ15" s="220"/>
    </row>
    <row r="16" spans="1:36" ht="13.5" thickBot="1">
      <c r="A16" s="238" t="s">
        <v>35</v>
      </c>
      <c r="B16" s="84">
        <v>120.1</v>
      </c>
      <c r="C16" s="279">
        <f t="shared" si="0"/>
        <v>1026.855</v>
      </c>
      <c r="D16" s="231">
        <v>124.18339999999999</v>
      </c>
      <c r="E16" s="234">
        <v>631.18</v>
      </c>
      <c r="F16" s="234">
        <v>306.49</v>
      </c>
      <c r="G16" s="234">
        <v>106.29</v>
      </c>
      <c r="H16" s="292"/>
      <c r="I16" s="232">
        <f t="shared" si="6"/>
        <v>1043.96</v>
      </c>
      <c r="J16" s="233">
        <v>935.75</v>
      </c>
      <c r="K16" s="233">
        <v>454.33</v>
      </c>
      <c r="L16" s="230">
        <v>157.55</v>
      </c>
      <c r="M16" s="236">
        <f t="shared" si="7"/>
        <v>1547.6299999999999</v>
      </c>
      <c r="N16" s="237">
        <f t="shared" si="1"/>
        <v>1671.8133999999998</v>
      </c>
      <c r="O16" s="281"/>
      <c r="P16" s="274">
        <f t="shared" si="2"/>
        <v>80.467</v>
      </c>
      <c r="Q16" s="274">
        <f t="shared" si="3"/>
        <v>24.02</v>
      </c>
      <c r="R16" s="274">
        <f t="shared" si="4"/>
        <v>390.325</v>
      </c>
      <c r="S16" s="280"/>
      <c r="T16" s="280"/>
      <c r="U16" s="283">
        <v>678</v>
      </c>
      <c r="V16" s="283"/>
      <c r="W16" s="290">
        <f>36+35+18</f>
        <v>89</v>
      </c>
      <c r="X16" s="284">
        <v>0</v>
      </c>
      <c r="Y16" s="277">
        <f t="shared" si="5"/>
        <v>1261.812</v>
      </c>
      <c r="Z16" s="285"/>
      <c r="AA16" s="228">
        <f t="shared" si="8"/>
        <v>1261.812</v>
      </c>
      <c r="AB16" s="227">
        <f t="shared" si="9"/>
        <v>410.0013999999999</v>
      </c>
      <c r="AC16" s="228">
        <f t="shared" si="10"/>
        <v>503.66999999999985</v>
      </c>
      <c r="AD16" s="220"/>
      <c r="AE16" s="220"/>
      <c r="AF16" s="220"/>
      <c r="AG16" s="220"/>
      <c r="AH16" s="220"/>
      <c r="AI16" s="220"/>
      <c r="AJ16" s="220"/>
    </row>
    <row r="17" spans="1:36" s="23" customFormat="1" ht="13.5" thickBot="1">
      <c r="A17" s="239" t="s">
        <v>3</v>
      </c>
      <c r="B17" s="240"/>
      <c r="C17" s="240"/>
      <c r="D17" s="241">
        <f>SUM(D10:D16)</f>
        <v>869.2837999999999</v>
      </c>
      <c r="E17" s="241">
        <f>SUM(E10:E16)</f>
        <v>5049.44</v>
      </c>
      <c r="F17" s="241">
        <f>SUM(F10:F16)</f>
        <v>2451.92</v>
      </c>
      <c r="G17" s="241">
        <f>SUM(G10:G16)</f>
        <v>850.3199999999999</v>
      </c>
      <c r="H17" s="241">
        <f aca="true" t="shared" si="11" ref="H17:N17">SUM(J10:J16)</f>
        <v>4322.9</v>
      </c>
      <c r="I17" s="241">
        <f t="shared" si="11"/>
        <v>2099.12</v>
      </c>
      <c r="J17" s="241">
        <f t="shared" si="11"/>
        <v>727.98</v>
      </c>
      <c r="K17" s="241">
        <f t="shared" si="11"/>
        <v>7150.000000000001</v>
      </c>
      <c r="L17" s="241">
        <f t="shared" si="11"/>
        <v>8019.2838</v>
      </c>
      <c r="M17" s="241">
        <f t="shared" si="11"/>
        <v>0</v>
      </c>
      <c r="N17" s="241">
        <f t="shared" si="11"/>
        <v>563.269</v>
      </c>
      <c r="O17" s="241">
        <f>SUM(P10:P16)</f>
        <v>563.269</v>
      </c>
      <c r="P17" s="241">
        <f>SUM(Q10:Q16)</f>
        <v>168.14000000000001</v>
      </c>
      <c r="Q17" s="241">
        <f>SUM(R10:R16)</f>
        <v>2732.2749999999996</v>
      </c>
      <c r="R17" s="241">
        <f>SUM(S10:S16)</f>
        <v>0</v>
      </c>
      <c r="S17" s="241">
        <f>SUM(T10:T16)</f>
        <v>0</v>
      </c>
      <c r="T17" s="241">
        <f aca="true" t="shared" si="12" ref="T17:AB17">SUM(T10:T16)</f>
        <v>0</v>
      </c>
      <c r="U17" s="241">
        <f t="shared" si="12"/>
        <v>678</v>
      </c>
      <c r="V17" s="241">
        <f t="shared" si="12"/>
        <v>0</v>
      </c>
      <c r="W17" s="241">
        <f t="shared" si="12"/>
        <v>89</v>
      </c>
      <c r="X17" s="241">
        <f t="shared" si="12"/>
        <v>0</v>
      </c>
      <c r="Y17" s="241">
        <f t="shared" si="12"/>
        <v>4230.683999999999</v>
      </c>
      <c r="Z17" s="241">
        <f t="shared" si="12"/>
        <v>0</v>
      </c>
      <c r="AA17" s="241">
        <f t="shared" si="12"/>
        <v>4230.683999999999</v>
      </c>
      <c r="AB17" s="241">
        <f t="shared" si="12"/>
        <v>3788.599799999999</v>
      </c>
      <c r="AC17" s="241">
        <f>SUM(AC10:AC16)</f>
        <v>-1201.6800000000003</v>
      </c>
      <c r="AD17" s="50"/>
      <c r="AE17" s="50"/>
      <c r="AF17" s="50"/>
      <c r="AG17" s="50"/>
      <c r="AH17" s="50"/>
      <c r="AI17" s="50"/>
      <c r="AJ17" s="50"/>
    </row>
    <row r="18" spans="1:36" ht="13.5" thickBo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20"/>
      <c r="AE18" s="220"/>
      <c r="AF18" s="220"/>
      <c r="AG18" s="220"/>
      <c r="AH18" s="220"/>
      <c r="AI18" s="220"/>
      <c r="AJ18" s="220"/>
    </row>
    <row r="19" spans="1:29" s="23" customFormat="1" ht="13.5" thickBot="1">
      <c r="A19" s="239" t="s">
        <v>95</v>
      </c>
      <c r="B19" s="240"/>
      <c r="C19" s="240"/>
      <c r="D19" s="241">
        <v>9330.22</v>
      </c>
      <c r="E19" s="241">
        <v>263129.61</v>
      </c>
      <c r="F19" s="241">
        <v>181875.86</v>
      </c>
      <c r="G19" s="241">
        <v>45624.38</v>
      </c>
      <c r="H19" s="241">
        <v>71944.81</v>
      </c>
      <c r="I19" s="241">
        <v>490629.85</v>
      </c>
      <c r="J19" s="241">
        <v>216840.97</v>
      </c>
      <c r="K19" s="241">
        <v>151570.93</v>
      </c>
      <c r="L19" s="241">
        <v>38052.74</v>
      </c>
      <c r="M19" s="241">
        <v>406464.64</v>
      </c>
      <c r="N19" s="241">
        <v>534624.38</v>
      </c>
      <c r="O19" s="240">
        <v>0</v>
      </c>
      <c r="P19" s="243">
        <f>P8+P17</f>
        <v>168.14000000000001</v>
      </c>
      <c r="Q19" s="243">
        <f>Q8+Q17</f>
        <v>2732.2749999999996</v>
      </c>
      <c r="R19" s="243">
        <f aca="true" t="shared" si="13" ref="R19:Z19">R8+R17</f>
        <v>0</v>
      </c>
      <c r="S19" s="243">
        <f t="shared" si="13"/>
        <v>0</v>
      </c>
      <c r="T19" s="243">
        <f t="shared" si="13"/>
        <v>0</v>
      </c>
      <c r="U19" s="243">
        <f t="shared" si="13"/>
        <v>678</v>
      </c>
      <c r="V19" s="243">
        <f t="shared" si="13"/>
        <v>0</v>
      </c>
      <c r="W19" s="243">
        <f t="shared" si="13"/>
        <v>89</v>
      </c>
      <c r="X19" s="243">
        <f t="shared" si="13"/>
        <v>0</v>
      </c>
      <c r="Y19" s="243">
        <f t="shared" si="13"/>
        <v>4230.683999999999</v>
      </c>
      <c r="Z19" s="243">
        <f t="shared" si="13"/>
        <v>0</v>
      </c>
      <c r="AA19" s="243">
        <f>AA8+AA17</f>
        <v>4230.683999999999</v>
      </c>
      <c r="AB19" s="243">
        <f>AB8+AB17</f>
        <v>3788.599799999999</v>
      </c>
      <c r="AC19" s="243">
        <f>AC8+AC17</f>
        <v>-1201.6800000000003</v>
      </c>
    </row>
    <row r="20" spans="1:36" ht="12.75">
      <c r="A20" s="226" t="s">
        <v>108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20"/>
      <c r="AE20" s="220"/>
      <c r="AF20" s="220"/>
      <c r="AG20" s="220"/>
      <c r="AH20" s="220"/>
      <c r="AI20" s="220"/>
      <c r="AJ20" s="220"/>
    </row>
    <row r="21" spans="1:36" ht="14.25">
      <c r="A21" s="229" t="s">
        <v>37</v>
      </c>
      <c r="B21" s="84">
        <v>120.1</v>
      </c>
      <c r="C21" s="279">
        <f>B21*8.55</f>
        <v>1026.855</v>
      </c>
      <c r="D21" s="231">
        <v>122.50199999999998</v>
      </c>
      <c r="E21" s="295">
        <v>631.18</v>
      </c>
      <c r="F21" s="295">
        <v>306.49</v>
      </c>
      <c r="G21" s="295">
        <v>106.29</v>
      </c>
      <c r="H21" s="301"/>
      <c r="I21" s="232">
        <f aca="true" t="shared" si="14" ref="I21:I32">SUM(E21:G21)</f>
        <v>1043.96</v>
      </c>
      <c r="J21" s="288">
        <v>320.6</v>
      </c>
      <c r="K21" s="288">
        <v>155.72</v>
      </c>
      <c r="L21" s="288">
        <v>54.03</v>
      </c>
      <c r="M21" s="236">
        <f aca="true" t="shared" si="15" ref="M21:M32">SUM(J21:L21)</f>
        <v>530.35</v>
      </c>
      <c r="N21" s="237">
        <f aca="true" t="shared" si="16" ref="N21:N32">M21+D21</f>
        <v>652.852</v>
      </c>
      <c r="O21" s="296"/>
      <c r="P21" s="274">
        <f aca="true" t="shared" si="17" ref="P21:P32">0.67*B21</f>
        <v>80.467</v>
      </c>
      <c r="Q21" s="274">
        <f aca="true" t="shared" si="18" ref="Q21:Q32">B21*0.2</f>
        <v>24.02</v>
      </c>
      <c r="R21" s="282">
        <f aca="true" t="shared" si="19" ref="R21:R28">B21*0.21</f>
        <v>25.220999999999997</v>
      </c>
      <c r="S21" s="274">
        <f aca="true" t="shared" si="20" ref="S21:S31">3.25*B21</f>
        <v>390.325</v>
      </c>
      <c r="T21" s="283"/>
      <c r="U21" s="283"/>
      <c r="V21" s="283"/>
      <c r="W21" s="283"/>
      <c r="X21" s="282"/>
      <c r="Y21" s="284">
        <f aca="true" t="shared" si="21" ref="Y21:Y32">SUM(P21:X21)</f>
        <v>520.033</v>
      </c>
      <c r="Z21" s="285"/>
      <c r="AA21" s="302">
        <f>Y21</f>
        <v>520.033</v>
      </c>
      <c r="AB21" s="227">
        <f>N21-AA21</f>
        <v>132.81899999999996</v>
      </c>
      <c r="AC21" s="227">
        <f>M21-I21</f>
        <v>-513.61</v>
      </c>
      <c r="AD21" s="220"/>
      <c r="AE21" s="220"/>
      <c r="AF21" s="220"/>
      <c r="AG21" s="220"/>
      <c r="AH21" s="220"/>
      <c r="AI21" s="220"/>
      <c r="AJ21" s="220"/>
    </row>
    <row r="22" spans="1:36" ht="12.75">
      <c r="A22" s="229" t="s">
        <v>38</v>
      </c>
      <c r="B22" s="84">
        <v>120.1</v>
      </c>
      <c r="C22" s="279">
        <f>B22*8.55</f>
        <v>1026.855</v>
      </c>
      <c r="D22" s="231">
        <v>122.50199999999998</v>
      </c>
      <c r="E22" s="286">
        <v>631.18</v>
      </c>
      <c r="F22" s="286">
        <v>306.49</v>
      </c>
      <c r="G22" s="297">
        <v>106.29</v>
      </c>
      <c r="H22" s="293"/>
      <c r="I22" s="232">
        <f t="shared" si="14"/>
        <v>1043.96</v>
      </c>
      <c r="J22" s="103">
        <v>631.16</v>
      </c>
      <c r="K22" s="103">
        <v>306.48</v>
      </c>
      <c r="L22" s="103">
        <v>106.28</v>
      </c>
      <c r="M22" s="236">
        <f t="shared" si="15"/>
        <v>1043.92</v>
      </c>
      <c r="N22" s="237">
        <f t="shared" si="16"/>
        <v>1166.422</v>
      </c>
      <c r="O22" s="296"/>
      <c r="P22" s="274">
        <f t="shared" si="17"/>
        <v>80.467</v>
      </c>
      <c r="Q22" s="274">
        <f t="shared" si="18"/>
        <v>24.02</v>
      </c>
      <c r="R22" s="282">
        <f t="shared" si="19"/>
        <v>25.220999999999997</v>
      </c>
      <c r="S22" s="274">
        <f t="shared" si="20"/>
        <v>390.325</v>
      </c>
      <c r="T22" s="283"/>
      <c r="U22" s="283"/>
      <c r="V22" s="283"/>
      <c r="W22" s="283"/>
      <c r="X22" s="282"/>
      <c r="Y22" s="284">
        <f t="shared" si="21"/>
        <v>520.033</v>
      </c>
      <c r="Z22" s="285"/>
      <c r="AA22" s="302">
        <f aca="true" t="shared" si="22" ref="AA22:AA32">Y22</f>
        <v>520.033</v>
      </c>
      <c r="AB22" s="227">
        <f aca="true" t="shared" si="23" ref="AB22:AB32">N22-AA22</f>
        <v>646.389</v>
      </c>
      <c r="AC22" s="227">
        <f aca="true" t="shared" si="24" ref="AC22:AC32">M22-I22</f>
        <v>-0.03999999999996362</v>
      </c>
      <c r="AD22" s="220"/>
      <c r="AE22" s="220"/>
      <c r="AF22" s="220"/>
      <c r="AG22" s="220"/>
      <c r="AH22" s="220"/>
      <c r="AI22" s="220"/>
      <c r="AJ22" s="220"/>
    </row>
    <row r="23" spans="1:36" ht="12.75">
      <c r="A23" s="229" t="s">
        <v>39</v>
      </c>
      <c r="B23" s="84">
        <v>120.1</v>
      </c>
      <c r="C23" s="279">
        <f>B23*8.55</f>
        <v>1026.855</v>
      </c>
      <c r="D23" s="231">
        <v>122.50199999999998</v>
      </c>
      <c r="E23" s="286">
        <v>631.18</v>
      </c>
      <c r="F23" s="286">
        <v>306.49</v>
      </c>
      <c r="G23" s="286">
        <v>106.29</v>
      </c>
      <c r="H23" s="293"/>
      <c r="I23" s="232">
        <f t="shared" si="14"/>
        <v>1043.96</v>
      </c>
      <c r="J23" s="103">
        <v>630.94</v>
      </c>
      <c r="K23" s="103">
        <v>306.37</v>
      </c>
      <c r="L23" s="103">
        <v>106.25</v>
      </c>
      <c r="M23" s="236">
        <f t="shared" si="15"/>
        <v>1043.56</v>
      </c>
      <c r="N23" s="237">
        <f t="shared" si="16"/>
        <v>1166.062</v>
      </c>
      <c r="O23" s="296"/>
      <c r="P23" s="274">
        <f t="shared" si="17"/>
        <v>80.467</v>
      </c>
      <c r="Q23" s="274">
        <f t="shared" si="18"/>
        <v>24.02</v>
      </c>
      <c r="R23" s="282">
        <f t="shared" si="19"/>
        <v>25.220999999999997</v>
      </c>
      <c r="S23" s="274">
        <f t="shared" si="20"/>
        <v>390.325</v>
      </c>
      <c r="T23" s="283"/>
      <c r="U23" s="283"/>
      <c r="V23" s="283"/>
      <c r="W23" s="283"/>
      <c r="X23" s="282"/>
      <c r="Y23" s="284">
        <f t="shared" si="21"/>
        <v>520.033</v>
      </c>
      <c r="Z23" s="285"/>
      <c r="AA23" s="302">
        <f t="shared" si="22"/>
        <v>520.033</v>
      </c>
      <c r="AB23" s="227">
        <f t="shared" si="23"/>
        <v>646.0289999999999</v>
      </c>
      <c r="AC23" s="227">
        <f t="shared" si="24"/>
        <v>-0.40000000000009095</v>
      </c>
      <c r="AD23" s="220"/>
      <c r="AE23" s="220"/>
      <c r="AF23" s="220"/>
      <c r="AG23" s="220"/>
      <c r="AH23" s="220"/>
      <c r="AI23" s="220"/>
      <c r="AJ23" s="220"/>
    </row>
    <row r="24" spans="1:36" ht="12.75">
      <c r="A24" s="229" t="s">
        <v>40</v>
      </c>
      <c r="B24" s="84">
        <v>120.1</v>
      </c>
      <c r="C24" s="279">
        <f>B24*8.55</f>
        <v>1026.855</v>
      </c>
      <c r="D24" s="231">
        <v>122.50199999999998</v>
      </c>
      <c r="E24" s="286">
        <v>631.18</v>
      </c>
      <c r="F24" s="286">
        <v>306.49</v>
      </c>
      <c r="G24" s="286">
        <v>106.29</v>
      </c>
      <c r="H24" s="293"/>
      <c r="I24" s="232">
        <f t="shared" si="14"/>
        <v>1043.96</v>
      </c>
      <c r="J24" s="103">
        <v>631.03</v>
      </c>
      <c r="K24" s="103">
        <v>306.42</v>
      </c>
      <c r="L24" s="103">
        <v>106.26</v>
      </c>
      <c r="M24" s="236">
        <f t="shared" si="15"/>
        <v>1043.71</v>
      </c>
      <c r="N24" s="237">
        <f t="shared" si="16"/>
        <v>1166.212</v>
      </c>
      <c r="O24" s="296"/>
      <c r="P24" s="274">
        <f t="shared" si="17"/>
        <v>80.467</v>
      </c>
      <c r="Q24" s="274">
        <f t="shared" si="18"/>
        <v>24.02</v>
      </c>
      <c r="R24" s="282">
        <f t="shared" si="19"/>
        <v>25.220999999999997</v>
      </c>
      <c r="S24" s="274">
        <f t="shared" si="20"/>
        <v>390.325</v>
      </c>
      <c r="T24" s="283"/>
      <c r="U24" s="283"/>
      <c r="V24" s="283"/>
      <c r="W24" s="283"/>
      <c r="X24" s="282"/>
      <c r="Y24" s="284">
        <f t="shared" si="21"/>
        <v>520.033</v>
      </c>
      <c r="Z24" s="285"/>
      <c r="AA24" s="302">
        <f t="shared" si="22"/>
        <v>520.033</v>
      </c>
      <c r="AB24" s="227">
        <f t="shared" si="23"/>
        <v>646.179</v>
      </c>
      <c r="AC24" s="227">
        <f t="shared" si="24"/>
        <v>-0.25</v>
      </c>
      <c r="AD24" s="220"/>
      <c r="AE24" s="220"/>
      <c r="AF24" s="220"/>
      <c r="AG24" s="220"/>
      <c r="AH24" s="220"/>
      <c r="AI24" s="220"/>
      <c r="AJ24" s="220"/>
    </row>
    <row r="25" spans="1:36" ht="12.75">
      <c r="A25" s="229" t="s">
        <v>41</v>
      </c>
      <c r="B25" s="298">
        <v>120.1</v>
      </c>
      <c r="C25" s="279">
        <f>B25*8.55</f>
        <v>1026.855</v>
      </c>
      <c r="D25" s="231">
        <v>122.50199999999998</v>
      </c>
      <c r="E25" s="286">
        <v>631.18</v>
      </c>
      <c r="F25" s="286">
        <v>306.49</v>
      </c>
      <c r="G25" s="286">
        <v>106.29</v>
      </c>
      <c r="H25" s="293"/>
      <c r="I25" s="232">
        <f t="shared" si="14"/>
        <v>1043.96</v>
      </c>
      <c r="J25" s="103">
        <v>631.14</v>
      </c>
      <c r="K25" s="103">
        <v>306.47</v>
      </c>
      <c r="L25" s="103">
        <v>106.28</v>
      </c>
      <c r="M25" s="236">
        <f t="shared" si="15"/>
        <v>1043.89</v>
      </c>
      <c r="N25" s="237">
        <f t="shared" si="16"/>
        <v>1166.392</v>
      </c>
      <c r="O25" s="296"/>
      <c r="P25" s="274">
        <f t="shared" si="17"/>
        <v>80.467</v>
      </c>
      <c r="Q25" s="274">
        <f t="shared" si="18"/>
        <v>24.02</v>
      </c>
      <c r="R25" s="282">
        <f t="shared" si="19"/>
        <v>25.220999999999997</v>
      </c>
      <c r="S25" s="274">
        <f t="shared" si="20"/>
        <v>390.325</v>
      </c>
      <c r="T25" s="283"/>
      <c r="U25" s="283"/>
      <c r="V25" s="283"/>
      <c r="W25" s="283"/>
      <c r="X25" s="282"/>
      <c r="Y25" s="284">
        <f t="shared" si="21"/>
        <v>520.033</v>
      </c>
      <c r="Z25" s="285"/>
      <c r="AA25" s="302">
        <f t="shared" si="22"/>
        <v>520.033</v>
      </c>
      <c r="AB25" s="227">
        <f t="shared" si="23"/>
        <v>646.359</v>
      </c>
      <c r="AC25" s="227">
        <f t="shared" si="24"/>
        <v>-0.06999999999993634</v>
      </c>
      <c r="AD25" s="220"/>
      <c r="AE25" s="220"/>
      <c r="AF25" s="220"/>
      <c r="AG25" s="220"/>
      <c r="AH25" s="220"/>
      <c r="AI25" s="220"/>
      <c r="AJ25" s="220"/>
    </row>
    <row r="26" spans="1:41" ht="12.75">
      <c r="A26" s="229" t="s">
        <v>42</v>
      </c>
      <c r="B26" s="84">
        <v>120.1</v>
      </c>
      <c r="C26" s="279">
        <f>B26*9.51</f>
        <v>1142.1509999999998</v>
      </c>
      <c r="D26" s="231">
        <v>163.93650000000002</v>
      </c>
      <c r="E26" s="286">
        <v>1142.15</v>
      </c>
      <c r="F26" s="286"/>
      <c r="G26" s="286"/>
      <c r="H26" s="293"/>
      <c r="I26" s="232">
        <f t="shared" si="14"/>
        <v>1142.15</v>
      </c>
      <c r="J26" s="103">
        <v>855.23</v>
      </c>
      <c r="K26" s="103">
        <v>143.2</v>
      </c>
      <c r="L26" s="103">
        <v>49.68</v>
      </c>
      <c r="M26" s="236">
        <f t="shared" si="15"/>
        <v>1048.1100000000001</v>
      </c>
      <c r="N26" s="237">
        <f t="shared" si="16"/>
        <v>1212.0465000000002</v>
      </c>
      <c r="O26" s="296"/>
      <c r="P26" s="274">
        <f t="shared" si="17"/>
        <v>80.467</v>
      </c>
      <c r="Q26" s="274">
        <f t="shared" si="18"/>
        <v>24.02</v>
      </c>
      <c r="R26" s="282">
        <f t="shared" si="19"/>
        <v>25.220999999999997</v>
      </c>
      <c r="S26" s="274">
        <f t="shared" si="20"/>
        <v>390.325</v>
      </c>
      <c r="T26" s="283"/>
      <c r="U26" s="283"/>
      <c r="V26" s="283"/>
      <c r="W26" s="283"/>
      <c r="X26" s="282"/>
      <c r="Y26" s="284">
        <f t="shared" si="21"/>
        <v>520.033</v>
      </c>
      <c r="Z26" s="285"/>
      <c r="AA26" s="302">
        <f t="shared" si="22"/>
        <v>520.033</v>
      </c>
      <c r="AB26" s="227">
        <f t="shared" si="23"/>
        <v>692.0135000000001</v>
      </c>
      <c r="AC26" s="227">
        <f t="shared" si="24"/>
        <v>-94.03999999999996</v>
      </c>
      <c r="AD26" s="221"/>
      <c r="AE26" s="221"/>
      <c r="AF26" s="221"/>
      <c r="AG26" s="221"/>
      <c r="AH26" s="220"/>
      <c r="AI26" s="220"/>
      <c r="AJ26" s="220"/>
      <c r="AK26" s="220"/>
      <c r="AL26" s="220"/>
      <c r="AM26" s="220"/>
      <c r="AN26" s="220"/>
      <c r="AO26" s="220"/>
    </row>
    <row r="27" spans="1:37" ht="12.75">
      <c r="A27" s="229" t="s">
        <v>43</v>
      </c>
      <c r="B27" s="84">
        <v>120.1</v>
      </c>
      <c r="C27" s="279">
        <f>B27*9.51</f>
        <v>1142.1509999999998</v>
      </c>
      <c r="D27" s="231"/>
      <c r="E27" s="299">
        <v>1142.15</v>
      </c>
      <c r="F27" s="286"/>
      <c r="G27" s="286"/>
      <c r="H27" s="293"/>
      <c r="I27" s="232">
        <f t="shared" si="14"/>
        <v>1142.15</v>
      </c>
      <c r="J27" s="103">
        <v>529.96</v>
      </c>
      <c r="K27" s="103">
        <v>24.38</v>
      </c>
      <c r="L27" s="103">
        <v>8.46</v>
      </c>
      <c r="M27" s="236">
        <f t="shared" si="15"/>
        <v>562.8000000000001</v>
      </c>
      <c r="N27" s="237">
        <f t="shared" si="16"/>
        <v>562.8000000000001</v>
      </c>
      <c r="O27" s="296"/>
      <c r="P27" s="274">
        <f t="shared" si="17"/>
        <v>80.467</v>
      </c>
      <c r="Q27" s="274">
        <f t="shared" si="18"/>
        <v>24.02</v>
      </c>
      <c r="R27" s="282">
        <f t="shared" si="19"/>
        <v>25.220999999999997</v>
      </c>
      <c r="S27" s="274">
        <f t="shared" si="20"/>
        <v>390.325</v>
      </c>
      <c r="T27" s="283"/>
      <c r="U27" s="283"/>
      <c r="V27" s="283"/>
      <c r="W27" s="283"/>
      <c r="X27" s="282"/>
      <c r="Y27" s="284">
        <f t="shared" si="21"/>
        <v>520.033</v>
      </c>
      <c r="Z27" s="285"/>
      <c r="AA27" s="302">
        <f t="shared" si="22"/>
        <v>520.033</v>
      </c>
      <c r="AB27" s="227">
        <f t="shared" si="23"/>
        <v>42.76700000000005</v>
      </c>
      <c r="AC27" s="227">
        <f t="shared" si="24"/>
        <v>-579.35</v>
      </c>
      <c r="AD27" s="220"/>
      <c r="AE27" s="220"/>
      <c r="AF27" s="220"/>
      <c r="AG27" s="220"/>
      <c r="AH27" s="220"/>
      <c r="AI27" s="220"/>
      <c r="AJ27" s="220"/>
      <c r="AK27" s="220"/>
    </row>
    <row r="28" spans="1:36" ht="12.75">
      <c r="A28" s="229" t="s">
        <v>44</v>
      </c>
      <c r="B28" s="298">
        <v>120.1</v>
      </c>
      <c r="C28" s="279">
        <f>B28*8.55</f>
        <v>1026.855</v>
      </c>
      <c r="D28" s="231">
        <v>122.50199999999998</v>
      </c>
      <c r="E28" s="286">
        <v>631.18</v>
      </c>
      <c r="F28" s="286">
        <v>306.49</v>
      </c>
      <c r="G28" s="297">
        <v>106.29</v>
      </c>
      <c r="H28" s="293"/>
      <c r="I28" s="232">
        <f t="shared" si="14"/>
        <v>1043.96</v>
      </c>
      <c r="J28" s="103">
        <v>319.91</v>
      </c>
      <c r="K28" s="103">
        <v>155.38</v>
      </c>
      <c r="L28" s="84">
        <v>53.91</v>
      </c>
      <c r="M28" s="236">
        <f t="shared" si="15"/>
        <v>529.2</v>
      </c>
      <c r="N28" s="237">
        <f t="shared" si="16"/>
        <v>651.702</v>
      </c>
      <c r="O28" s="296"/>
      <c r="P28" s="274">
        <f t="shared" si="17"/>
        <v>80.467</v>
      </c>
      <c r="Q28" s="274">
        <f t="shared" si="18"/>
        <v>24.02</v>
      </c>
      <c r="R28" s="282">
        <f t="shared" si="19"/>
        <v>25.220999999999997</v>
      </c>
      <c r="S28" s="274">
        <f t="shared" si="20"/>
        <v>390.325</v>
      </c>
      <c r="T28" s="283"/>
      <c r="U28" s="283"/>
      <c r="V28" s="283"/>
      <c r="W28" s="283"/>
      <c r="X28" s="282"/>
      <c r="Y28" s="284">
        <f t="shared" si="21"/>
        <v>520.033</v>
      </c>
      <c r="Z28" s="285"/>
      <c r="AA28" s="302">
        <f t="shared" si="22"/>
        <v>520.033</v>
      </c>
      <c r="AB28" s="227">
        <f t="shared" si="23"/>
        <v>131.66899999999998</v>
      </c>
      <c r="AC28" s="227">
        <f t="shared" si="24"/>
        <v>-514.76</v>
      </c>
      <c r="AD28" s="220"/>
      <c r="AE28" s="220"/>
      <c r="AF28" s="220"/>
      <c r="AG28" s="220"/>
      <c r="AH28" s="220"/>
      <c r="AI28" s="220"/>
      <c r="AJ28" s="220"/>
    </row>
    <row r="29" spans="1:36" ht="12.75">
      <c r="A29" s="229" t="s">
        <v>45</v>
      </c>
      <c r="B29" s="84">
        <v>120.1</v>
      </c>
      <c r="C29" s="279">
        <f>B29*9.51</f>
        <v>1142.1509999999998</v>
      </c>
      <c r="D29" s="231"/>
      <c r="E29" s="299">
        <v>1142.15</v>
      </c>
      <c r="F29" s="286"/>
      <c r="G29" s="286"/>
      <c r="H29" s="293"/>
      <c r="I29" s="232">
        <f t="shared" si="14"/>
        <v>1142.15</v>
      </c>
      <c r="J29" s="103">
        <v>1448.36</v>
      </c>
      <c r="K29" s="103">
        <v>315.87</v>
      </c>
      <c r="L29" s="103">
        <v>109.48</v>
      </c>
      <c r="M29" s="236">
        <f t="shared" si="15"/>
        <v>1873.71</v>
      </c>
      <c r="N29" s="237">
        <f t="shared" si="16"/>
        <v>1873.71</v>
      </c>
      <c r="O29" s="296"/>
      <c r="P29" s="274">
        <f t="shared" si="17"/>
        <v>80.467</v>
      </c>
      <c r="Q29" s="274">
        <f t="shared" si="18"/>
        <v>24.02</v>
      </c>
      <c r="R29" s="282">
        <f>B29*0.21</f>
        <v>25.220999999999997</v>
      </c>
      <c r="S29" s="274">
        <f t="shared" si="20"/>
        <v>390.325</v>
      </c>
      <c r="T29" s="283"/>
      <c r="U29" s="283"/>
      <c r="V29" s="283"/>
      <c r="W29" s="283"/>
      <c r="X29" s="282"/>
      <c r="Y29" s="284">
        <f t="shared" si="21"/>
        <v>520.033</v>
      </c>
      <c r="Z29" s="285"/>
      <c r="AA29" s="302">
        <f t="shared" si="22"/>
        <v>520.033</v>
      </c>
      <c r="AB29" s="227">
        <f t="shared" si="23"/>
        <v>1353.6770000000001</v>
      </c>
      <c r="AC29" s="227">
        <f t="shared" si="24"/>
        <v>731.56</v>
      </c>
      <c r="AD29" s="220"/>
      <c r="AE29" s="220"/>
      <c r="AF29" s="220"/>
      <c r="AG29" s="220"/>
      <c r="AH29" s="220"/>
      <c r="AI29" s="220"/>
      <c r="AJ29" s="220"/>
    </row>
    <row r="30" spans="1:36" ht="12.75">
      <c r="A30" s="229" t="s">
        <v>33</v>
      </c>
      <c r="B30" s="84">
        <v>120.1</v>
      </c>
      <c r="C30" s="279">
        <f>B30*9.51</f>
        <v>1142.1509999999998</v>
      </c>
      <c r="D30" s="231"/>
      <c r="E30" s="297">
        <v>1142.15</v>
      </c>
      <c r="F30" s="286"/>
      <c r="G30" s="286"/>
      <c r="H30" s="293"/>
      <c r="I30" s="232">
        <f t="shared" si="14"/>
        <v>1142.15</v>
      </c>
      <c r="J30" s="103">
        <v>585.79</v>
      </c>
      <c r="K30" s="103">
        <v>14</v>
      </c>
      <c r="L30" s="103">
        <v>4.86</v>
      </c>
      <c r="M30" s="236">
        <f t="shared" si="15"/>
        <v>604.65</v>
      </c>
      <c r="N30" s="237">
        <f t="shared" si="16"/>
        <v>604.65</v>
      </c>
      <c r="O30" s="296"/>
      <c r="P30" s="274">
        <f t="shared" si="17"/>
        <v>80.467</v>
      </c>
      <c r="Q30" s="274">
        <f t="shared" si="18"/>
        <v>24.02</v>
      </c>
      <c r="R30" s="282">
        <f>B30*0.21</f>
        <v>25.220999999999997</v>
      </c>
      <c r="S30" s="274">
        <f t="shared" si="20"/>
        <v>390.325</v>
      </c>
      <c r="T30" s="283">
        <v>3229</v>
      </c>
      <c r="U30" s="283"/>
      <c r="V30" s="283"/>
      <c r="W30" s="283"/>
      <c r="X30" s="282"/>
      <c r="Y30" s="284">
        <f t="shared" si="21"/>
        <v>3749.033</v>
      </c>
      <c r="Z30" s="285"/>
      <c r="AA30" s="302">
        <f t="shared" si="22"/>
        <v>3749.033</v>
      </c>
      <c r="AB30" s="227">
        <f t="shared" si="23"/>
        <v>-3144.383</v>
      </c>
      <c r="AC30" s="227">
        <f t="shared" si="24"/>
        <v>-537.5000000000001</v>
      </c>
      <c r="AD30" s="220"/>
      <c r="AE30" s="220"/>
      <c r="AF30" s="220"/>
      <c r="AG30" s="220"/>
      <c r="AH30" s="220"/>
      <c r="AI30" s="220"/>
      <c r="AJ30" s="220"/>
    </row>
    <row r="31" spans="1:36" ht="12.75">
      <c r="A31" s="216" t="s">
        <v>34</v>
      </c>
      <c r="B31" s="84">
        <v>120.1</v>
      </c>
      <c r="C31" s="279">
        <f>B31*9.51</f>
        <v>1142.1509999999998</v>
      </c>
      <c r="D31" s="231"/>
      <c r="E31" s="286">
        <v>1142.15</v>
      </c>
      <c r="F31" s="286"/>
      <c r="G31" s="286"/>
      <c r="H31" s="293"/>
      <c r="I31" s="232">
        <f t="shared" si="14"/>
        <v>1142.15</v>
      </c>
      <c r="J31" s="103">
        <v>589.57</v>
      </c>
      <c r="K31" s="103">
        <v>7.8</v>
      </c>
      <c r="L31" s="103">
        <v>2.71</v>
      </c>
      <c r="M31" s="236">
        <f t="shared" si="15"/>
        <v>600.08</v>
      </c>
      <c r="N31" s="237">
        <f t="shared" si="16"/>
        <v>600.08</v>
      </c>
      <c r="O31" s="296"/>
      <c r="P31" s="274">
        <f t="shared" si="17"/>
        <v>80.467</v>
      </c>
      <c r="Q31" s="274">
        <f t="shared" si="18"/>
        <v>24.02</v>
      </c>
      <c r="R31" s="282">
        <f>B31*0.21</f>
        <v>25.220999999999997</v>
      </c>
      <c r="S31" s="274">
        <f t="shared" si="20"/>
        <v>390.325</v>
      </c>
      <c r="T31" s="283">
        <v>2909</v>
      </c>
      <c r="U31" s="283"/>
      <c r="V31" s="283"/>
      <c r="W31" s="283"/>
      <c r="X31" s="282"/>
      <c r="Y31" s="284">
        <f t="shared" si="21"/>
        <v>3429.033</v>
      </c>
      <c r="Z31" s="285"/>
      <c r="AA31" s="302">
        <f t="shared" si="22"/>
        <v>3429.033</v>
      </c>
      <c r="AB31" s="227">
        <f t="shared" si="23"/>
        <v>-2828.953</v>
      </c>
      <c r="AC31" s="227">
        <f t="shared" si="24"/>
        <v>-542.07</v>
      </c>
      <c r="AD31" s="220"/>
      <c r="AE31" s="220"/>
      <c r="AF31" s="220"/>
      <c r="AG31" s="220"/>
      <c r="AH31" s="220"/>
      <c r="AI31" s="220"/>
      <c r="AJ31" s="220"/>
    </row>
    <row r="32" spans="1:36" ht="13.5" thickBot="1">
      <c r="A32" s="238" t="s">
        <v>35</v>
      </c>
      <c r="B32" s="300">
        <v>60</v>
      </c>
      <c r="C32" s="265">
        <f>B32*13.65</f>
        <v>819</v>
      </c>
      <c r="D32" s="231"/>
      <c r="E32" s="286">
        <v>819</v>
      </c>
      <c r="F32" s="286"/>
      <c r="G32" s="286"/>
      <c r="H32" s="293"/>
      <c r="I32" s="232">
        <f t="shared" si="14"/>
        <v>819</v>
      </c>
      <c r="J32" s="103">
        <v>2591.67</v>
      </c>
      <c r="K32" s="103">
        <v>1.78</v>
      </c>
      <c r="L32" s="103">
        <v>0.62</v>
      </c>
      <c r="M32" s="236">
        <f t="shared" si="15"/>
        <v>2594.07</v>
      </c>
      <c r="N32" s="237">
        <f t="shared" si="16"/>
        <v>2594.07</v>
      </c>
      <c r="O32" s="296"/>
      <c r="P32" s="274">
        <f t="shared" si="17"/>
        <v>40.2</v>
      </c>
      <c r="Q32" s="274">
        <f t="shared" si="18"/>
        <v>12</v>
      </c>
      <c r="R32" s="282">
        <f>B32*0.21</f>
        <v>12.6</v>
      </c>
      <c r="S32" s="274">
        <v>195.325</v>
      </c>
      <c r="T32" s="283"/>
      <c r="U32" s="283"/>
      <c r="V32" s="283">
        <f>4680+790</f>
        <v>5470</v>
      </c>
      <c r="W32" s="283"/>
      <c r="X32" s="282"/>
      <c r="Y32" s="284">
        <f t="shared" si="21"/>
        <v>5730.125</v>
      </c>
      <c r="Z32" s="285"/>
      <c r="AA32" s="302">
        <f t="shared" si="22"/>
        <v>5730.125</v>
      </c>
      <c r="AB32" s="227">
        <f t="shared" si="23"/>
        <v>-3136.055</v>
      </c>
      <c r="AC32" s="227">
        <f t="shared" si="24"/>
        <v>1775.0700000000002</v>
      </c>
      <c r="AD32" s="220"/>
      <c r="AE32" s="220"/>
      <c r="AF32" s="220"/>
      <c r="AG32" s="220"/>
      <c r="AH32" s="220"/>
      <c r="AI32" s="220"/>
      <c r="AJ32" s="220"/>
    </row>
    <row r="33" spans="1:36" s="23" customFormat="1" ht="13.5" thickBot="1">
      <c r="A33" s="239" t="s">
        <v>3</v>
      </c>
      <c r="B33" s="240"/>
      <c r="C33" s="240"/>
      <c r="D33" s="241">
        <f aca="true" t="shared" si="25" ref="D33:AA33">SUM(D21:D32)</f>
        <v>898.9484999999999</v>
      </c>
      <c r="E33" s="241">
        <f t="shared" si="25"/>
        <v>10316.829999999998</v>
      </c>
      <c r="F33" s="241">
        <f t="shared" si="25"/>
        <v>1838.94</v>
      </c>
      <c r="G33" s="241">
        <f t="shared" si="25"/>
        <v>637.74</v>
      </c>
      <c r="H33" s="241">
        <f t="shared" si="25"/>
        <v>0</v>
      </c>
      <c r="I33" s="241">
        <f t="shared" si="25"/>
        <v>12793.51</v>
      </c>
      <c r="J33" s="241">
        <f t="shared" si="25"/>
        <v>9765.359999999999</v>
      </c>
      <c r="K33" s="241">
        <f t="shared" si="25"/>
        <v>2043.87</v>
      </c>
      <c r="L33" s="241">
        <f t="shared" si="25"/>
        <v>708.82</v>
      </c>
      <c r="M33" s="241">
        <f t="shared" si="25"/>
        <v>12518.05</v>
      </c>
      <c r="N33" s="241">
        <f t="shared" si="25"/>
        <v>13416.9985</v>
      </c>
      <c r="O33" s="241">
        <f t="shared" si="25"/>
        <v>0</v>
      </c>
      <c r="P33" s="241">
        <f t="shared" si="25"/>
        <v>925.337</v>
      </c>
      <c r="Q33" s="241">
        <f t="shared" si="25"/>
        <v>276.22</v>
      </c>
      <c r="R33" s="241">
        <f t="shared" si="25"/>
        <v>290.031</v>
      </c>
      <c r="S33" s="241">
        <f t="shared" si="25"/>
        <v>4488.899999999999</v>
      </c>
      <c r="T33" s="241">
        <f t="shared" si="25"/>
        <v>6138</v>
      </c>
      <c r="U33" s="241">
        <f t="shared" si="25"/>
        <v>0</v>
      </c>
      <c r="V33" s="241">
        <f t="shared" si="25"/>
        <v>5470</v>
      </c>
      <c r="W33" s="241">
        <f t="shared" si="25"/>
        <v>0</v>
      </c>
      <c r="X33" s="241">
        <f t="shared" si="25"/>
        <v>0</v>
      </c>
      <c r="Y33" s="241">
        <f t="shared" si="25"/>
        <v>17588.487999999998</v>
      </c>
      <c r="Z33" s="241">
        <f t="shared" si="25"/>
        <v>0</v>
      </c>
      <c r="AA33" s="241">
        <f t="shared" si="25"/>
        <v>17588.487999999998</v>
      </c>
      <c r="AB33" s="241">
        <f>SUM(AB21:AB32)</f>
        <v>-4171.4895</v>
      </c>
      <c r="AC33" s="241">
        <f>SUM(AC21:AC32)</f>
        <v>-275.46000000000004</v>
      </c>
      <c r="AD33" s="50"/>
      <c r="AE33" s="50"/>
      <c r="AF33" s="50"/>
      <c r="AG33" s="50"/>
      <c r="AH33" s="50"/>
      <c r="AI33" s="50"/>
      <c r="AJ33" s="50"/>
    </row>
    <row r="34" spans="1:36" ht="13.5" thickBo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20"/>
      <c r="AE34" s="220"/>
      <c r="AF34" s="220"/>
      <c r="AG34" s="220"/>
      <c r="AH34" s="220"/>
      <c r="AI34" s="220"/>
      <c r="AJ34" s="220"/>
    </row>
    <row r="35" spans="1:29" s="23" customFormat="1" ht="13.5" thickBot="1">
      <c r="A35" s="239" t="s">
        <v>95</v>
      </c>
      <c r="B35" s="240"/>
      <c r="C35" s="240"/>
      <c r="D35" s="241">
        <v>9330.22</v>
      </c>
      <c r="E35" s="241">
        <v>263129.61</v>
      </c>
      <c r="F35" s="241">
        <v>181875.86</v>
      </c>
      <c r="G35" s="241">
        <v>45624.38</v>
      </c>
      <c r="H35" s="241">
        <v>71944.81</v>
      </c>
      <c r="I35" s="241">
        <v>490629.85</v>
      </c>
      <c r="J35" s="241">
        <v>216840.97</v>
      </c>
      <c r="K35" s="241">
        <v>151570.93</v>
      </c>
      <c r="L35" s="241">
        <v>38052.74</v>
      </c>
      <c r="M35" s="241">
        <v>406464.64</v>
      </c>
      <c r="N35" s="241">
        <v>534624.38</v>
      </c>
      <c r="O35" s="240">
        <v>0</v>
      </c>
      <c r="P35" s="243">
        <f>P19+P33</f>
        <v>1093.477</v>
      </c>
      <c r="Q35" s="243">
        <f aca="true" t="shared" si="26" ref="Q35:AA35">Q19+Q33</f>
        <v>3008.495</v>
      </c>
      <c r="R35" s="243">
        <f t="shared" si="26"/>
        <v>290.031</v>
      </c>
      <c r="S35" s="243">
        <f t="shared" si="26"/>
        <v>4488.899999999999</v>
      </c>
      <c r="T35" s="243">
        <f t="shared" si="26"/>
        <v>6138</v>
      </c>
      <c r="U35" s="243">
        <f t="shared" si="26"/>
        <v>678</v>
      </c>
      <c r="V35" s="243">
        <f t="shared" si="26"/>
        <v>5470</v>
      </c>
      <c r="W35" s="243">
        <f t="shared" si="26"/>
        <v>89</v>
      </c>
      <c r="X35" s="243">
        <f t="shared" si="26"/>
        <v>0</v>
      </c>
      <c r="Y35" s="243">
        <f t="shared" si="26"/>
        <v>21819.172</v>
      </c>
      <c r="Z35" s="243">
        <f t="shared" si="26"/>
        <v>0</v>
      </c>
      <c r="AA35" s="243">
        <f t="shared" si="26"/>
        <v>21819.172</v>
      </c>
      <c r="AB35" s="243">
        <f>AB19+AB33</f>
        <v>-382.88970000000063</v>
      </c>
      <c r="AC35" s="243">
        <f>AC19+AC33</f>
        <v>-1477.1400000000003</v>
      </c>
    </row>
    <row r="36" spans="1:29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27">
      <selection activeCell="A14" sqref="A14:IV23"/>
    </sheetView>
  </sheetViews>
  <sheetFormatPr defaultColWidth="9.00390625" defaultRowHeight="12.75"/>
  <cols>
    <col min="1" max="1" width="10.00390625" style="215" customWidth="1"/>
    <col min="2" max="2" width="9.125" style="215" customWidth="1"/>
    <col min="3" max="3" width="9.875" style="215" customWidth="1"/>
    <col min="4" max="4" width="9.625" style="215" customWidth="1"/>
    <col min="5" max="5" width="10.125" style="215" bestFit="1" customWidth="1"/>
    <col min="6" max="6" width="9.875" style="215" customWidth="1"/>
    <col min="7" max="7" width="11.00390625" style="215" customWidth="1"/>
    <col min="8" max="8" width="10.125" style="215" customWidth="1"/>
    <col min="9" max="9" width="9.25390625" style="215" customWidth="1"/>
    <col min="10" max="10" width="9.875" style="215" customWidth="1"/>
    <col min="11" max="11" width="10.875" style="215" customWidth="1"/>
    <col min="12" max="12" width="10.125" style="215" customWidth="1"/>
    <col min="13" max="13" width="10.375" style="215" customWidth="1"/>
    <col min="14" max="14" width="10.75390625" style="215" customWidth="1"/>
    <col min="15" max="15" width="13.00390625" style="215" customWidth="1"/>
    <col min="16" max="16384" width="9.125" style="215" customWidth="1"/>
  </cols>
  <sheetData>
    <row r="1" spans="2:8" ht="20.25" customHeight="1">
      <c r="B1" s="496" t="s">
        <v>47</v>
      </c>
      <c r="C1" s="496"/>
      <c r="D1" s="496"/>
      <c r="E1" s="496"/>
      <c r="F1" s="496"/>
      <c r="G1" s="496"/>
      <c r="H1" s="496"/>
    </row>
    <row r="2" spans="2:8" ht="21" customHeight="1">
      <c r="B2" s="496" t="s">
        <v>48</v>
      </c>
      <c r="C2" s="496"/>
      <c r="D2" s="496"/>
      <c r="E2" s="496"/>
      <c r="F2" s="496"/>
      <c r="G2" s="496"/>
      <c r="H2" s="496"/>
    </row>
    <row r="5" spans="1:14" ht="12.75">
      <c r="A5" s="428" t="s">
        <v>107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</row>
    <row r="6" spans="1:14" ht="12.75">
      <c r="A6" s="497" t="s">
        <v>111</v>
      </c>
      <c r="B6" s="497"/>
      <c r="C6" s="497"/>
      <c r="D6" s="497"/>
      <c r="E6" s="497"/>
      <c r="F6" s="497"/>
      <c r="G6" s="497"/>
      <c r="H6" s="75"/>
      <c r="I6" s="75"/>
      <c r="J6" s="75"/>
      <c r="K6" s="75"/>
      <c r="L6" s="75"/>
      <c r="M6" s="75"/>
      <c r="N6" s="75"/>
    </row>
    <row r="7" spans="1:14" ht="7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95" t="s">
        <v>49</v>
      </c>
      <c r="B8" s="495"/>
      <c r="C8" s="495"/>
      <c r="D8" s="495"/>
      <c r="E8" s="495">
        <v>13.65</v>
      </c>
      <c r="F8" s="495"/>
    </row>
    <row r="9" spans="1:15" ht="12.75" customHeight="1">
      <c r="A9" s="429" t="s">
        <v>50</v>
      </c>
      <c r="B9" s="432" t="s">
        <v>0</v>
      </c>
      <c r="C9" s="482" t="s">
        <v>110</v>
      </c>
      <c r="D9" s="485" t="s">
        <v>2</v>
      </c>
      <c r="E9" s="493" t="s">
        <v>52</v>
      </c>
      <c r="F9" s="375"/>
      <c r="G9" s="424" t="s">
        <v>96</v>
      </c>
      <c r="H9" s="425"/>
      <c r="I9" s="478" t="s">
        <v>6</v>
      </c>
      <c r="J9" s="407"/>
      <c r="K9" s="407"/>
      <c r="L9" s="407"/>
      <c r="M9" s="479"/>
      <c r="N9" s="412" t="s">
        <v>53</v>
      </c>
      <c r="O9" s="412" t="s">
        <v>8</v>
      </c>
    </row>
    <row r="10" spans="1:15" ht="12.75">
      <c r="A10" s="430"/>
      <c r="B10" s="433"/>
      <c r="C10" s="483"/>
      <c r="D10" s="486"/>
      <c r="E10" s="494"/>
      <c r="F10" s="459"/>
      <c r="G10" s="426"/>
      <c r="H10" s="427"/>
      <c r="I10" s="480"/>
      <c r="J10" s="410"/>
      <c r="K10" s="410"/>
      <c r="L10" s="410"/>
      <c r="M10" s="481"/>
      <c r="N10" s="413"/>
      <c r="O10" s="413"/>
    </row>
    <row r="11" spans="1:15" ht="26.25" customHeight="1">
      <c r="A11" s="430"/>
      <c r="B11" s="433"/>
      <c r="C11" s="483"/>
      <c r="D11" s="486"/>
      <c r="E11" s="488" t="s">
        <v>54</v>
      </c>
      <c r="F11" s="380"/>
      <c r="G11" s="160" t="s">
        <v>55</v>
      </c>
      <c r="H11" s="489" t="s">
        <v>5</v>
      </c>
      <c r="I11" s="491" t="s">
        <v>56</v>
      </c>
      <c r="J11" s="415" t="s">
        <v>97</v>
      </c>
      <c r="K11" s="415" t="s">
        <v>57</v>
      </c>
      <c r="L11" s="415" t="s">
        <v>29</v>
      </c>
      <c r="M11" s="489" t="s">
        <v>31</v>
      </c>
      <c r="N11" s="413"/>
      <c r="O11" s="413"/>
    </row>
    <row r="12" spans="1:15" ht="66.75" customHeight="1" thickBot="1">
      <c r="A12" s="431"/>
      <c r="B12" s="434"/>
      <c r="C12" s="484"/>
      <c r="D12" s="487"/>
      <c r="E12" s="244" t="s">
        <v>59</v>
      </c>
      <c r="F12" s="245" t="s">
        <v>15</v>
      </c>
      <c r="G12" s="77" t="s">
        <v>98</v>
      </c>
      <c r="H12" s="490"/>
      <c r="I12" s="492"/>
      <c r="J12" s="416"/>
      <c r="K12" s="416"/>
      <c r="L12" s="416"/>
      <c r="M12" s="490"/>
      <c r="N12" s="414"/>
      <c r="O12" s="414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ht="12.75" hidden="1">
      <c r="A14" s="8" t="s">
        <v>94</v>
      </c>
      <c r="B14" s="246"/>
      <c r="C14" s="247"/>
      <c r="D14" s="248"/>
      <c r="E14" s="249"/>
      <c r="F14" s="250"/>
      <c r="G14" s="251"/>
      <c r="H14" s="250"/>
      <c r="I14" s="251"/>
      <c r="J14" s="252"/>
      <c r="K14" s="253"/>
      <c r="L14" s="254"/>
      <c r="M14" s="255"/>
      <c r="N14" s="256"/>
      <c r="O14" s="256"/>
      <c r="P14" s="220"/>
      <c r="Q14" s="220"/>
    </row>
    <row r="15" spans="1:17" ht="12.75" hidden="1">
      <c r="A15" s="257" t="s">
        <v>42</v>
      </c>
      <c r="B15" s="258">
        <f>'2012'!B10</f>
        <v>120.1</v>
      </c>
      <c r="C15" s="258">
        <f>'2012'!C10</f>
        <v>1026.855</v>
      </c>
      <c r="D15" s="258">
        <f>'2012'!D10</f>
        <v>124.18339999999999</v>
      </c>
      <c r="E15" s="253">
        <f>'2012'!I10</f>
        <v>1043.96</v>
      </c>
      <c r="F15" s="255">
        <v>0</v>
      </c>
      <c r="G15" s="255">
        <f>'2012'!M10</f>
        <v>505.5</v>
      </c>
      <c r="H15" s="255">
        <f>'2012'!N10</f>
        <v>629.6834</v>
      </c>
      <c r="I15" s="259">
        <f>'2012'!P10</f>
        <v>80.467</v>
      </c>
      <c r="J15" s="259">
        <f>'2012'!Q10</f>
        <v>24.02</v>
      </c>
      <c r="K15" s="259">
        <f>'2012'!R10</f>
        <v>390.325</v>
      </c>
      <c r="L15" s="254">
        <f>'2012'!U10+'2012'!V10+'2012'!W10</f>
        <v>0</v>
      </c>
      <c r="M15" s="255">
        <f>'2012'!AA10</f>
        <v>494.812</v>
      </c>
      <c r="N15" s="255">
        <f>'2012'!AB10</f>
        <v>134.8714</v>
      </c>
      <c r="O15" s="255">
        <f>'2012'!AC10</f>
        <v>-538.46</v>
      </c>
      <c r="P15" s="220"/>
      <c r="Q15" s="220"/>
    </row>
    <row r="16" spans="1:17" ht="12.75" hidden="1">
      <c r="A16" s="257" t="s">
        <v>43</v>
      </c>
      <c r="B16" s="258">
        <f>'2012'!B11</f>
        <v>120.1</v>
      </c>
      <c r="C16" s="258">
        <f>'2012'!C11</f>
        <v>1026.855</v>
      </c>
      <c r="D16" s="258">
        <f>'2012'!D11</f>
        <v>124.18339999999999</v>
      </c>
      <c r="E16" s="253">
        <f>'2012'!I11</f>
        <v>2087.92</v>
      </c>
      <c r="F16" s="255">
        <v>0</v>
      </c>
      <c r="G16" s="255">
        <f>'2012'!M11</f>
        <v>1160.5900000000001</v>
      </c>
      <c r="H16" s="255">
        <f>'2012'!N11</f>
        <v>1284.7734</v>
      </c>
      <c r="I16" s="259">
        <f>'2012'!P11</f>
        <v>80.467</v>
      </c>
      <c r="J16" s="259">
        <f>'2012'!Q11</f>
        <v>24.02</v>
      </c>
      <c r="K16" s="259">
        <f>'2012'!R11</f>
        <v>390.325</v>
      </c>
      <c r="L16" s="254">
        <f>'2012'!U11+'2012'!V11+'2012'!W11</f>
        <v>0</v>
      </c>
      <c r="M16" s="255">
        <f>'2012'!AA11</f>
        <v>494.812</v>
      </c>
      <c r="N16" s="255">
        <f>'2012'!AB11</f>
        <v>789.9614</v>
      </c>
      <c r="O16" s="255">
        <f>'2012'!AC11</f>
        <v>-927.3299999999999</v>
      </c>
      <c r="P16" s="220"/>
      <c r="Q16" s="220"/>
    </row>
    <row r="17" spans="1:17" ht="12.75" hidden="1">
      <c r="A17" s="257" t="s">
        <v>44</v>
      </c>
      <c r="B17" s="258">
        <f>'2012'!B12</f>
        <v>120.1</v>
      </c>
      <c r="C17" s="258">
        <f>'2012'!C12</f>
        <v>1026.855</v>
      </c>
      <c r="D17" s="258">
        <f>'2012'!D12</f>
        <v>124.18339999999999</v>
      </c>
      <c r="E17" s="253">
        <f>'2012'!I12</f>
        <v>1043.96</v>
      </c>
      <c r="F17" s="255">
        <v>0</v>
      </c>
      <c r="G17" s="255">
        <f>'2012'!M12</f>
        <v>926.85</v>
      </c>
      <c r="H17" s="255">
        <f>'2012'!N12</f>
        <v>1051.0334</v>
      </c>
      <c r="I17" s="259">
        <f>'2012'!P12</f>
        <v>80.467</v>
      </c>
      <c r="J17" s="259">
        <f>'2012'!Q12</f>
        <v>24.02</v>
      </c>
      <c r="K17" s="259">
        <f>'2012'!R12</f>
        <v>390.325</v>
      </c>
      <c r="L17" s="254">
        <f>'2012'!U12+'2012'!V12+'2012'!W12</f>
        <v>0</v>
      </c>
      <c r="M17" s="255">
        <f>'2012'!AA12</f>
        <v>494.812</v>
      </c>
      <c r="N17" s="255">
        <f>'2012'!AB12</f>
        <v>556.2214</v>
      </c>
      <c r="O17" s="255">
        <f>'2012'!AC12</f>
        <v>-117.11000000000001</v>
      </c>
      <c r="P17" s="220"/>
      <c r="Q17" s="220"/>
    </row>
    <row r="18" spans="1:17" ht="12.75" hidden="1">
      <c r="A18" s="257" t="s">
        <v>45</v>
      </c>
      <c r="B18" s="258">
        <f>'2012'!B13</f>
        <v>120.1</v>
      </c>
      <c r="C18" s="258">
        <f>'2012'!C13</f>
        <v>1026.855</v>
      </c>
      <c r="D18" s="258">
        <f>'2012'!D13</f>
        <v>124.18339999999999</v>
      </c>
      <c r="E18" s="253">
        <f>'2012'!I13</f>
        <v>1043.96</v>
      </c>
      <c r="F18" s="255">
        <v>0</v>
      </c>
      <c r="G18" s="255">
        <f>'2012'!M13</f>
        <v>269.32</v>
      </c>
      <c r="H18" s="255">
        <f>'2012'!N13</f>
        <v>393.5034</v>
      </c>
      <c r="I18" s="259">
        <f>'2012'!P13</f>
        <v>80.467</v>
      </c>
      <c r="J18" s="259">
        <f>'2012'!Q13</f>
        <v>24.02</v>
      </c>
      <c r="K18" s="259">
        <f>'2012'!R13</f>
        <v>390.325</v>
      </c>
      <c r="L18" s="254">
        <f>'2012'!U13+'2012'!V13+'2012'!W13</f>
        <v>0</v>
      </c>
      <c r="M18" s="255">
        <f>'2012'!AA13</f>
        <v>494.812</v>
      </c>
      <c r="N18" s="255">
        <f>'2012'!AB13</f>
        <v>-101.30860000000001</v>
      </c>
      <c r="O18" s="255">
        <f>'2012'!AC13</f>
        <v>-774.6400000000001</v>
      </c>
      <c r="P18" s="220"/>
      <c r="Q18" s="220"/>
    </row>
    <row r="19" spans="1:17" ht="12.75" hidden="1">
      <c r="A19" s="257" t="s">
        <v>33</v>
      </c>
      <c r="B19" s="258">
        <f>'2012'!B14</f>
        <v>120.1</v>
      </c>
      <c r="C19" s="258">
        <f>'2012'!C14</f>
        <v>1026.855</v>
      </c>
      <c r="D19" s="258">
        <f>'2012'!D14</f>
        <v>124.18339999999999</v>
      </c>
      <c r="E19" s="253">
        <f>'2012'!I14</f>
        <v>1043.96</v>
      </c>
      <c r="F19" s="255">
        <v>0</v>
      </c>
      <c r="G19" s="255">
        <f>'2012'!M14</f>
        <v>1532.1</v>
      </c>
      <c r="H19" s="255">
        <f>'2012'!N14</f>
        <v>1656.2833999999998</v>
      </c>
      <c r="I19" s="259">
        <f>'2012'!P14</f>
        <v>80.467</v>
      </c>
      <c r="J19" s="259">
        <f>'2012'!Q14</f>
        <v>24.02</v>
      </c>
      <c r="K19" s="259">
        <f>'2012'!R14</f>
        <v>390.325</v>
      </c>
      <c r="L19" s="254">
        <f>'2012'!U14+'2012'!V14+'2012'!W14</f>
        <v>0</v>
      </c>
      <c r="M19" s="255">
        <f>'2012'!AA14</f>
        <v>494.812</v>
      </c>
      <c r="N19" s="255">
        <f>'2012'!AB14</f>
        <v>1161.4714</v>
      </c>
      <c r="O19" s="255">
        <f>'2012'!AC14</f>
        <v>488.1399999999999</v>
      </c>
      <c r="P19" s="220"/>
      <c r="Q19" s="220"/>
    </row>
    <row r="20" spans="1:17" ht="12.75" hidden="1">
      <c r="A20" s="257" t="s">
        <v>34</v>
      </c>
      <c r="B20" s="258">
        <f>'2012'!B15</f>
        <v>120.1</v>
      </c>
      <c r="C20" s="258">
        <f>'2012'!C15</f>
        <v>1026.855</v>
      </c>
      <c r="D20" s="258">
        <f>'2012'!D15</f>
        <v>124.18339999999999</v>
      </c>
      <c r="E20" s="253">
        <f>'2012'!I15</f>
        <v>1043.96</v>
      </c>
      <c r="F20" s="255">
        <v>0</v>
      </c>
      <c r="G20" s="255">
        <f>'2012'!M15</f>
        <v>1208.01</v>
      </c>
      <c r="H20" s="255">
        <f>'2012'!N15</f>
        <v>1332.1933999999999</v>
      </c>
      <c r="I20" s="259">
        <f>'2012'!P15</f>
        <v>80.467</v>
      </c>
      <c r="J20" s="259">
        <f>'2012'!Q15</f>
        <v>24.02</v>
      </c>
      <c r="K20" s="259">
        <f>'2012'!R15</f>
        <v>390.325</v>
      </c>
      <c r="L20" s="254">
        <f>'2012'!U15+'2012'!V15+'2012'!W15</f>
        <v>0</v>
      </c>
      <c r="M20" s="255">
        <f>'2012'!AA15</f>
        <v>494.812</v>
      </c>
      <c r="N20" s="255">
        <f>'2012'!AB15</f>
        <v>837.3813999999999</v>
      </c>
      <c r="O20" s="255">
        <f>'2012'!AC15</f>
        <v>164.04999999999995</v>
      </c>
      <c r="P20" s="220"/>
      <c r="Q20" s="220"/>
    </row>
    <row r="21" spans="1:17" ht="13.5" hidden="1" thickBot="1">
      <c r="A21" s="257" t="s">
        <v>35</v>
      </c>
      <c r="B21" s="258">
        <f>'2012'!B16</f>
        <v>120.1</v>
      </c>
      <c r="C21" s="258">
        <f>'2012'!C16</f>
        <v>1026.855</v>
      </c>
      <c r="D21" s="258">
        <f>'2012'!D16</f>
        <v>124.18339999999999</v>
      </c>
      <c r="E21" s="253">
        <f>'2012'!I16</f>
        <v>1043.96</v>
      </c>
      <c r="F21" s="255">
        <v>0</v>
      </c>
      <c r="G21" s="255">
        <f>'2012'!M16</f>
        <v>1547.6299999999999</v>
      </c>
      <c r="H21" s="255">
        <f>'2012'!N16</f>
        <v>1671.8133999999998</v>
      </c>
      <c r="I21" s="259">
        <f>'2012'!P16</f>
        <v>80.467</v>
      </c>
      <c r="J21" s="259">
        <f>'2012'!Q16</f>
        <v>24.02</v>
      </c>
      <c r="K21" s="259">
        <f>'2012'!R16</f>
        <v>390.325</v>
      </c>
      <c r="L21" s="254">
        <f>'2012'!U16+'2012'!V16+'2012'!W16</f>
        <v>767</v>
      </c>
      <c r="M21" s="255">
        <f>'2012'!AA16</f>
        <v>1261.812</v>
      </c>
      <c r="N21" s="255">
        <f>'2012'!AB16</f>
        <v>410.0013999999999</v>
      </c>
      <c r="O21" s="255">
        <f>'2012'!AC16</f>
        <v>503.66999999999985</v>
      </c>
      <c r="P21" s="220"/>
      <c r="Q21" s="220"/>
    </row>
    <row r="22" spans="1:17" s="23" customFormat="1" ht="13.5" hidden="1" thickBot="1">
      <c r="A22" s="43" t="s">
        <v>3</v>
      </c>
      <c r="B22" s="44"/>
      <c r="C22" s="49">
        <f aca="true" t="shared" si="0" ref="C22:O22">SUM(C15:C21)</f>
        <v>7187.984999999999</v>
      </c>
      <c r="D22" s="49">
        <f t="shared" si="0"/>
        <v>869.2837999999999</v>
      </c>
      <c r="E22" s="49">
        <f t="shared" si="0"/>
        <v>8351.68</v>
      </c>
      <c r="F22" s="49">
        <f t="shared" si="0"/>
        <v>0</v>
      </c>
      <c r="G22" s="49">
        <f t="shared" si="0"/>
        <v>7150.000000000001</v>
      </c>
      <c r="H22" s="49">
        <f t="shared" si="0"/>
        <v>8019.2838</v>
      </c>
      <c r="I22" s="49">
        <f t="shared" si="0"/>
        <v>563.269</v>
      </c>
      <c r="J22" s="49">
        <f t="shared" si="0"/>
        <v>168.14000000000001</v>
      </c>
      <c r="K22" s="49">
        <f t="shared" si="0"/>
        <v>2732.2749999999996</v>
      </c>
      <c r="L22" s="49">
        <f t="shared" si="0"/>
        <v>767</v>
      </c>
      <c r="M22" s="49">
        <f t="shared" si="0"/>
        <v>4230.683999999999</v>
      </c>
      <c r="N22" s="49">
        <f t="shared" si="0"/>
        <v>3788.599799999999</v>
      </c>
      <c r="O22" s="49">
        <f t="shared" si="0"/>
        <v>-1201.6800000000003</v>
      </c>
      <c r="P22" s="50"/>
      <c r="Q22" s="50"/>
    </row>
    <row r="23" spans="1:17" ht="13.5" hidden="1" thickBot="1">
      <c r="A23" s="474" t="s">
        <v>60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260"/>
      <c r="P23" s="220"/>
      <c r="Q23" s="220"/>
    </row>
    <row r="24" spans="1:17" s="23" customFormat="1" ht="13.5" thickBot="1">
      <c r="A24" s="55" t="s">
        <v>46</v>
      </c>
      <c r="B24" s="56"/>
      <c r="C24" s="60">
        <f aca="true" t="shared" si="1" ref="C24:N24">C22</f>
        <v>7187.984999999999</v>
      </c>
      <c r="D24" s="60">
        <f t="shared" si="1"/>
        <v>869.2837999999999</v>
      </c>
      <c r="E24" s="60">
        <f t="shared" si="1"/>
        <v>8351.68</v>
      </c>
      <c r="F24" s="60">
        <f t="shared" si="1"/>
        <v>0</v>
      </c>
      <c r="G24" s="60">
        <f t="shared" si="1"/>
        <v>7150.000000000001</v>
      </c>
      <c r="H24" s="60">
        <f t="shared" si="1"/>
        <v>8019.2838</v>
      </c>
      <c r="I24" s="60">
        <f t="shared" si="1"/>
        <v>563.269</v>
      </c>
      <c r="J24" s="60">
        <f t="shared" si="1"/>
        <v>168.14000000000001</v>
      </c>
      <c r="K24" s="60">
        <f t="shared" si="1"/>
        <v>2732.2749999999996</v>
      </c>
      <c r="L24" s="60">
        <f t="shared" si="1"/>
        <v>767</v>
      </c>
      <c r="M24" s="60">
        <f t="shared" si="1"/>
        <v>4230.683999999999</v>
      </c>
      <c r="N24" s="60">
        <f t="shared" si="1"/>
        <v>3788.599799999999</v>
      </c>
      <c r="O24" s="60">
        <f>O22</f>
        <v>-1201.6800000000003</v>
      </c>
      <c r="P24" s="61"/>
      <c r="Q24" s="50"/>
    </row>
    <row r="25" spans="1:17" ht="13.5" thickBot="1">
      <c r="A25" s="306" t="s">
        <v>108</v>
      </c>
      <c r="B25" s="307"/>
      <c r="C25" s="308"/>
      <c r="D25" s="309"/>
      <c r="E25" s="310"/>
      <c r="F25" s="311"/>
      <c r="G25" s="312"/>
      <c r="H25" s="311"/>
      <c r="I25" s="312"/>
      <c r="J25" s="313"/>
      <c r="K25" s="314"/>
      <c r="L25" s="315"/>
      <c r="M25" s="316"/>
      <c r="N25" s="317"/>
      <c r="O25" s="317"/>
      <c r="P25" s="220"/>
      <c r="Q25" s="220"/>
    </row>
    <row r="26" spans="1:17" ht="12.75">
      <c r="A26" s="318" t="s">
        <v>37</v>
      </c>
      <c r="B26" s="319">
        <f>'2012'!B21</f>
        <v>120.1</v>
      </c>
      <c r="C26" s="320">
        <f>'2012'!C21</f>
        <v>1026.855</v>
      </c>
      <c r="D26" s="321">
        <f>'2012'!D21</f>
        <v>122.50199999999998</v>
      </c>
      <c r="E26" s="322">
        <f>'2012'!I21</f>
        <v>1043.96</v>
      </c>
      <c r="F26" s="323">
        <v>0</v>
      </c>
      <c r="G26" s="324">
        <f>'2012'!M21</f>
        <v>530.35</v>
      </c>
      <c r="H26" s="323">
        <f>'2012'!N21</f>
        <v>652.852</v>
      </c>
      <c r="I26" s="325">
        <f>'2012'!P21</f>
        <v>80.467</v>
      </c>
      <c r="J26" s="325">
        <f>'2012'!Q21</f>
        <v>24.02</v>
      </c>
      <c r="K26" s="325">
        <f>'2012'!R21+'2012'!S21</f>
        <v>415.546</v>
      </c>
      <c r="L26" s="326">
        <f>0</f>
        <v>0</v>
      </c>
      <c r="M26" s="323">
        <f>'2012'!AA21</f>
        <v>520.033</v>
      </c>
      <c r="N26" s="323">
        <f>'2012'!AB21</f>
        <v>132.81899999999996</v>
      </c>
      <c r="O26" s="323">
        <f>'2012'!AC21</f>
        <v>-513.61</v>
      </c>
      <c r="P26" s="220"/>
      <c r="Q26" s="220"/>
    </row>
    <row r="27" spans="1:17" ht="12.75">
      <c r="A27" s="257" t="s">
        <v>38</v>
      </c>
      <c r="B27" s="303">
        <f>'2012'!B22</f>
        <v>120.1</v>
      </c>
      <c r="C27" s="247">
        <f>'2012'!C22</f>
        <v>1026.855</v>
      </c>
      <c r="D27" s="304">
        <f>'2012'!D22</f>
        <v>122.50199999999998</v>
      </c>
      <c r="E27" s="249">
        <f>'2012'!I22</f>
        <v>1043.96</v>
      </c>
      <c r="F27" s="250">
        <v>1</v>
      </c>
      <c r="G27" s="305">
        <f>'2012'!M22</f>
        <v>1043.92</v>
      </c>
      <c r="H27" s="250">
        <f>'2012'!N22</f>
        <v>1166.422</v>
      </c>
      <c r="I27" s="252">
        <f>'2012'!P22</f>
        <v>80.467</v>
      </c>
      <c r="J27" s="252">
        <f>'2012'!Q22</f>
        <v>24.02</v>
      </c>
      <c r="K27" s="259">
        <f>'2012'!R22+'2012'!S22</f>
        <v>415.546</v>
      </c>
      <c r="L27" s="254">
        <f>0</f>
        <v>0</v>
      </c>
      <c r="M27" s="255">
        <f>'2012'!AA22</f>
        <v>520.033</v>
      </c>
      <c r="N27" s="255">
        <f>'2012'!AB22</f>
        <v>646.389</v>
      </c>
      <c r="O27" s="255">
        <f>'2012'!AC22</f>
        <v>-0.03999999999996362</v>
      </c>
      <c r="P27" s="220"/>
      <c r="Q27" s="220"/>
    </row>
    <row r="28" spans="1:17" ht="12.75">
      <c r="A28" s="257" t="s">
        <v>39</v>
      </c>
      <c r="B28" s="303">
        <f>'2012'!B23</f>
        <v>120.1</v>
      </c>
      <c r="C28" s="247">
        <f>'2012'!C23</f>
        <v>1026.855</v>
      </c>
      <c r="D28" s="304">
        <f>'2012'!D23</f>
        <v>122.50199999999998</v>
      </c>
      <c r="E28" s="249">
        <f>'2012'!I23</f>
        <v>1043.96</v>
      </c>
      <c r="F28" s="250">
        <v>2</v>
      </c>
      <c r="G28" s="305">
        <f>'2012'!M23</f>
        <v>1043.56</v>
      </c>
      <c r="H28" s="250">
        <f>'2012'!N23</f>
        <v>1166.062</v>
      </c>
      <c r="I28" s="252">
        <f>'2012'!P23</f>
        <v>80.467</v>
      </c>
      <c r="J28" s="252">
        <f>'2012'!Q23</f>
        <v>24.02</v>
      </c>
      <c r="K28" s="259">
        <f>'2012'!R23+'2012'!S23</f>
        <v>415.546</v>
      </c>
      <c r="L28" s="254">
        <f>0</f>
        <v>0</v>
      </c>
      <c r="M28" s="255">
        <f>'2012'!AA23</f>
        <v>520.033</v>
      </c>
      <c r="N28" s="255">
        <f>'2012'!AB23</f>
        <v>646.0289999999999</v>
      </c>
      <c r="O28" s="255">
        <f>'2012'!AC23</f>
        <v>-0.40000000000009095</v>
      </c>
      <c r="P28" s="220"/>
      <c r="Q28" s="220"/>
    </row>
    <row r="29" spans="1:17" ht="12.75">
      <c r="A29" s="257" t="s">
        <v>40</v>
      </c>
      <c r="B29" s="303">
        <f>'2012'!B24</f>
        <v>120.1</v>
      </c>
      <c r="C29" s="247">
        <f>'2012'!C24</f>
        <v>1026.855</v>
      </c>
      <c r="D29" s="304">
        <f>'2012'!D24</f>
        <v>122.50199999999998</v>
      </c>
      <c r="E29" s="249">
        <f>'2012'!I24</f>
        <v>1043.96</v>
      </c>
      <c r="F29" s="250">
        <v>3</v>
      </c>
      <c r="G29" s="305">
        <f>'2012'!M24</f>
        <v>1043.71</v>
      </c>
      <c r="H29" s="250">
        <f>'2012'!N24</f>
        <v>1166.212</v>
      </c>
      <c r="I29" s="252">
        <f>'2012'!P24</f>
        <v>80.467</v>
      </c>
      <c r="J29" s="252">
        <f>'2012'!Q24</f>
        <v>24.02</v>
      </c>
      <c r="K29" s="259">
        <f>'2012'!R24+'2012'!S24</f>
        <v>415.546</v>
      </c>
      <c r="L29" s="254">
        <f>0</f>
        <v>0</v>
      </c>
      <c r="M29" s="255">
        <f>'2012'!AA24</f>
        <v>520.033</v>
      </c>
      <c r="N29" s="255">
        <f>'2012'!AB24</f>
        <v>646.179</v>
      </c>
      <c r="O29" s="255">
        <f>'2012'!AC24</f>
        <v>-0.25</v>
      </c>
      <c r="P29" s="220"/>
      <c r="Q29" s="220"/>
    </row>
    <row r="30" spans="1:17" ht="12.75">
      <c r="A30" s="257" t="s">
        <v>41</v>
      </c>
      <c r="B30" s="303">
        <f>'2012'!B25</f>
        <v>120.1</v>
      </c>
      <c r="C30" s="247">
        <f>'2012'!C25</f>
        <v>1026.855</v>
      </c>
      <c r="D30" s="304">
        <f>'2012'!D25</f>
        <v>122.50199999999998</v>
      </c>
      <c r="E30" s="249">
        <f>'2012'!I25</f>
        <v>1043.96</v>
      </c>
      <c r="F30" s="250">
        <v>4</v>
      </c>
      <c r="G30" s="305">
        <f>'2012'!M25</f>
        <v>1043.89</v>
      </c>
      <c r="H30" s="250">
        <f>'2012'!N25</f>
        <v>1166.392</v>
      </c>
      <c r="I30" s="252">
        <f>'2012'!P25</f>
        <v>80.467</v>
      </c>
      <c r="J30" s="252">
        <f>'2012'!Q25</f>
        <v>24.02</v>
      </c>
      <c r="K30" s="259">
        <f>'2012'!R25+'2012'!S25</f>
        <v>415.546</v>
      </c>
      <c r="L30" s="254">
        <f>0</f>
        <v>0</v>
      </c>
      <c r="M30" s="255">
        <f>'2012'!AA25</f>
        <v>520.033</v>
      </c>
      <c r="N30" s="255">
        <f>'2012'!AB25</f>
        <v>646.359</v>
      </c>
      <c r="O30" s="255">
        <f>'2012'!AC25</f>
        <v>-0.06999999999993634</v>
      </c>
      <c r="P30" s="220"/>
      <c r="Q30" s="220"/>
    </row>
    <row r="31" spans="1:17" ht="12.75">
      <c r="A31" s="257" t="s">
        <v>42</v>
      </c>
      <c r="B31" s="303">
        <f>'2012'!B26</f>
        <v>120.1</v>
      </c>
      <c r="C31" s="247">
        <f>'2012'!C26</f>
        <v>1142.1509999999998</v>
      </c>
      <c r="D31" s="304">
        <f>'2012'!D26</f>
        <v>163.93650000000002</v>
      </c>
      <c r="E31" s="249">
        <f>'2012'!I26</f>
        <v>1142.15</v>
      </c>
      <c r="F31" s="250">
        <v>5</v>
      </c>
      <c r="G31" s="305">
        <f>'2012'!M26</f>
        <v>1048.1100000000001</v>
      </c>
      <c r="H31" s="250">
        <f>'2012'!N26</f>
        <v>1212.0465000000002</v>
      </c>
      <c r="I31" s="252">
        <f>'2012'!P26</f>
        <v>80.467</v>
      </c>
      <c r="J31" s="252">
        <f>'2012'!Q26</f>
        <v>24.02</v>
      </c>
      <c r="K31" s="259">
        <f>'2012'!R26+'2012'!S26</f>
        <v>415.546</v>
      </c>
      <c r="L31" s="254">
        <f>0</f>
        <v>0</v>
      </c>
      <c r="M31" s="255">
        <f>'2012'!AA26</f>
        <v>520.033</v>
      </c>
      <c r="N31" s="255">
        <f>'2012'!AB26</f>
        <v>692.0135000000001</v>
      </c>
      <c r="O31" s="255">
        <f>'2012'!AC26</f>
        <v>-94.03999999999996</v>
      </c>
      <c r="P31" s="220"/>
      <c r="Q31" s="220"/>
    </row>
    <row r="32" spans="1:17" ht="12.75">
      <c r="A32" s="257" t="s">
        <v>43</v>
      </c>
      <c r="B32" s="303">
        <f>'2012'!B27</f>
        <v>120.1</v>
      </c>
      <c r="C32" s="247">
        <f>'2012'!C27</f>
        <v>1142.1509999999998</v>
      </c>
      <c r="D32" s="304">
        <f>'2012'!D27</f>
        <v>0</v>
      </c>
      <c r="E32" s="249">
        <f>'2012'!I27</f>
        <v>1142.15</v>
      </c>
      <c r="F32" s="250">
        <v>6</v>
      </c>
      <c r="G32" s="305">
        <f>'2012'!M27</f>
        <v>562.8000000000001</v>
      </c>
      <c r="H32" s="250">
        <f>'2012'!N27</f>
        <v>562.8000000000001</v>
      </c>
      <c r="I32" s="252">
        <f>'2012'!P27</f>
        <v>80.467</v>
      </c>
      <c r="J32" s="252">
        <f>'2012'!Q27</f>
        <v>24.02</v>
      </c>
      <c r="K32" s="259">
        <f>'2012'!R27+'2012'!S27</f>
        <v>415.546</v>
      </c>
      <c r="L32" s="254">
        <f>0</f>
        <v>0</v>
      </c>
      <c r="M32" s="255">
        <f>'2012'!AA27</f>
        <v>520.033</v>
      </c>
      <c r="N32" s="255">
        <f>'2012'!AB27</f>
        <v>42.76700000000005</v>
      </c>
      <c r="O32" s="255">
        <f>'2012'!AC27</f>
        <v>-579.35</v>
      </c>
      <c r="P32" s="220"/>
      <c r="Q32" s="220"/>
    </row>
    <row r="33" spans="1:17" ht="12.75">
      <c r="A33" s="257" t="s">
        <v>44</v>
      </c>
      <c r="B33" s="303">
        <f>'2012'!B28</f>
        <v>120.1</v>
      </c>
      <c r="C33" s="247">
        <f>'2012'!C28</f>
        <v>1026.855</v>
      </c>
      <c r="D33" s="304">
        <f>'2012'!D28</f>
        <v>122.50199999999998</v>
      </c>
      <c r="E33" s="249">
        <f>'2012'!I28</f>
        <v>1043.96</v>
      </c>
      <c r="F33" s="250">
        <v>7</v>
      </c>
      <c r="G33" s="305">
        <f>'2012'!M28</f>
        <v>529.2</v>
      </c>
      <c r="H33" s="250">
        <f>'2012'!N28</f>
        <v>651.702</v>
      </c>
      <c r="I33" s="252">
        <f>'2012'!P28</f>
        <v>80.467</v>
      </c>
      <c r="J33" s="252">
        <f>'2012'!Q28</f>
        <v>24.02</v>
      </c>
      <c r="K33" s="259">
        <f>'2012'!R28+'2012'!S28</f>
        <v>415.546</v>
      </c>
      <c r="L33" s="254">
        <f>0</f>
        <v>0</v>
      </c>
      <c r="M33" s="255">
        <f>'2012'!AA28</f>
        <v>520.033</v>
      </c>
      <c r="N33" s="255">
        <f>'2012'!AB28</f>
        <v>131.66899999999998</v>
      </c>
      <c r="O33" s="255">
        <f>'2012'!AC28</f>
        <v>-514.76</v>
      </c>
      <c r="P33" s="220"/>
      <c r="Q33" s="220"/>
    </row>
    <row r="34" spans="1:17" ht="12.75">
      <c r="A34" s="257" t="s">
        <v>45</v>
      </c>
      <c r="B34" s="303">
        <f>'2012'!B29</f>
        <v>120.1</v>
      </c>
      <c r="C34" s="247">
        <f>'2012'!C29</f>
        <v>1142.1509999999998</v>
      </c>
      <c r="D34" s="304">
        <f>'2012'!D29</f>
        <v>0</v>
      </c>
      <c r="E34" s="249">
        <f>'2012'!I29</f>
        <v>1142.15</v>
      </c>
      <c r="F34" s="250">
        <v>8</v>
      </c>
      <c r="G34" s="305">
        <f>'2012'!M29</f>
        <v>1873.71</v>
      </c>
      <c r="H34" s="250">
        <f>'2012'!N29</f>
        <v>1873.71</v>
      </c>
      <c r="I34" s="252">
        <f>'2012'!P29</f>
        <v>80.467</v>
      </c>
      <c r="J34" s="252">
        <f>'2012'!Q29</f>
        <v>24.02</v>
      </c>
      <c r="K34" s="259">
        <f>'2012'!R29+'2012'!S29</f>
        <v>415.546</v>
      </c>
      <c r="L34" s="254">
        <f>0</f>
        <v>0</v>
      </c>
      <c r="M34" s="255">
        <f>'2012'!AA29</f>
        <v>520.033</v>
      </c>
      <c r="N34" s="255">
        <f>'2012'!AB29</f>
        <v>1353.6770000000001</v>
      </c>
      <c r="O34" s="255">
        <f>'2012'!AC29</f>
        <v>731.56</v>
      </c>
      <c r="P34" s="220"/>
      <c r="Q34" s="220"/>
    </row>
    <row r="35" spans="1:17" ht="12.75">
      <c r="A35" s="257" t="s">
        <v>33</v>
      </c>
      <c r="B35" s="303">
        <f>'2012'!B30</f>
        <v>120.1</v>
      </c>
      <c r="C35" s="247">
        <f>'2012'!C30</f>
        <v>1142.1509999999998</v>
      </c>
      <c r="D35" s="304">
        <f>'2012'!D30</f>
        <v>0</v>
      </c>
      <c r="E35" s="249">
        <f>'2012'!I30</f>
        <v>1142.15</v>
      </c>
      <c r="F35" s="250">
        <v>9</v>
      </c>
      <c r="G35" s="305">
        <f>'2012'!M30</f>
        <v>604.65</v>
      </c>
      <c r="H35" s="250">
        <f>'2012'!N30</f>
        <v>604.65</v>
      </c>
      <c r="I35" s="252">
        <f>'2012'!P30</f>
        <v>80.467</v>
      </c>
      <c r="J35" s="252">
        <f>'2012'!Q30</f>
        <v>24.02</v>
      </c>
      <c r="K35" s="259">
        <f>'2012'!R30+'2012'!S30</f>
        <v>415.546</v>
      </c>
      <c r="L35" s="254">
        <f>0</f>
        <v>0</v>
      </c>
      <c r="M35" s="255">
        <f>'2012'!AA30</f>
        <v>3749.033</v>
      </c>
      <c r="N35" s="255">
        <f>'2012'!AB30</f>
        <v>-3144.383</v>
      </c>
      <c r="O35" s="255">
        <f>'2012'!AC30</f>
        <v>-537.5000000000001</v>
      </c>
      <c r="P35" s="220"/>
      <c r="Q35" s="220"/>
    </row>
    <row r="36" spans="1:17" ht="12.75">
      <c r="A36" s="257" t="s">
        <v>34</v>
      </c>
      <c r="B36" s="303">
        <f>'2012'!B31</f>
        <v>120.1</v>
      </c>
      <c r="C36" s="247">
        <f>'2012'!C31</f>
        <v>1142.1509999999998</v>
      </c>
      <c r="D36" s="304">
        <f>'2012'!D31</f>
        <v>0</v>
      </c>
      <c r="E36" s="249">
        <f>'2012'!I31</f>
        <v>1142.15</v>
      </c>
      <c r="F36" s="250">
        <v>10</v>
      </c>
      <c r="G36" s="305">
        <f>'2012'!M31</f>
        <v>600.08</v>
      </c>
      <c r="H36" s="250">
        <f>'2012'!N31</f>
        <v>600.08</v>
      </c>
      <c r="I36" s="252">
        <f>'2012'!P31</f>
        <v>80.467</v>
      </c>
      <c r="J36" s="252">
        <f>'2012'!Q31</f>
        <v>24.02</v>
      </c>
      <c r="K36" s="259">
        <f>'2012'!R31+'2012'!S31</f>
        <v>415.546</v>
      </c>
      <c r="L36" s="254">
        <f>0</f>
        <v>0</v>
      </c>
      <c r="M36" s="255">
        <f>'2012'!AA31</f>
        <v>3429.033</v>
      </c>
      <c r="N36" s="255">
        <f>'2012'!AB31</f>
        <v>-2828.953</v>
      </c>
      <c r="O36" s="255">
        <f>'2012'!AC31</f>
        <v>-542.07</v>
      </c>
      <c r="P36" s="220"/>
      <c r="Q36" s="220"/>
    </row>
    <row r="37" spans="1:17" ht="13.5" thickBot="1">
      <c r="A37" s="327" t="s">
        <v>35</v>
      </c>
      <c r="B37" s="328">
        <f>'2012'!B32</f>
        <v>60</v>
      </c>
      <c r="C37" s="329">
        <f>'2012'!C32</f>
        <v>819</v>
      </c>
      <c r="D37" s="330">
        <f>'2012'!D32</f>
        <v>0</v>
      </c>
      <c r="E37" s="331">
        <f>'2012'!I32</f>
        <v>819</v>
      </c>
      <c r="F37" s="332">
        <v>11</v>
      </c>
      <c r="G37" s="333">
        <f>'2012'!M32</f>
        <v>2594.07</v>
      </c>
      <c r="H37" s="332">
        <f>'2012'!N32</f>
        <v>2594.07</v>
      </c>
      <c r="I37" s="334">
        <f>'2012'!P32</f>
        <v>40.2</v>
      </c>
      <c r="J37" s="334">
        <f>'2012'!Q32</f>
        <v>12</v>
      </c>
      <c r="K37" s="335">
        <f>'2012'!R32+'2012'!S32</f>
        <v>207.92499999999998</v>
      </c>
      <c r="L37" s="336">
        <f>0</f>
        <v>0</v>
      </c>
      <c r="M37" s="337">
        <f>'2012'!AA32</f>
        <v>5730.125</v>
      </c>
      <c r="N37" s="337">
        <f>'2012'!AB32</f>
        <v>-3136.055</v>
      </c>
      <c r="O37" s="337">
        <f>'2012'!AC32</f>
        <v>1775.0700000000002</v>
      </c>
      <c r="P37" s="220"/>
      <c r="Q37" s="220"/>
    </row>
    <row r="38" spans="1:17" s="23" customFormat="1" ht="13.5" thickBot="1">
      <c r="A38" s="43" t="s">
        <v>3</v>
      </c>
      <c r="B38" s="44"/>
      <c r="C38" s="49">
        <f aca="true" t="shared" si="2" ref="C38:M38">SUM(C26:C37)</f>
        <v>12690.884999999998</v>
      </c>
      <c r="D38" s="49">
        <f t="shared" si="2"/>
        <v>898.9484999999999</v>
      </c>
      <c r="E38" s="49">
        <f t="shared" si="2"/>
        <v>12793.51</v>
      </c>
      <c r="F38" s="49">
        <f t="shared" si="2"/>
        <v>66</v>
      </c>
      <c r="G38" s="49">
        <f t="shared" si="2"/>
        <v>12518.05</v>
      </c>
      <c r="H38" s="49">
        <f t="shared" si="2"/>
        <v>13416.9985</v>
      </c>
      <c r="I38" s="49">
        <f t="shared" si="2"/>
        <v>925.337</v>
      </c>
      <c r="J38" s="49">
        <f t="shared" si="2"/>
        <v>276.22</v>
      </c>
      <c r="K38" s="49">
        <f t="shared" si="2"/>
        <v>4778.931</v>
      </c>
      <c r="L38" s="49">
        <f t="shared" si="2"/>
        <v>0</v>
      </c>
      <c r="M38" s="49">
        <f t="shared" si="2"/>
        <v>17588.487999999998</v>
      </c>
      <c r="N38" s="49">
        <f>SUM(N26:N37)</f>
        <v>-4171.4895</v>
      </c>
      <c r="O38" s="49">
        <f>SUM(O26:O37)</f>
        <v>-275.46000000000004</v>
      </c>
      <c r="P38" s="50"/>
      <c r="Q38" s="50"/>
    </row>
    <row r="39" spans="1:17" ht="13.5" thickBot="1">
      <c r="A39" s="474" t="s">
        <v>60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260"/>
      <c r="P39" s="220"/>
      <c r="Q39" s="220"/>
    </row>
    <row r="40" spans="1:17" s="23" customFormat="1" ht="13.5" thickBot="1">
      <c r="A40" s="55" t="s">
        <v>46</v>
      </c>
      <c r="B40" s="56"/>
      <c r="C40" s="60">
        <f aca="true" t="shared" si="3" ref="C40:N40">C38+C24</f>
        <v>19878.869999999995</v>
      </c>
      <c r="D40" s="60">
        <f t="shared" si="3"/>
        <v>1768.2322999999997</v>
      </c>
      <c r="E40" s="60">
        <f t="shared" si="3"/>
        <v>21145.190000000002</v>
      </c>
      <c r="F40" s="60">
        <f t="shared" si="3"/>
        <v>66</v>
      </c>
      <c r="G40" s="60">
        <f t="shared" si="3"/>
        <v>19668.05</v>
      </c>
      <c r="H40" s="60">
        <f t="shared" si="3"/>
        <v>21436.2823</v>
      </c>
      <c r="I40" s="60">
        <f t="shared" si="3"/>
        <v>1488.606</v>
      </c>
      <c r="J40" s="60">
        <f t="shared" si="3"/>
        <v>444.36</v>
      </c>
      <c r="K40" s="60">
        <f t="shared" si="3"/>
        <v>7511.205999999999</v>
      </c>
      <c r="L40" s="60">
        <f t="shared" si="3"/>
        <v>767</v>
      </c>
      <c r="M40" s="60">
        <f t="shared" si="3"/>
        <v>21819.172</v>
      </c>
      <c r="N40" s="60">
        <f t="shared" si="3"/>
        <v>-382.88970000000063</v>
      </c>
      <c r="O40" s="60">
        <f>O38+O24</f>
        <v>-1477.1400000000003</v>
      </c>
      <c r="P40" s="61"/>
      <c r="Q40" s="50"/>
    </row>
    <row r="41" ht="9" customHeight="1"/>
    <row r="42" spans="1:17" ht="12.75">
      <c r="A42" s="23" t="s">
        <v>105</v>
      </c>
      <c r="D42" s="261" t="s">
        <v>109</v>
      </c>
      <c r="P42" s="220"/>
      <c r="Q42" s="220"/>
    </row>
    <row r="43" spans="1:17" ht="12.75">
      <c r="A43" s="216" t="s">
        <v>82</v>
      </c>
      <c r="B43" s="216" t="s">
        <v>83</v>
      </c>
      <c r="C43" s="421" t="s">
        <v>84</v>
      </c>
      <c r="D43" s="421"/>
      <c r="P43" s="220"/>
      <c r="Q43" s="220"/>
    </row>
    <row r="44" spans="1:17" ht="12.75">
      <c r="A44" s="262">
        <v>17602.29</v>
      </c>
      <c r="B44" s="262">
        <v>0</v>
      </c>
      <c r="C44" s="476">
        <f>A44-B44</f>
        <v>17602.29</v>
      </c>
      <c r="D44" s="477"/>
      <c r="P44" s="220"/>
      <c r="Q44" s="220"/>
    </row>
    <row r="45" spans="1:17" ht="12.75">
      <c r="A45" s="219"/>
      <c r="P45" s="220"/>
      <c r="Q45" s="220"/>
    </row>
    <row r="46" spans="1:17" ht="12.75">
      <c r="A46" s="215" t="s">
        <v>85</v>
      </c>
      <c r="G46" s="215" t="s">
        <v>86</v>
      </c>
      <c r="P46" s="220"/>
      <c r="Q46" s="220"/>
    </row>
    <row r="47" ht="12.75">
      <c r="A47" s="220"/>
    </row>
    <row r="48" ht="12.75">
      <c r="A48" s="261" t="s">
        <v>99</v>
      </c>
    </row>
    <row r="49" ht="12.75">
      <c r="A49" s="215" t="s">
        <v>100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2013-07-17T16:08:49Z</dcterms:modified>
  <cp:category/>
  <cp:version/>
  <cp:contentType/>
  <cp:contentStatus/>
</cp:coreProperties>
</file>