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<sst xmlns="http://schemas.openxmlformats.org/spreadsheetml/2006/main" count="337" uniqueCount="126">
  <si>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</si>
  <si>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</si>
  <si>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</si>
  <si>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</si>
  <si>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</si>
  <si>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</si>
  <si>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</si>
  <si>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</si>
  <si>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</si>
  <si>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</si>
  <si>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</si>
  <si>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</si>
  <si>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</si>
  <si>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</si>
  <si>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</si>
  <si>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</si>
  <si>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</si>
  <si>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</si>
  <si>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</si>
  <si>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</si>
  <si>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</si>
  <si>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</si>
  <si>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</si>
  <si>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</si>
  <si>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</si>
  <si>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</si>
  <si>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</si>
  <si>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</si>
  <si>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</si>
  <si>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</si>
  <si>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</si>
  <si>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</si>
  <si>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</si>
  <si>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</si>
  <si>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</si>
  <si>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</si>
  <si>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</si>
  <si>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</si>
  <si>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</si>
  <si>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</si>
  <si>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</si>
  <si>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</si>
  <si>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</si>
  <si>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</si>
  <si>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</si>
  <si>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</si>
  <si>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</si>
  <si>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</si>
  <si>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</si>
  <si>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</si>
  <si>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</si>
  <si>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</si>
  <si>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</si>
  <si>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</si>
  <si>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</si>
  <si>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</si>
  <si>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</si>
  <si>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</si>
  <si>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</si>
  <si>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</si>
  <si>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</si>
  <si>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</si>
  <si>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</si>
  <si>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</si>
  <si>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</si>
  <si>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</si>
  <si>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</si>
  <si>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</si>
  <si>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</si>
  <si>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</si>
  <si>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</si>
  <si>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</si>
  <si>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</si>
  <si>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</si>
  <si>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</si>
  <si>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</si>
  <si>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</si>
  <si>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</si>
  <si>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</si>
  <si>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</si>
  <si>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</si>
  <si>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</si>
  <si>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</si>
  <si>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</si>
  <si>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</si>
  <si>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</si>
  <si>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</si>
  <si>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</si>
  <si>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</si>
  <si>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Поспелова, д.33</t>
  </si>
  <si>
    <t>Выписка по лицевому счету по адресу г. Таштагол ул. Поспелова, д. 33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</si>
  <si>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</si>
  <si>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</si>
  <si>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</si>
  <si>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</si>
  <si>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</si>
  <si>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</si>
  <si>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</si>
  <si>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</si>
  <si>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</si>
  <si>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</si>
  <si>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</si>
  <si>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</si>
  <si>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</si>
  <si>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</si>
  <si>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</si>
  <si>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</si>
  <si>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</si>
  <si>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</si>
  <si>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</si>
  <si>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</si>
  <si>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</si>
  <si>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</si>
  <si>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</si>
  <si>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</si>
  <si>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</si>
  <si>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</si>
  <si>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Услуга начисления</t>
  </si>
  <si>
    <t>Расходы по нежилым помещениям</t>
  </si>
  <si>
    <t>Исп. В.В. Колмогорова</t>
  </si>
  <si>
    <t xml:space="preserve">Доходы от нежилых помещений </t>
  </si>
  <si>
    <t>2012 год</t>
  </si>
  <si>
    <t>Выписка по лицевому счету по адресу г. Таштагол ул. Поспелова, д.33</t>
  </si>
  <si>
    <t>Тариф по содержанию и тек.ремонту 100 % (9,51руб.*площадь)</t>
  </si>
  <si>
    <t>на 01.01.2013 г.</t>
  </si>
  <si>
    <t>*по состоянию на 01.05.2013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</si>
</sst>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4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2" fillId="0" borderId="45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6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2" fontId="0" fillId="0" borderId="20" xfId="0" applyNumberFormat="1" applyFont="1" applyFill="1" applyBorder="1" applyAlignment="1">
      <alignment horizontal="right"/>
    </xf>
    <xf numFmtId="2" fontId="0" fillId="0" borderId="38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54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 textRotation="90" wrapText="1"/>
    </xf>
    <xf numFmtId="0" fontId="1" fillId="0" borderId="57" xfId="0" applyFont="1" applyFill="1" applyBorder="1" applyAlignment="1">
      <alignment horizontal="center" textRotation="90" wrapText="1"/>
    </xf>
    <xf numFmtId="0" fontId="1" fillId="0" borderId="58" xfId="0" applyFont="1" applyFill="1" applyBorder="1" applyAlignment="1">
      <alignment horizontal="center" textRotation="90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50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/>
    </xf>
    <xf numFmtId="0" fontId="1" fillId="38" borderId="7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0" fontId="1" fillId="0" borderId="72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5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textRotation="90" wrapText="1"/>
    </xf>
    <xf numFmtId="0" fontId="1" fillId="0" borderId="54" xfId="0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textRotation="90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center"/>
    </xf>
    <xf numFmtId="4" fontId="0" fillId="39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3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2">
          <cell r="I22">
            <v>2337.77824</v>
          </cell>
        </row>
        <row r="28">
          <cell r="I28">
            <v>2113.76586</v>
          </cell>
        </row>
        <row r="53">
          <cell r="I53">
            <v>2608.75344</v>
          </cell>
        </row>
        <row r="63">
          <cell r="I63">
            <v>882.1532200000001</v>
          </cell>
        </row>
        <row r="67">
          <cell r="I67">
            <v>319.68678000000006</v>
          </cell>
        </row>
        <row r="68">
          <cell r="I68">
            <v>1040.64318</v>
          </cell>
        </row>
        <row r="108">
          <cell r="I108">
            <v>492.38921999999997</v>
          </cell>
        </row>
      </sheetData>
      <sheetData sheetId="1">
        <row r="22">
          <cell r="I22">
            <v>2337.77824</v>
          </cell>
          <cell r="O22">
            <v>1114.2633600000001</v>
          </cell>
        </row>
        <row r="28">
          <cell r="I28">
            <v>2113.76586</v>
          </cell>
          <cell r="O28">
            <v>851.92974</v>
          </cell>
        </row>
        <row r="53">
          <cell r="I53">
            <v>652.17836</v>
          </cell>
          <cell r="O53">
            <v>262.85724000000005</v>
          </cell>
        </row>
        <row r="63">
          <cell r="I63">
            <v>882.1532200000001</v>
          </cell>
          <cell r="O63">
            <v>355.53798000000006</v>
          </cell>
        </row>
        <row r="67">
          <cell r="I67">
            <v>319.68678000000006</v>
          </cell>
          <cell r="O67">
            <v>152.37342</v>
          </cell>
        </row>
        <row r="68">
          <cell r="I68">
            <v>1040.64318</v>
          </cell>
          <cell r="O68">
            <v>419.41962</v>
          </cell>
        </row>
        <row r="108">
          <cell r="I108">
            <v>492.38921999999997</v>
          </cell>
          <cell r="O108">
            <v>198.45198000000002</v>
          </cell>
        </row>
      </sheetData>
      <sheetData sheetId="2">
        <row r="22">
          <cell r="I22">
            <v>2337.77824</v>
          </cell>
          <cell r="O22">
            <v>1114.2633600000001</v>
          </cell>
        </row>
        <row r="28">
          <cell r="I28">
            <v>2113.76586</v>
          </cell>
          <cell r="O28">
            <v>851.92974</v>
          </cell>
        </row>
        <row r="54">
          <cell r="I54">
            <v>652.17836</v>
          </cell>
          <cell r="O54">
            <v>262.85724000000005</v>
          </cell>
        </row>
        <row r="64">
          <cell r="I64">
            <v>882.1532200000001</v>
          </cell>
          <cell r="O64">
            <v>355.53798000000006</v>
          </cell>
        </row>
        <row r="68">
          <cell r="I68">
            <v>319.68678000000006</v>
          </cell>
          <cell r="O68">
            <v>152.37342</v>
          </cell>
        </row>
        <row r="69">
          <cell r="I69">
            <v>1040.64318</v>
          </cell>
          <cell r="O69">
            <v>419.41962</v>
          </cell>
        </row>
        <row r="109">
          <cell r="I109">
            <v>492.38921999999997</v>
          </cell>
          <cell r="O109">
            <v>198.45198000000002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21">
          <cell r="J21">
            <v>2336.5440000000003</v>
          </cell>
        </row>
        <row r="27">
          <cell r="J27">
            <v>2111.846</v>
          </cell>
        </row>
        <row r="52">
          <cell r="J52">
            <v>651.596</v>
          </cell>
        </row>
        <row r="60">
          <cell r="J60">
            <v>881.3420000000001</v>
          </cell>
        </row>
        <row r="63">
          <cell r="J63">
            <v>319.51800000000003</v>
          </cell>
        </row>
        <row r="64">
          <cell r="J64">
            <v>1039.6979999999999</v>
          </cell>
        </row>
        <row r="104">
          <cell r="J104">
            <v>491.942</v>
          </cell>
        </row>
        <row r="125">
          <cell r="J125">
            <v>635.742</v>
          </cell>
        </row>
        <row r="196">
          <cell r="J196">
            <v>114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21">
          <cell r="J21">
            <v>2336.5440000000003</v>
          </cell>
        </row>
        <row r="27">
          <cell r="J27">
            <v>2111.846</v>
          </cell>
        </row>
        <row r="52">
          <cell r="J52">
            <v>651.596</v>
          </cell>
        </row>
        <row r="60">
          <cell r="J60">
            <v>881.3420000000001</v>
          </cell>
        </row>
        <row r="63">
          <cell r="J63">
            <v>319.51800000000003</v>
          </cell>
        </row>
        <row r="64">
          <cell r="J64">
            <v>1039.6979999999999</v>
          </cell>
        </row>
        <row r="102">
          <cell r="J102">
            <v>491.942</v>
          </cell>
        </row>
        <row r="123">
          <cell r="J123">
            <v>635.742</v>
          </cell>
        </row>
        <row r="202">
          <cell r="J202">
            <v>114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22">
          <cell r="I22">
            <v>2337.77824</v>
          </cell>
        </row>
        <row r="28">
          <cell r="I28">
            <v>2113.76586</v>
          </cell>
        </row>
        <row r="51">
          <cell r="I51">
            <v>652.17836</v>
          </cell>
        </row>
        <row r="61">
          <cell r="I61">
            <v>882.1532200000001</v>
          </cell>
        </row>
        <row r="65">
          <cell r="I65">
            <v>319.68678000000006</v>
          </cell>
        </row>
        <row r="66">
          <cell r="I66">
            <v>1040.64318</v>
          </cell>
        </row>
        <row r="106">
          <cell r="I106">
            <v>492.38921999999997</v>
          </cell>
        </row>
      </sheetData>
      <sheetData sheetId="2">
        <row r="22">
          <cell r="M22">
            <v>1112.944</v>
          </cell>
        </row>
        <row r="28">
          <cell r="M28">
            <v>850.9209999999999</v>
          </cell>
        </row>
        <row r="52">
          <cell r="M52">
            <v>262.54600000000005</v>
          </cell>
        </row>
        <row r="62">
          <cell r="M62">
            <v>355.117</v>
          </cell>
        </row>
        <row r="66">
          <cell r="M66">
            <v>152.193</v>
          </cell>
        </row>
        <row r="67">
          <cell r="M67">
            <v>418.92299999999994</v>
          </cell>
        </row>
        <row r="107">
          <cell r="M107">
            <v>198.21699999999998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22">
          <cell r="I22">
            <v>2337.77824</v>
          </cell>
        </row>
        <row r="28">
          <cell r="I28">
            <v>2113.76586</v>
          </cell>
        </row>
        <row r="52">
          <cell r="I52">
            <v>652.17836</v>
          </cell>
        </row>
        <row r="62">
          <cell r="I62">
            <v>882.1532200000001</v>
          </cell>
        </row>
        <row r="66">
          <cell r="I66">
            <v>319.68678000000006</v>
          </cell>
        </row>
        <row r="67">
          <cell r="I67">
            <v>1040.64318</v>
          </cell>
        </row>
        <row r="107">
          <cell r="I107">
            <v>492.38921999999997</v>
          </cell>
        </row>
        <row r="127">
          <cell r="I127">
            <v>2544.32128</v>
          </cell>
        </row>
      </sheetData>
      <sheetData sheetId="4">
        <row r="22">
          <cell r="M22">
            <v>1112.944</v>
          </cell>
        </row>
        <row r="28">
          <cell r="M28">
            <v>850.9209999999999</v>
          </cell>
        </row>
        <row r="52">
          <cell r="M52">
            <v>262.54600000000005</v>
          </cell>
        </row>
        <row r="62">
          <cell r="M62">
            <v>355.117</v>
          </cell>
        </row>
        <row r="66">
          <cell r="M66">
            <v>152.193</v>
          </cell>
        </row>
        <row r="67">
          <cell r="M67">
            <v>418.92299999999994</v>
          </cell>
        </row>
        <row r="107">
          <cell r="M107">
            <v>198.21699999999998</v>
          </cell>
        </row>
        <row r="128">
          <cell r="M128">
            <v>302.817</v>
          </cell>
        </row>
      </sheetData>
      <sheetData sheetId="5">
        <row r="22">
          <cell r="I22">
            <v>2337.77824</v>
          </cell>
          <cell r="M22">
            <v>1112.944</v>
          </cell>
        </row>
        <row r="28">
          <cell r="I28">
            <v>2113.76586</v>
          </cell>
          <cell r="M28">
            <v>850.9209999999999</v>
          </cell>
        </row>
        <row r="52">
          <cell r="I52">
            <v>652.17836</v>
          </cell>
          <cell r="M52">
            <v>262.54600000000005</v>
          </cell>
        </row>
        <row r="60">
          <cell r="I60">
            <v>882.1532200000001</v>
          </cell>
          <cell r="M60">
            <v>355.117</v>
          </cell>
        </row>
        <row r="64">
          <cell r="I64">
            <v>319.68678000000006</v>
          </cell>
          <cell r="M64">
            <v>152.193</v>
          </cell>
        </row>
        <row r="65">
          <cell r="I65">
            <v>1040.64318</v>
          </cell>
          <cell r="M65">
            <v>418.92299999999994</v>
          </cell>
        </row>
        <row r="104">
          <cell r="I104">
            <v>492.38921999999997</v>
          </cell>
          <cell r="M104">
            <v>198.21699999999998</v>
          </cell>
        </row>
        <row r="125">
          <cell r="I125">
            <v>636.07782</v>
          </cell>
          <cell r="M125">
            <v>302.817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3">
        <row r="22">
          <cell r="M22">
            <v>1112.944</v>
          </cell>
        </row>
        <row r="28">
          <cell r="M28">
            <v>850.9209999999999</v>
          </cell>
        </row>
        <row r="53">
          <cell r="M53">
            <v>262.54600000000005</v>
          </cell>
        </row>
        <row r="63">
          <cell r="M63">
            <v>355.117</v>
          </cell>
        </row>
        <row r="66">
          <cell r="M66">
            <v>152.193</v>
          </cell>
        </row>
        <row r="67">
          <cell r="M67">
            <v>418.92299999999994</v>
          </cell>
        </row>
        <row r="107">
          <cell r="M107">
            <v>198.21699999999998</v>
          </cell>
        </row>
        <row r="128">
          <cell r="M128">
            <v>302.817</v>
          </cell>
        </row>
      </sheetData>
      <sheetData sheetId="4">
        <row r="22">
          <cell r="I22">
            <v>2337.77824</v>
          </cell>
        </row>
        <row r="28">
          <cell r="I28">
            <v>2113.76586</v>
          </cell>
        </row>
        <row r="52">
          <cell r="I52">
            <v>652.17836</v>
          </cell>
        </row>
        <row r="62">
          <cell r="I62">
            <v>882.1532200000001</v>
          </cell>
        </row>
        <row r="66">
          <cell r="I66">
            <v>319.68678000000006</v>
          </cell>
        </row>
        <row r="67">
          <cell r="I67">
            <v>1040.64318</v>
          </cell>
        </row>
        <row r="107">
          <cell r="I107">
            <v>492.38921999999997</v>
          </cell>
        </row>
        <row r="128">
          <cell r="I128">
            <v>636.07782</v>
          </cell>
        </row>
      </sheetData>
      <sheetData sheetId="6">
        <row r="21">
          <cell r="I21">
            <v>2337.77824</v>
          </cell>
          <cell r="M21">
            <v>1112.944</v>
          </cell>
        </row>
        <row r="27">
          <cell r="I27">
            <v>2113.76586</v>
          </cell>
          <cell r="M27">
            <v>850.9209999999999</v>
          </cell>
        </row>
        <row r="52">
          <cell r="I52">
            <v>652.17836</v>
          </cell>
          <cell r="M52">
            <v>262.54600000000005</v>
          </cell>
        </row>
        <row r="60">
          <cell r="I60">
            <v>882.1532200000001</v>
          </cell>
          <cell r="M60">
            <v>355.117</v>
          </cell>
        </row>
        <row r="63">
          <cell r="I63">
            <v>319.68678000000006</v>
          </cell>
          <cell r="M63">
            <v>152.193</v>
          </cell>
        </row>
        <row r="64">
          <cell r="I64">
            <v>1040.64318</v>
          </cell>
          <cell r="M64">
            <v>418.92299999999994</v>
          </cell>
        </row>
        <row r="103">
          <cell r="I103">
            <v>492.38921999999997</v>
          </cell>
          <cell r="M103">
            <v>198.21699999999998</v>
          </cell>
        </row>
        <row r="124">
          <cell r="I124">
            <v>636.07782</v>
          </cell>
          <cell r="M124">
            <v>302.817</v>
          </cell>
        </row>
      </sheetData>
      <sheetData sheetId="9">
        <row r="21">
          <cell r="I21">
            <v>2337.77824</v>
          </cell>
          <cell r="M21">
            <v>1112.944</v>
          </cell>
        </row>
        <row r="27">
          <cell r="I27">
            <v>2113.76586</v>
          </cell>
          <cell r="M27">
            <v>850.9209999999999</v>
          </cell>
        </row>
        <row r="52">
          <cell r="I52">
            <v>652.17836</v>
          </cell>
          <cell r="M52">
            <v>262.54600000000005</v>
          </cell>
        </row>
        <row r="60">
          <cell r="I60">
            <v>882.1532200000001</v>
          </cell>
          <cell r="M60">
            <v>355.117</v>
          </cell>
        </row>
        <row r="63">
          <cell r="I63">
            <v>319.68678000000006</v>
          </cell>
          <cell r="M63">
            <v>152.193</v>
          </cell>
        </row>
        <row r="64">
          <cell r="I64">
            <v>1040.64318</v>
          </cell>
          <cell r="M64">
            <v>418.92299999999994</v>
          </cell>
        </row>
        <row r="104">
          <cell r="I104">
            <v>492.38921999999997</v>
          </cell>
          <cell r="M104">
            <v>198.21699999999998</v>
          </cell>
        </row>
        <row r="125">
          <cell r="I125">
            <v>636.07782</v>
          </cell>
          <cell r="M125">
            <v>302.817</v>
          </cell>
        </row>
      </sheetData>
      <sheetData sheetId="10">
        <row r="21">
          <cell r="I21">
            <v>2337.77824</v>
          </cell>
          <cell r="M21">
            <v>1112.944</v>
          </cell>
        </row>
        <row r="27">
          <cell r="I27">
            <v>2113.76586</v>
          </cell>
          <cell r="M27">
            <v>850.9209999999999</v>
          </cell>
        </row>
        <row r="52">
          <cell r="I52">
            <v>652.17836</v>
          </cell>
          <cell r="M52">
            <v>262.54600000000005</v>
          </cell>
        </row>
        <row r="60">
          <cell r="I60">
            <v>882.1532200000001</v>
          </cell>
          <cell r="M60">
            <v>355.117</v>
          </cell>
        </row>
        <row r="63">
          <cell r="I63">
            <v>319.68678000000006</v>
          </cell>
          <cell r="M63">
            <v>152.193</v>
          </cell>
        </row>
        <row r="64">
          <cell r="I64">
            <v>1040.64318</v>
          </cell>
          <cell r="M64">
            <v>418.92299999999994</v>
          </cell>
        </row>
        <row r="103">
          <cell r="I103">
            <v>492.38921999999997</v>
          </cell>
          <cell r="M103">
            <v>198.21699999999998</v>
          </cell>
        </row>
        <row r="124">
          <cell r="I124">
            <v>636.07782</v>
          </cell>
          <cell r="M124">
            <v>302.817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  <sheetName val="сентябрь"/>
      <sheetName val="сентябрь Шалым"/>
      <sheetName val="октябрь Шалым "/>
      <sheetName val="собств. нужды ООО &quot;Форум&quot;"/>
      <sheetName val="ноябрь Шалым "/>
    </sheetNames>
    <sheetDataSet>
      <sheetData sheetId="2">
        <row r="165">
          <cell r="F165">
            <v>179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2">
          <cell r="J12">
            <v>2611.335</v>
          </cell>
          <cell r="S12">
            <v>1286.957</v>
          </cell>
        </row>
        <row r="31">
          <cell r="J31">
            <v>805.71</v>
          </cell>
          <cell r="S31">
            <v>397.082</v>
          </cell>
        </row>
        <row r="39">
          <cell r="J39">
            <v>1089.795</v>
          </cell>
          <cell r="S39">
            <v>537.089</v>
          </cell>
        </row>
        <row r="41">
          <cell r="J41">
            <v>408.855</v>
          </cell>
          <cell r="S41">
            <v>230.181</v>
          </cell>
        </row>
        <row r="42">
          <cell r="J42">
            <v>1285.605</v>
          </cell>
          <cell r="S42">
            <v>633.591</v>
          </cell>
        </row>
        <row r="72">
          <cell r="J72">
            <v>608.295</v>
          </cell>
          <cell r="S72">
            <v>299.789</v>
          </cell>
        </row>
        <row r="86">
          <cell r="J86">
            <v>813.495</v>
          </cell>
          <cell r="S86">
            <v>457.989</v>
          </cell>
        </row>
        <row r="94">
          <cell r="J94">
            <v>2989.84</v>
          </cell>
          <cell r="S94">
            <v>1683.2479999999998</v>
          </cell>
        </row>
        <row r="159">
          <cell r="J159">
            <v>0</v>
          </cell>
          <cell r="S159">
            <v>0</v>
          </cell>
        </row>
        <row r="224">
          <cell r="J224">
            <v>114</v>
          </cell>
          <cell r="S224">
            <v>28.5</v>
          </cell>
        </row>
      </sheetData>
      <sheetData sheetId="2">
        <row r="12">
          <cell r="J12">
            <v>2611.335</v>
          </cell>
          <cell r="S12">
            <v>1286.957</v>
          </cell>
        </row>
        <row r="30">
          <cell r="J30">
            <v>805.71</v>
          </cell>
          <cell r="S30">
            <v>397.082</v>
          </cell>
        </row>
        <row r="38">
          <cell r="J38">
            <v>1089.795</v>
          </cell>
          <cell r="S38">
            <v>537.089</v>
          </cell>
        </row>
        <row r="40">
          <cell r="J40">
            <v>408.855</v>
          </cell>
          <cell r="S40">
            <v>230.181</v>
          </cell>
        </row>
        <row r="41">
          <cell r="J41">
            <v>1285.605</v>
          </cell>
          <cell r="S41">
            <v>633.591</v>
          </cell>
        </row>
        <row r="70">
          <cell r="J70">
            <v>608.295</v>
          </cell>
          <cell r="S70">
            <v>299.789</v>
          </cell>
        </row>
        <row r="84">
          <cell r="J84">
            <v>813.495</v>
          </cell>
          <cell r="S84">
            <v>457.989</v>
          </cell>
        </row>
        <row r="92">
          <cell r="J92">
            <v>2989.84</v>
          </cell>
          <cell r="S92">
            <v>1683.2479999999998</v>
          </cell>
        </row>
        <row r="160">
          <cell r="J160">
            <v>600</v>
          </cell>
          <cell r="S160">
            <v>150</v>
          </cell>
        </row>
        <row r="225">
          <cell r="J225">
            <v>114</v>
          </cell>
          <cell r="S225">
            <v>28.5</v>
          </cell>
        </row>
      </sheetData>
      <sheetData sheetId="3">
        <row r="12">
          <cell r="J12">
            <v>2611.335</v>
          </cell>
          <cell r="S12">
            <v>1286.957</v>
          </cell>
        </row>
        <row r="30">
          <cell r="J30">
            <v>805.71</v>
          </cell>
          <cell r="S30">
            <v>397.082</v>
          </cell>
        </row>
        <row r="38">
          <cell r="J38">
            <v>1089.795</v>
          </cell>
          <cell r="S38">
            <v>537.089</v>
          </cell>
        </row>
        <row r="40">
          <cell r="J40">
            <v>408.855</v>
          </cell>
          <cell r="S40">
            <v>230.181</v>
          </cell>
        </row>
        <row r="41">
          <cell r="J41">
            <v>1285.605</v>
          </cell>
          <cell r="S41">
            <v>633.591</v>
          </cell>
        </row>
        <row r="70">
          <cell r="J70">
            <v>608.295</v>
          </cell>
          <cell r="S70">
            <v>299.789</v>
          </cell>
        </row>
        <row r="84">
          <cell r="J84">
            <v>813.495</v>
          </cell>
          <cell r="S84">
            <v>457.989</v>
          </cell>
        </row>
        <row r="92">
          <cell r="J92">
            <v>2989.84</v>
          </cell>
          <cell r="S92">
            <v>1683.2479999999998</v>
          </cell>
        </row>
        <row r="160">
          <cell r="J160">
            <v>200</v>
          </cell>
          <cell r="S160">
            <v>50</v>
          </cell>
        </row>
        <row r="225">
          <cell r="J225">
            <v>114</v>
          </cell>
          <cell r="S225">
            <v>28.5</v>
          </cell>
        </row>
      </sheetData>
      <sheetData sheetId="4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70">
          <cell r="J70">
            <v>608.295</v>
          </cell>
          <cell r="S70">
            <v>299.789</v>
          </cell>
        </row>
        <row r="84">
          <cell r="J84">
            <v>813.495</v>
          </cell>
          <cell r="S84">
            <v>457.989</v>
          </cell>
        </row>
        <row r="92">
          <cell r="J92">
            <v>2989.84</v>
          </cell>
          <cell r="S92">
            <v>1683.2479999999998</v>
          </cell>
        </row>
        <row r="160">
          <cell r="J160">
            <v>200</v>
          </cell>
          <cell r="S160">
            <v>50</v>
          </cell>
        </row>
        <row r="231">
          <cell r="J231">
            <v>114</v>
          </cell>
          <cell r="S231">
            <v>28.5</v>
          </cell>
        </row>
      </sheetData>
      <sheetData sheetId="5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70">
          <cell r="J70">
            <v>608.295</v>
          </cell>
          <cell r="S70">
            <v>299.789</v>
          </cell>
        </row>
        <row r="84">
          <cell r="J84">
            <v>813.495</v>
          </cell>
          <cell r="S84">
            <v>457.989</v>
          </cell>
        </row>
        <row r="92">
          <cell r="J92">
            <v>2989.84</v>
          </cell>
          <cell r="S92">
            <v>1683.2479999999998</v>
          </cell>
        </row>
        <row r="166">
          <cell r="J166">
            <v>200</v>
          </cell>
          <cell r="S166">
            <v>50</v>
          </cell>
        </row>
        <row r="262">
          <cell r="J262">
            <v>114</v>
          </cell>
          <cell r="S262">
            <v>28.5</v>
          </cell>
        </row>
      </sheetData>
      <sheetData sheetId="6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70">
          <cell r="J70">
            <v>608.295</v>
          </cell>
          <cell r="S70">
            <v>299.789</v>
          </cell>
        </row>
        <row r="86">
          <cell r="J86">
            <v>813.495</v>
          </cell>
          <cell r="S86">
            <v>457.989</v>
          </cell>
        </row>
        <row r="94">
          <cell r="J94">
            <v>2989.84</v>
          </cell>
          <cell r="S94">
            <v>1683.2479999999998</v>
          </cell>
        </row>
        <row r="168">
          <cell r="J168">
            <v>200</v>
          </cell>
          <cell r="S168">
            <v>50</v>
          </cell>
        </row>
        <row r="264">
          <cell r="J264">
            <v>114</v>
          </cell>
          <cell r="S264">
            <v>28.5</v>
          </cell>
        </row>
      </sheetData>
      <sheetData sheetId="7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70">
          <cell r="J70">
            <v>608.295</v>
          </cell>
          <cell r="S70">
            <v>299.789</v>
          </cell>
        </row>
        <row r="86">
          <cell r="J86">
            <v>813.495</v>
          </cell>
          <cell r="S86">
            <v>457.989</v>
          </cell>
        </row>
        <row r="94">
          <cell r="J94">
            <v>2989.84</v>
          </cell>
          <cell r="S94">
            <v>1683.2479999999998</v>
          </cell>
        </row>
        <row r="168">
          <cell r="J168">
            <v>200</v>
          </cell>
          <cell r="S168">
            <v>50</v>
          </cell>
        </row>
        <row r="264">
          <cell r="J264">
            <v>114</v>
          </cell>
          <cell r="S264">
            <v>28.5</v>
          </cell>
        </row>
        <row r="296">
          <cell r="J296">
            <v>3000</v>
          </cell>
          <cell r="S296">
            <v>750</v>
          </cell>
        </row>
      </sheetData>
      <sheetData sheetId="8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70">
          <cell r="J70">
            <v>608.295</v>
          </cell>
          <cell r="S70">
            <v>299.789</v>
          </cell>
        </row>
        <row r="86">
          <cell r="J86">
            <v>813.495</v>
          </cell>
          <cell r="S86">
            <v>457.989</v>
          </cell>
        </row>
        <row r="94">
          <cell r="J94">
            <v>2989.84</v>
          </cell>
          <cell r="S94">
            <v>1683.2479999999998</v>
          </cell>
        </row>
        <row r="171">
          <cell r="J171">
            <v>200</v>
          </cell>
          <cell r="S171">
            <v>50</v>
          </cell>
        </row>
        <row r="264">
          <cell r="J264">
            <v>114</v>
          </cell>
          <cell r="S264">
            <v>28.5</v>
          </cell>
        </row>
        <row r="296">
          <cell r="J296">
            <v>1000</v>
          </cell>
          <cell r="S296">
            <v>250</v>
          </cell>
        </row>
      </sheetData>
      <sheetData sheetId="9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69">
          <cell r="J69">
            <v>608.295</v>
          </cell>
          <cell r="S69">
            <v>299.789</v>
          </cell>
        </row>
        <row r="85">
          <cell r="J85">
            <v>813.495</v>
          </cell>
          <cell r="S85">
            <v>457.989</v>
          </cell>
        </row>
        <row r="93">
          <cell r="J93">
            <v>2989.84</v>
          </cell>
          <cell r="S93">
            <v>1683.2479999999998</v>
          </cell>
        </row>
        <row r="170">
          <cell r="J170">
            <v>200</v>
          </cell>
          <cell r="S170">
            <v>50</v>
          </cell>
        </row>
        <row r="263">
          <cell r="J263">
            <v>114</v>
          </cell>
          <cell r="S263">
            <v>28.5</v>
          </cell>
        </row>
        <row r="295">
          <cell r="J295">
            <v>1000</v>
          </cell>
          <cell r="S295">
            <v>250</v>
          </cell>
        </row>
      </sheetData>
      <sheetData sheetId="10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69">
          <cell r="J69">
            <v>608.295</v>
          </cell>
          <cell r="S69">
            <v>299.789</v>
          </cell>
        </row>
        <row r="85">
          <cell r="J85">
            <v>813.495</v>
          </cell>
          <cell r="S85">
            <v>457.989</v>
          </cell>
        </row>
        <row r="93">
          <cell r="J93">
            <v>2989.84</v>
          </cell>
          <cell r="S93">
            <v>1683.2479999999998</v>
          </cell>
        </row>
        <row r="156">
          <cell r="J156">
            <v>5639.97</v>
          </cell>
          <cell r="S156">
            <v>2779.5740000000005</v>
          </cell>
        </row>
        <row r="172">
          <cell r="J172">
            <v>200</v>
          </cell>
          <cell r="S172">
            <v>50</v>
          </cell>
        </row>
        <row r="265">
          <cell r="J265">
            <v>114</v>
          </cell>
          <cell r="S265">
            <v>28.5</v>
          </cell>
        </row>
        <row r="297">
          <cell r="J297">
            <v>1000</v>
          </cell>
          <cell r="S297">
            <v>250</v>
          </cell>
        </row>
      </sheetData>
      <sheetData sheetId="11">
        <row r="12">
          <cell r="J12">
            <v>2611.335</v>
          </cell>
          <cell r="S12">
            <v>1286.957</v>
          </cell>
        </row>
        <row r="37">
          <cell r="J37">
            <v>1089.795</v>
          </cell>
          <cell r="S37">
            <v>537.089</v>
          </cell>
        </row>
        <row r="39">
          <cell r="J39">
            <v>408.855</v>
          </cell>
          <cell r="S39">
            <v>230.181</v>
          </cell>
        </row>
        <row r="40">
          <cell r="J40">
            <v>1285.605</v>
          </cell>
          <cell r="S40">
            <v>633.591</v>
          </cell>
        </row>
        <row r="69">
          <cell r="J69">
            <v>608.295</v>
          </cell>
          <cell r="S69">
            <v>299.789</v>
          </cell>
        </row>
        <row r="85">
          <cell r="J85">
            <v>813.495</v>
          </cell>
          <cell r="S85">
            <v>457.989</v>
          </cell>
        </row>
        <row r="93">
          <cell r="J93">
            <v>2989.84</v>
          </cell>
          <cell r="S93">
            <v>1683.2479999999998</v>
          </cell>
        </row>
        <row r="156">
          <cell r="J156">
            <v>805.71</v>
          </cell>
          <cell r="S156">
            <v>397.082</v>
          </cell>
        </row>
        <row r="174">
          <cell r="S174">
            <v>50</v>
          </cell>
        </row>
        <row r="175">
          <cell r="J175">
            <v>100</v>
          </cell>
        </row>
        <row r="267">
          <cell r="S267">
            <v>28.5</v>
          </cell>
        </row>
        <row r="268">
          <cell r="J268">
            <v>114</v>
          </cell>
        </row>
        <row r="299">
          <cell r="S299">
            <v>250</v>
          </cell>
        </row>
        <row r="300">
          <cell r="J300">
            <v>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21">
          <cell r="I21">
            <v>2337.77824</v>
          </cell>
        </row>
        <row r="26">
          <cell r="I26">
            <v>2113.76586</v>
          </cell>
        </row>
      </sheetData>
      <sheetData sheetId="1">
        <row r="21">
          <cell r="I21">
            <v>2337.77824</v>
          </cell>
        </row>
        <row r="26">
          <cell r="I26">
            <v>2113.76586</v>
          </cell>
        </row>
      </sheetData>
      <sheetData sheetId="6">
        <row r="22">
          <cell r="I22">
            <v>2337.77824</v>
          </cell>
        </row>
        <row r="27">
          <cell r="I27">
            <v>2113.76586</v>
          </cell>
        </row>
        <row r="60">
          <cell r="I60">
            <v>882.1532200000001</v>
          </cell>
        </row>
        <row r="63">
          <cell r="I63">
            <v>319.68678000000006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21">
          <cell r="O21">
            <v>993.9067017600003</v>
          </cell>
        </row>
        <row r="26">
          <cell r="O26">
            <v>759.9089303400001</v>
          </cell>
        </row>
      </sheetData>
      <sheetData sheetId="1">
        <row r="21">
          <cell r="O21">
            <v>995.4007705600002</v>
          </cell>
        </row>
        <row r="26">
          <cell r="O26">
            <v>761.05124704</v>
          </cell>
        </row>
      </sheetData>
      <sheetData sheetId="2">
        <row r="21">
          <cell r="O21">
            <v>974.5227284800001</v>
          </cell>
        </row>
        <row r="26">
          <cell r="O26">
            <v>745.08857107</v>
          </cell>
        </row>
      </sheetData>
      <sheetData sheetId="3">
        <row r="21">
          <cell r="I21">
            <v>2337.77824</v>
          </cell>
          <cell r="O21">
            <v>1002.3262188800002</v>
          </cell>
        </row>
        <row r="26">
          <cell r="I26">
            <v>2113.76586</v>
          </cell>
          <cell r="O26">
            <v>766.3462209200001</v>
          </cell>
        </row>
      </sheetData>
      <sheetData sheetId="4">
        <row r="21">
          <cell r="O21">
            <v>1118.9030086080002</v>
          </cell>
        </row>
        <row r="26">
          <cell r="O26">
            <v>855.4770653219999</v>
          </cell>
        </row>
      </sheetData>
      <sheetData sheetId="5">
        <row r="21">
          <cell r="I21">
            <v>1981.169172</v>
          </cell>
          <cell r="O21">
            <v>944.2963080000002</v>
          </cell>
        </row>
        <row r="26">
          <cell r="I26">
            <v>2113.76586</v>
          </cell>
          <cell r="O26">
            <v>851.92974</v>
          </cell>
        </row>
      </sheetData>
      <sheetData sheetId="6">
        <row r="22">
          <cell r="I22">
            <v>2694.3873080000003</v>
          </cell>
          <cell r="O22">
            <v>1273.2532120760002</v>
          </cell>
        </row>
        <row r="27">
          <cell r="I27">
            <v>2113.76586</v>
          </cell>
          <cell r="O27">
            <v>844.64771102</v>
          </cell>
        </row>
        <row r="60">
          <cell r="I60">
            <v>882.1532200000001</v>
          </cell>
          <cell r="O60">
            <v>352.49895254</v>
          </cell>
        </row>
        <row r="63">
          <cell r="I63">
            <v>319.68678000000006</v>
          </cell>
          <cell r="O63">
            <v>151.07097966000003</v>
          </cell>
        </row>
      </sheetData>
      <sheetData sheetId="7">
        <row r="22">
          <cell r="O22">
            <v>1104.237028384</v>
          </cell>
        </row>
        <row r="27">
          <cell r="O27">
            <v>844.263931006</v>
          </cell>
        </row>
        <row r="61">
          <cell r="O61">
            <v>352.33878866200007</v>
          </cell>
        </row>
        <row r="64">
          <cell r="O64">
            <v>151.00233799800003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2">
          <cell r="O22">
            <v>1112.734688</v>
          </cell>
        </row>
        <row r="28">
          <cell r="O28">
            <v>850.774142</v>
          </cell>
        </row>
        <row r="53">
          <cell r="O53">
            <v>413.059892</v>
          </cell>
        </row>
        <row r="63">
          <cell r="O63">
            <v>355.08033400000005</v>
          </cell>
        </row>
        <row r="67">
          <cell r="O67">
            <v>152.118286</v>
          </cell>
        </row>
        <row r="68">
          <cell r="O68">
            <v>80.1</v>
          </cell>
        </row>
        <row r="108">
          <cell r="O108">
            <v>198.13753400000002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07"/>
      <sheetName val="Таштагол 08"/>
      <sheetName val="Таштагол 09"/>
      <sheetName val="Шерегеш 07"/>
      <sheetName val="Шерегеш 08"/>
      <sheetName val="Шерегеш 09"/>
      <sheetName val="Шалым 07"/>
      <sheetName val="Шалым 08"/>
      <sheetName val="Шалым 09"/>
    </sheetNames>
    <sheetDataSet>
      <sheetData sheetId="3">
        <row r="96">
          <cell r="BD96">
            <v>2466.9439900750003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21">
          <cell r="I21">
            <v>2336.5440000000003</v>
          </cell>
          <cell r="R21">
            <v>1683.2479999999998</v>
          </cell>
        </row>
        <row r="27">
          <cell r="I27">
            <v>2111.846</v>
          </cell>
          <cell r="R27">
            <v>1286.957</v>
          </cell>
        </row>
        <row r="52">
          <cell r="I52">
            <v>651.596</v>
          </cell>
          <cell r="R52">
            <v>397.082</v>
          </cell>
        </row>
        <row r="60">
          <cell r="I60">
            <v>881.3420000000001</v>
          </cell>
          <cell r="R60">
            <v>537.089</v>
          </cell>
        </row>
        <row r="63">
          <cell r="I63">
            <v>319.51800000000003</v>
          </cell>
          <cell r="R63">
            <v>230.181</v>
          </cell>
        </row>
        <row r="64">
          <cell r="I64">
            <v>1039.6979999999999</v>
          </cell>
          <cell r="R64">
            <v>633.591</v>
          </cell>
        </row>
        <row r="103">
          <cell r="I103">
            <v>491.942</v>
          </cell>
          <cell r="R103">
            <v>299.789</v>
          </cell>
        </row>
        <row r="124">
          <cell r="I124">
            <v>635.742</v>
          </cell>
          <cell r="R124">
            <v>457.989</v>
          </cell>
        </row>
        <row r="192">
          <cell r="I192">
            <v>114</v>
          </cell>
          <cell r="R192">
            <v>28.5</v>
          </cell>
        </row>
      </sheetData>
      <sheetData sheetId="1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3">
          <cell r="J103">
            <v>491.942</v>
          </cell>
          <cell r="S103">
            <v>299.789</v>
          </cell>
        </row>
        <row r="124">
          <cell r="J124">
            <v>635.742</v>
          </cell>
          <cell r="S124">
            <v>457.989</v>
          </cell>
        </row>
        <row r="193">
          <cell r="S193">
            <v>28.5</v>
          </cell>
        </row>
        <row r="194">
          <cell r="J194">
            <v>114</v>
          </cell>
        </row>
      </sheetData>
      <sheetData sheetId="2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3">
          <cell r="J103">
            <v>491.942</v>
          </cell>
          <cell r="S103">
            <v>299.789</v>
          </cell>
        </row>
        <row r="124">
          <cell r="J124">
            <v>635.742</v>
          </cell>
          <cell r="S124">
            <v>457.989</v>
          </cell>
        </row>
        <row r="194">
          <cell r="J194">
            <v>114</v>
          </cell>
          <cell r="S194">
            <v>28.5</v>
          </cell>
        </row>
      </sheetData>
      <sheetData sheetId="3">
        <row r="21">
          <cell r="S21">
            <v>1683.2479999999998</v>
          </cell>
        </row>
        <row r="27">
          <cell r="S27">
            <v>1286.957</v>
          </cell>
        </row>
        <row r="52">
          <cell r="S52">
            <v>397.082</v>
          </cell>
        </row>
        <row r="60">
          <cell r="S60">
            <v>537.089</v>
          </cell>
        </row>
        <row r="63">
          <cell r="S63">
            <v>230.181</v>
          </cell>
        </row>
        <row r="64">
          <cell r="S64">
            <v>633.591</v>
          </cell>
        </row>
        <row r="104">
          <cell r="S104">
            <v>299.789</v>
          </cell>
        </row>
        <row r="125">
          <cell r="S125">
            <v>457.989</v>
          </cell>
        </row>
        <row r="196">
          <cell r="S196">
            <v>28.5</v>
          </cell>
        </row>
      </sheetData>
      <sheetData sheetId="4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2">
          <cell r="J102">
            <v>491.942</v>
          </cell>
          <cell r="S102">
            <v>299.789</v>
          </cell>
        </row>
        <row r="123">
          <cell r="J123">
            <v>635.742</v>
          </cell>
          <cell r="S123">
            <v>457.989</v>
          </cell>
        </row>
        <row r="194">
          <cell r="J194">
            <v>114</v>
          </cell>
          <cell r="S194">
            <v>28.5</v>
          </cell>
        </row>
      </sheetData>
      <sheetData sheetId="5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2">
          <cell r="J102">
            <v>491.942</v>
          </cell>
          <cell r="S102">
            <v>299.789</v>
          </cell>
        </row>
        <row r="123">
          <cell r="J123">
            <v>635.742</v>
          </cell>
          <cell r="S123">
            <v>457.989</v>
          </cell>
        </row>
        <row r="194">
          <cell r="J194">
            <v>114</v>
          </cell>
          <cell r="S194">
            <v>28.5</v>
          </cell>
        </row>
      </sheetData>
      <sheetData sheetId="6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2">
          <cell r="J102">
            <v>491.942</v>
          </cell>
          <cell r="S102">
            <v>299.789</v>
          </cell>
        </row>
        <row r="123">
          <cell r="J123">
            <v>635.742</v>
          </cell>
          <cell r="S123">
            <v>457.989</v>
          </cell>
        </row>
        <row r="198">
          <cell r="J198">
            <v>114</v>
          </cell>
          <cell r="S198">
            <v>28.5</v>
          </cell>
        </row>
      </sheetData>
      <sheetData sheetId="7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2">
          <cell r="J102">
            <v>491.942</v>
          </cell>
          <cell r="S102">
            <v>299.789</v>
          </cell>
        </row>
        <row r="123">
          <cell r="J123">
            <v>635.742</v>
          </cell>
          <cell r="S123">
            <v>457.989</v>
          </cell>
        </row>
        <row r="202">
          <cell r="J202">
            <v>114</v>
          </cell>
          <cell r="S202">
            <v>28.5</v>
          </cell>
        </row>
      </sheetData>
      <sheetData sheetId="8">
        <row r="21">
          <cell r="J21">
            <v>2336.5440000000003</v>
          </cell>
        </row>
        <row r="27">
          <cell r="J27">
            <v>2111.846</v>
          </cell>
        </row>
        <row r="52">
          <cell r="J52">
            <v>651.596</v>
          </cell>
        </row>
        <row r="60">
          <cell r="J60">
            <v>881.3420000000001</v>
          </cell>
        </row>
        <row r="63">
          <cell r="J63">
            <v>319.51800000000003</v>
          </cell>
        </row>
        <row r="64">
          <cell r="J64">
            <v>1039.6979999999999</v>
          </cell>
        </row>
        <row r="102">
          <cell r="J102">
            <v>491.942</v>
          </cell>
        </row>
        <row r="123">
          <cell r="J123">
            <v>635.742</v>
          </cell>
        </row>
        <row r="202">
          <cell r="J202">
            <v>114</v>
          </cell>
        </row>
      </sheetData>
      <sheetData sheetId="9">
        <row r="21">
          <cell r="S21">
            <v>1683.2479999999998</v>
          </cell>
        </row>
        <row r="27">
          <cell r="S27">
            <v>1286.957</v>
          </cell>
        </row>
        <row r="52">
          <cell r="S52">
            <v>397.082</v>
          </cell>
        </row>
        <row r="60">
          <cell r="S60">
            <v>537.089</v>
          </cell>
        </row>
        <row r="63">
          <cell r="S63">
            <v>230.181</v>
          </cell>
        </row>
        <row r="64">
          <cell r="S64">
            <v>633.591</v>
          </cell>
        </row>
        <row r="102">
          <cell r="S102">
            <v>299.789</v>
          </cell>
        </row>
        <row r="123">
          <cell r="S123">
            <v>457.989</v>
          </cell>
        </row>
        <row r="202">
          <cell r="S202">
            <v>28.5</v>
          </cell>
        </row>
      </sheetData>
      <sheetData sheetId="10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2">
          <cell r="J102">
            <v>491.942</v>
          </cell>
          <cell r="S102">
            <v>299.789</v>
          </cell>
        </row>
        <row r="123">
          <cell r="J123">
            <v>635.742</v>
          </cell>
          <cell r="S123">
            <v>457.989</v>
          </cell>
        </row>
        <row r="202">
          <cell r="J202">
            <v>114</v>
          </cell>
          <cell r="S202">
            <v>28.5</v>
          </cell>
        </row>
      </sheetData>
      <sheetData sheetId="11">
        <row r="21">
          <cell r="J21">
            <v>2336.5440000000003</v>
          </cell>
          <cell r="S21">
            <v>1683.2479999999998</v>
          </cell>
        </row>
        <row r="27">
          <cell r="J27">
            <v>2111.846</v>
          </cell>
          <cell r="S27">
            <v>1286.957</v>
          </cell>
        </row>
        <row r="52">
          <cell r="J52">
            <v>651.596</v>
          </cell>
          <cell r="S52">
            <v>397.082</v>
          </cell>
        </row>
        <row r="60">
          <cell r="J60">
            <v>881.3420000000001</v>
          </cell>
          <cell r="S60">
            <v>537.089</v>
          </cell>
        </row>
        <row r="63">
          <cell r="J63">
            <v>319.51800000000003</v>
          </cell>
          <cell r="S63">
            <v>230.181</v>
          </cell>
        </row>
        <row r="64">
          <cell r="J64">
            <v>1039.6979999999999</v>
          </cell>
          <cell r="S64">
            <v>633.591</v>
          </cell>
        </row>
        <row r="102">
          <cell r="J102">
            <v>491.942</v>
          </cell>
          <cell r="S102">
            <v>299.789</v>
          </cell>
        </row>
        <row r="123">
          <cell r="J123">
            <v>635.742</v>
          </cell>
          <cell r="S123">
            <v>457.989</v>
          </cell>
        </row>
        <row r="157">
          <cell r="J157">
            <v>1200</v>
          </cell>
          <cell r="S157">
            <v>300</v>
          </cell>
        </row>
        <row r="222">
          <cell r="J222">
            <v>114</v>
          </cell>
          <cell r="S222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U42" sqref="AU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75390625" style="2" customWidth="1"/>
    <col min="4" max="4" width="10.375" style="2" customWidth="1"/>
    <col min="5" max="5" width="10.25390625" style="2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00390625" style="2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4" width="9.25390625" style="2" bestFit="1" customWidth="1"/>
    <col min="35" max="35" width="10.25390625" style="2" customWidth="1"/>
    <col min="36" max="36" width="9.25390625" style="2" bestFit="1" customWidth="1"/>
    <col min="37" max="37" width="10.1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753906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302" t="s">
        <v>89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03" t="s">
        <v>0</v>
      </c>
      <c r="B3" s="306" t="s">
        <v>1</v>
      </c>
      <c r="C3" s="306" t="s">
        <v>2</v>
      </c>
      <c r="D3" s="306" t="s">
        <v>3</v>
      </c>
      <c r="E3" s="309" t="s">
        <v>4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288" t="s">
        <v>5</v>
      </c>
      <c r="T3" s="288"/>
      <c r="U3" s="289" t="s">
        <v>6</v>
      </c>
      <c r="V3" s="289"/>
      <c r="W3" s="289"/>
      <c r="X3" s="289"/>
      <c r="Y3" s="289"/>
      <c r="Z3" s="289"/>
      <c r="AA3" s="289"/>
      <c r="AB3" s="289"/>
      <c r="AC3" s="271" t="s">
        <v>87</v>
      </c>
      <c r="AD3" s="271" t="s">
        <v>8</v>
      </c>
      <c r="AE3" s="291" t="s">
        <v>9</v>
      </c>
      <c r="AF3" s="280" t="s">
        <v>75</v>
      </c>
      <c r="AG3" s="283" t="s">
        <v>10</v>
      </c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99" t="s">
        <v>76</v>
      </c>
      <c r="BD3" s="285" t="s">
        <v>11</v>
      </c>
      <c r="BE3" s="294" t="s">
        <v>12</v>
      </c>
    </row>
    <row r="4" spans="1:57" ht="36" customHeight="1" thickBot="1">
      <c r="A4" s="304"/>
      <c r="B4" s="307"/>
      <c r="C4" s="307"/>
      <c r="D4" s="307"/>
      <c r="E4" s="284" t="s">
        <v>13</v>
      </c>
      <c r="F4" s="284"/>
      <c r="G4" s="284" t="s">
        <v>14</v>
      </c>
      <c r="H4" s="284"/>
      <c r="I4" s="284" t="s">
        <v>15</v>
      </c>
      <c r="J4" s="284"/>
      <c r="K4" s="284" t="s">
        <v>16</v>
      </c>
      <c r="L4" s="284"/>
      <c r="M4" s="284" t="s">
        <v>17</v>
      </c>
      <c r="N4" s="284"/>
      <c r="O4" s="284" t="s">
        <v>18</v>
      </c>
      <c r="P4" s="284"/>
      <c r="Q4" s="284" t="s">
        <v>19</v>
      </c>
      <c r="R4" s="284"/>
      <c r="S4" s="284"/>
      <c r="T4" s="284"/>
      <c r="U4" s="290"/>
      <c r="V4" s="290"/>
      <c r="W4" s="290"/>
      <c r="X4" s="290"/>
      <c r="Y4" s="290"/>
      <c r="Z4" s="290"/>
      <c r="AA4" s="290"/>
      <c r="AB4" s="290"/>
      <c r="AC4" s="272"/>
      <c r="AD4" s="272"/>
      <c r="AE4" s="292"/>
      <c r="AF4" s="281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300"/>
      <c r="BD4" s="286"/>
      <c r="BE4" s="295"/>
    </row>
    <row r="5" spans="1:57" ht="29.25" customHeight="1" thickBot="1">
      <c r="A5" s="304"/>
      <c r="B5" s="307"/>
      <c r="C5" s="307"/>
      <c r="D5" s="307"/>
      <c r="E5" s="262" t="s">
        <v>20</v>
      </c>
      <c r="F5" s="262" t="s">
        <v>21</v>
      </c>
      <c r="G5" s="262" t="s">
        <v>20</v>
      </c>
      <c r="H5" s="262" t="s">
        <v>21</v>
      </c>
      <c r="I5" s="262" t="s">
        <v>20</v>
      </c>
      <c r="J5" s="262" t="s">
        <v>21</v>
      </c>
      <c r="K5" s="262" t="s">
        <v>20</v>
      </c>
      <c r="L5" s="262" t="s">
        <v>21</v>
      </c>
      <c r="M5" s="262" t="s">
        <v>20</v>
      </c>
      <c r="N5" s="262" t="s">
        <v>21</v>
      </c>
      <c r="O5" s="262" t="s">
        <v>20</v>
      </c>
      <c r="P5" s="262" t="s">
        <v>21</v>
      </c>
      <c r="Q5" s="262" t="s">
        <v>20</v>
      </c>
      <c r="R5" s="262" t="s">
        <v>21</v>
      </c>
      <c r="S5" s="262" t="s">
        <v>20</v>
      </c>
      <c r="T5" s="262" t="s">
        <v>21</v>
      </c>
      <c r="U5" s="264" t="s">
        <v>22</v>
      </c>
      <c r="V5" s="264" t="s">
        <v>23</v>
      </c>
      <c r="W5" s="264" t="s">
        <v>24</v>
      </c>
      <c r="X5" s="264" t="s">
        <v>25</v>
      </c>
      <c r="Y5" s="264" t="s">
        <v>26</v>
      </c>
      <c r="Z5" s="264" t="s">
        <v>27</v>
      </c>
      <c r="AA5" s="264" t="s">
        <v>28</v>
      </c>
      <c r="AB5" s="264" t="s">
        <v>29</v>
      </c>
      <c r="AC5" s="272"/>
      <c r="AD5" s="272"/>
      <c r="AE5" s="292"/>
      <c r="AF5" s="281"/>
      <c r="AG5" s="266" t="s">
        <v>30</v>
      </c>
      <c r="AH5" s="266" t="s">
        <v>31</v>
      </c>
      <c r="AI5" s="266" t="s">
        <v>32</v>
      </c>
      <c r="AJ5" s="266" t="s">
        <v>33</v>
      </c>
      <c r="AK5" s="266" t="s">
        <v>34</v>
      </c>
      <c r="AL5" s="266" t="s">
        <v>33</v>
      </c>
      <c r="AM5" s="266" t="s">
        <v>35</v>
      </c>
      <c r="AN5" s="266" t="s">
        <v>33</v>
      </c>
      <c r="AO5" s="266" t="s">
        <v>36</v>
      </c>
      <c r="AP5" s="266" t="s">
        <v>33</v>
      </c>
      <c r="AQ5" s="274" t="s">
        <v>80</v>
      </c>
      <c r="AR5" s="276" t="s">
        <v>33</v>
      </c>
      <c r="AS5" s="297" t="s">
        <v>81</v>
      </c>
      <c r="AT5" s="278" t="s">
        <v>82</v>
      </c>
      <c r="AU5" s="278" t="s">
        <v>33</v>
      </c>
      <c r="AV5" s="268" t="s">
        <v>83</v>
      </c>
      <c r="AW5" s="269"/>
      <c r="AX5" s="270"/>
      <c r="AY5" s="266" t="s">
        <v>19</v>
      </c>
      <c r="AZ5" s="266" t="s">
        <v>38</v>
      </c>
      <c r="BA5" s="266" t="s">
        <v>33</v>
      </c>
      <c r="BB5" s="266" t="s">
        <v>39</v>
      </c>
      <c r="BC5" s="300"/>
      <c r="BD5" s="286"/>
      <c r="BE5" s="295"/>
    </row>
    <row r="6" spans="1:57" ht="54" customHeight="1" thickBot="1">
      <c r="A6" s="305"/>
      <c r="B6" s="308"/>
      <c r="C6" s="308"/>
      <c r="D6" s="308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5"/>
      <c r="V6" s="265"/>
      <c r="W6" s="265"/>
      <c r="X6" s="265"/>
      <c r="Y6" s="265"/>
      <c r="Z6" s="265"/>
      <c r="AA6" s="265"/>
      <c r="AB6" s="265"/>
      <c r="AC6" s="273"/>
      <c r="AD6" s="273"/>
      <c r="AE6" s="293"/>
      <c r="AF6" s="282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75"/>
      <c r="AR6" s="277"/>
      <c r="AS6" s="298"/>
      <c r="AT6" s="279"/>
      <c r="AU6" s="279"/>
      <c r="AV6" s="120" t="s">
        <v>84</v>
      </c>
      <c r="AW6" s="120" t="s">
        <v>85</v>
      </c>
      <c r="AX6" s="120" t="s">
        <v>86</v>
      </c>
      <c r="AY6" s="267"/>
      <c r="AZ6" s="267"/>
      <c r="BA6" s="267"/>
      <c r="BB6" s="267"/>
      <c r="BC6" s="301"/>
      <c r="BD6" s="287"/>
      <c r="BE6" s="296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6086.2</v>
      </c>
      <c r="C9" s="105">
        <f>B9*8.65</f>
        <v>52645.63</v>
      </c>
      <c r="D9" s="106">
        <f>C9*0.24088</f>
        <v>12681.2793544</v>
      </c>
      <c r="E9" s="107">
        <v>4399.77</v>
      </c>
      <c r="F9" s="107">
        <v>715.86</v>
      </c>
      <c r="G9" s="107">
        <v>5939.77</v>
      </c>
      <c r="H9" s="107">
        <v>966.44</v>
      </c>
      <c r="I9" s="107">
        <v>14229.24</v>
      </c>
      <c r="J9" s="107">
        <v>2326.59</v>
      </c>
      <c r="K9" s="107">
        <v>9899.5</v>
      </c>
      <c r="L9" s="107">
        <v>1610.72</v>
      </c>
      <c r="M9" s="107">
        <v>3519.8</v>
      </c>
      <c r="N9" s="107">
        <v>572.72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37988.08</v>
      </c>
      <c r="T9" s="108">
        <f>P9+N9+L9+J9+H9+F9+R9</f>
        <v>6192.330000000001</v>
      </c>
      <c r="U9" s="91">
        <v>43.82</v>
      </c>
      <c r="V9" s="91">
        <v>59.14</v>
      </c>
      <c r="W9" s="91">
        <v>142.4</v>
      </c>
      <c r="X9" s="91">
        <v>98.59</v>
      </c>
      <c r="Y9" s="91">
        <v>35.06</v>
      </c>
      <c r="Z9" s="109">
        <v>0</v>
      </c>
      <c r="AA9" s="109">
        <v>0</v>
      </c>
      <c r="AB9" s="109">
        <f>SUM(U9:AA9)</f>
        <v>379.01000000000005</v>
      </c>
      <c r="AC9" s="110">
        <f>D9+T9+AB9</f>
        <v>19252.619354399998</v>
      </c>
      <c r="AD9" s="111">
        <f>P9+Z9</f>
        <v>0</v>
      </c>
      <c r="AE9" s="102">
        <f>R9+AA9</f>
        <v>0</v>
      </c>
      <c r="AF9" s="102"/>
      <c r="AG9" s="16">
        <f>0.6*B9</f>
        <v>3651.72</v>
      </c>
      <c r="AH9" s="16">
        <f>B9*0.2*1.05826</f>
        <v>1288.1564024</v>
      </c>
      <c r="AI9" s="16">
        <f>0.8518*B9-0.01</f>
        <v>5184.21516</v>
      </c>
      <c r="AJ9" s="16">
        <f>AI9*0.18</f>
        <v>933.1587288</v>
      </c>
      <c r="AK9" s="16">
        <f>1.04*B9*0.9531</f>
        <v>6032.7875088</v>
      </c>
      <c r="AL9" s="16">
        <f>AK9*0.18</f>
        <v>1085.901751584</v>
      </c>
      <c r="AM9" s="16">
        <f>(1.91)*B9*0.9531</f>
        <v>11079.4462902</v>
      </c>
      <c r="AN9" s="16">
        <f>AM9*0.18</f>
        <v>1994.3003322359998</v>
      </c>
      <c r="AO9" s="16"/>
      <c r="AP9" s="16">
        <f>AO9*0.18</f>
        <v>0</v>
      </c>
      <c r="AQ9" s="16"/>
      <c r="AR9" s="16"/>
      <c r="AS9" s="97">
        <v>4761.55</v>
      </c>
      <c r="AT9" s="97"/>
      <c r="AU9" s="48">
        <f>AS9*0.18</f>
        <v>857.079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36868.31517401999</v>
      </c>
      <c r="BC9" s="14">
        <v>0</v>
      </c>
      <c r="BD9" s="14">
        <f>AC9-BB9</f>
        <v>-17615.695819619992</v>
      </c>
      <c r="BE9" s="30">
        <f>AB9-S9</f>
        <v>-37609.07</v>
      </c>
    </row>
    <row r="10" spans="1:57" ht="12.75">
      <c r="A10" s="11" t="s">
        <v>42</v>
      </c>
      <c r="B10" s="104">
        <v>6086.2</v>
      </c>
      <c r="C10" s="105">
        <f>B10*8.65</f>
        <v>52645.63</v>
      </c>
      <c r="D10" s="106">
        <f>C10*0.24088</f>
        <v>12681.2793544</v>
      </c>
      <c r="E10" s="107">
        <v>4147.88</v>
      </c>
      <c r="F10" s="107">
        <v>681.28</v>
      </c>
      <c r="G10" s="107">
        <v>5599.63</v>
      </c>
      <c r="H10" s="107">
        <v>919.78</v>
      </c>
      <c r="I10" s="107">
        <v>13480.41</v>
      </c>
      <c r="J10" s="107">
        <v>2214.24</v>
      </c>
      <c r="K10" s="107">
        <v>9332.61</v>
      </c>
      <c r="L10" s="107">
        <v>1532.94</v>
      </c>
      <c r="M10" s="107">
        <v>3318.29</v>
      </c>
      <c r="N10" s="107">
        <v>545.05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35878.82</v>
      </c>
      <c r="T10" s="108">
        <f>P10+N10+L10+J10+H10+F10+R10</f>
        <v>5893.289999999999</v>
      </c>
      <c r="U10" s="91">
        <v>3537.49</v>
      </c>
      <c r="V10" s="91">
        <v>4775.72</v>
      </c>
      <c r="W10" s="91">
        <v>11573.8</v>
      </c>
      <c r="X10" s="91">
        <v>7959.43</v>
      </c>
      <c r="Y10" s="91">
        <v>2829.97</v>
      </c>
      <c r="Z10" s="109">
        <v>0</v>
      </c>
      <c r="AA10" s="109">
        <v>0</v>
      </c>
      <c r="AB10" s="112">
        <f>SUM(U10:AA10)</f>
        <v>30676.41</v>
      </c>
      <c r="AC10" s="113">
        <f>D10+T10+AB10</f>
        <v>49250.9793544</v>
      </c>
      <c r="AD10" s="102">
        <f>P10+Z10</f>
        <v>0</v>
      </c>
      <c r="AE10" s="102">
        <f>R10+AA10</f>
        <v>0</v>
      </c>
      <c r="AF10" s="102"/>
      <c r="AG10" s="16">
        <f>0.6*B10</f>
        <v>3651.72</v>
      </c>
      <c r="AH10" s="16">
        <f>B10*0.201+1</f>
        <v>1224.3262</v>
      </c>
      <c r="AI10" s="16">
        <f>0.8518*B10-0.01</f>
        <v>5184.21516</v>
      </c>
      <c r="AJ10" s="16">
        <f>AI10*0.18</f>
        <v>933.1587288</v>
      </c>
      <c r="AK10" s="16">
        <f>1.04*B10*0.9531</f>
        <v>6032.7875088</v>
      </c>
      <c r="AL10" s="16">
        <f>AK10*0.18</f>
        <v>1085.901751584</v>
      </c>
      <c r="AM10" s="16">
        <f>(1.91)*B10*0.9531</f>
        <v>11079.4462902</v>
      </c>
      <c r="AN10" s="16">
        <f>AM10*0.18</f>
        <v>1994.3003322359998</v>
      </c>
      <c r="AO10" s="16"/>
      <c r="AP10" s="16">
        <f>AO10*0.18</f>
        <v>0</v>
      </c>
      <c r="AQ10" s="16"/>
      <c r="AR10" s="16"/>
      <c r="AS10" s="97">
        <v>19483</v>
      </c>
      <c r="AT10" s="97"/>
      <c r="AU10" s="48">
        <f>AS10*0.18</f>
        <v>3506.94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54175.79597162</v>
      </c>
      <c r="BC10" s="14">
        <v>0</v>
      </c>
      <c r="BD10" s="14">
        <f>AC10-BB10</f>
        <v>-4924.81661722</v>
      </c>
      <c r="BE10" s="30">
        <f>AB10-S10</f>
        <v>-5202.41</v>
      </c>
    </row>
    <row r="11" spans="1:57" ht="12.75">
      <c r="A11" s="11" t="s">
        <v>43</v>
      </c>
      <c r="B11" s="104">
        <v>6086.2</v>
      </c>
      <c r="C11" s="105">
        <f>B11*8.65</f>
        <v>52645.63</v>
      </c>
      <c r="D11" s="106">
        <f>C11*0.24035</f>
        <v>12653.3771705</v>
      </c>
      <c r="E11" s="107">
        <v>4270.62</v>
      </c>
      <c r="F11" s="107">
        <v>687.91</v>
      </c>
      <c r="G11" s="107">
        <v>5765.37</v>
      </c>
      <c r="H11" s="107">
        <v>928.71</v>
      </c>
      <c r="I11" s="107">
        <v>13879.36</v>
      </c>
      <c r="J11" s="107">
        <v>2235.76</v>
      </c>
      <c r="K11" s="107">
        <v>9608.85</v>
      </c>
      <c r="L11" s="107">
        <v>1547.84</v>
      </c>
      <c r="M11" s="107">
        <v>3416.51</v>
      </c>
      <c r="N11" s="107">
        <v>550.35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36940.71</v>
      </c>
      <c r="T11" s="108">
        <f>P11+N11+L11+J11+H11+F11+R11</f>
        <v>5950.570000000001</v>
      </c>
      <c r="U11" s="91">
        <v>4862.83</v>
      </c>
      <c r="V11" s="91">
        <v>6564.83</v>
      </c>
      <c r="W11" s="91">
        <v>15956</v>
      </c>
      <c r="X11" s="91">
        <v>10941.18</v>
      </c>
      <c r="Y11" s="91">
        <v>3890.26</v>
      </c>
      <c r="Z11" s="109">
        <v>0</v>
      </c>
      <c r="AA11" s="109">
        <v>0</v>
      </c>
      <c r="AB11" s="112">
        <f>SUM(U11:AA11)</f>
        <v>42215.1</v>
      </c>
      <c r="AC11" s="113">
        <f>D11+T11+AB11</f>
        <v>60819.047170499995</v>
      </c>
      <c r="AD11" s="102">
        <f>P11+Z11</f>
        <v>0</v>
      </c>
      <c r="AE11" s="102">
        <f>R11+AA11</f>
        <v>0</v>
      </c>
      <c r="AF11" s="102"/>
      <c r="AG11" s="16">
        <f>0.6*B11</f>
        <v>3651.72</v>
      </c>
      <c r="AH11" s="16">
        <f>B11*0.2*1.02524-0.01</f>
        <v>1247.9531376</v>
      </c>
      <c r="AI11" s="16">
        <f>0.84932*B11</f>
        <v>5169.131383999999</v>
      </c>
      <c r="AJ11" s="16">
        <f>AI11*0.18</f>
        <v>930.4436491199998</v>
      </c>
      <c r="AK11" s="16">
        <f>1.04*B11*0.95033</f>
        <v>6015.254383840001</v>
      </c>
      <c r="AL11" s="16">
        <f>AK11*0.18</f>
        <v>1082.7457890912</v>
      </c>
      <c r="AM11" s="16">
        <f>(1.91)*B11*0.95033-0.1</f>
        <v>11047.14603186</v>
      </c>
      <c r="AN11" s="16">
        <f>AM11*0.18</f>
        <v>1988.4862857348</v>
      </c>
      <c r="AO11" s="16"/>
      <c r="AP11" s="16">
        <f>AO11*0.18</f>
        <v>0</v>
      </c>
      <c r="AQ11" s="16"/>
      <c r="AR11" s="16"/>
      <c r="AS11" s="97">
        <v>12990</v>
      </c>
      <c r="AT11" s="97"/>
      <c r="AU11" s="48">
        <f>AS11*0.18</f>
        <v>2338.2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46461.080661246</v>
      </c>
      <c r="BC11" s="14">
        <v>0</v>
      </c>
      <c r="BD11" s="14">
        <f>AC11-BB11</f>
        <v>14357.966509253994</v>
      </c>
      <c r="BE11" s="30">
        <f>AB11-S11</f>
        <v>5274.389999999999</v>
      </c>
    </row>
    <row r="12" spans="1:57" s="20" customFormat="1" ht="15" customHeight="1">
      <c r="A12" s="17" t="s">
        <v>5</v>
      </c>
      <c r="B12" s="60"/>
      <c r="C12" s="60">
        <f aca="true" t="shared" si="1" ref="C12:BE12">SUM(C9:C11)</f>
        <v>157936.88999999998</v>
      </c>
      <c r="D12" s="60">
        <f t="shared" si="1"/>
        <v>38015.9358793</v>
      </c>
      <c r="E12" s="57">
        <f>SUM(E9:E11)</f>
        <v>12818.27</v>
      </c>
      <c r="F12" s="57">
        <f t="shared" si="1"/>
        <v>2085.0499999999997</v>
      </c>
      <c r="G12" s="57">
        <f t="shared" si="1"/>
        <v>17304.77</v>
      </c>
      <c r="H12" s="57">
        <f t="shared" si="1"/>
        <v>2814.9300000000003</v>
      </c>
      <c r="I12" s="57">
        <f t="shared" si="1"/>
        <v>41589.01</v>
      </c>
      <c r="J12" s="57">
        <f t="shared" si="1"/>
        <v>6776.59</v>
      </c>
      <c r="K12" s="57">
        <f t="shared" si="1"/>
        <v>28840.96</v>
      </c>
      <c r="L12" s="57">
        <f t="shared" si="1"/>
        <v>4691.5</v>
      </c>
      <c r="M12" s="57">
        <f t="shared" si="1"/>
        <v>10254.6</v>
      </c>
      <c r="N12" s="57">
        <f t="shared" si="1"/>
        <v>1668.12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110807.60999999999</v>
      </c>
      <c r="T12" s="57">
        <f t="shared" si="1"/>
        <v>18036.19</v>
      </c>
      <c r="U12" s="61">
        <f t="shared" si="1"/>
        <v>8444.14</v>
      </c>
      <c r="V12" s="61">
        <f t="shared" si="1"/>
        <v>11399.69</v>
      </c>
      <c r="W12" s="61">
        <f t="shared" si="1"/>
        <v>27672.199999999997</v>
      </c>
      <c r="X12" s="61">
        <f t="shared" si="1"/>
        <v>18999.2</v>
      </c>
      <c r="Y12" s="61">
        <f t="shared" si="1"/>
        <v>6755.29</v>
      </c>
      <c r="Z12" s="61">
        <f t="shared" si="1"/>
        <v>0</v>
      </c>
      <c r="AA12" s="61">
        <f t="shared" si="1"/>
        <v>0</v>
      </c>
      <c r="AB12" s="61">
        <f t="shared" si="1"/>
        <v>73270.51999999999</v>
      </c>
      <c r="AC12" s="61">
        <f t="shared" si="1"/>
        <v>129322.64587929999</v>
      </c>
      <c r="AD12" s="61">
        <f>SUM(AD9:AD11)</f>
        <v>0</v>
      </c>
      <c r="AE12" s="100">
        <f t="shared" si="1"/>
        <v>0</v>
      </c>
      <c r="AF12" s="100">
        <f t="shared" si="1"/>
        <v>0</v>
      </c>
      <c r="AG12" s="18">
        <f t="shared" si="1"/>
        <v>10955.16</v>
      </c>
      <c r="AH12" s="18">
        <f t="shared" si="1"/>
        <v>3760.43574</v>
      </c>
      <c r="AI12" s="18">
        <f t="shared" si="1"/>
        <v>15537.561704</v>
      </c>
      <c r="AJ12" s="18">
        <f t="shared" si="1"/>
        <v>2796.7611067199996</v>
      </c>
      <c r="AK12" s="18">
        <f t="shared" si="1"/>
        <v>18080.82940144</v>
      </c>
      <c r="AL12" s="18">
        <f t="shared" si="1"/>
        <v>3254.5492922592002</v>
      </c>
      <c r="AM12" s="18">
        <f>SUM(AM9:AM11)</f>
        <v>33206.03861226</v>
      </c>
      <c r="AN12" s="18">
        <f>SUM(AN9:AN11)</f>
        <v>5977.0869502068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37234.55</v>
      </c>
      <c r="AT12" s="18">
        <f>SUM(AT9:AT11)</f>
        <v>0</v>
      </c>
      <c r="AU12" s="18">
        <f>SUM(AU9:AU11)</f>
        <v>6702.219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137505.191806886</v>
      </c>
      <c r="BC12" s="18">
        <f t="shared" si="1"/>
        <v>0</v>
      </c>
      <c r="BD12" s="18">
        <f t="shared" si="1"/>
        <v>-8182.545927585998</v>
      </c>
      <c r="BE12" s="19">
        <f t="shared" si="1"/>
        <v>-37537.09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6085.4</v>
      </c>
      <c r="C14" s="105">
        <f>B14*8.65</f>
        <v>52638.71</v>
      </c>
      <c r="D14" s="106">
        <f>C14*0.125</f>
        <v>6579.83875</v>
      </c>
      <c r="E14" s="107">
        <v>4339.8</v>
      </c>
      <c r="F14" s="107">
        <v>690.73</v>
      </c>
      <c r="G14" s="107">
        <v>5858.78</v>
      </c>
      <c r="H14" s="107">
        <v>932.52</v>
      </c>
      <c r="I14" s="107">
        <v>14104.19</v>
      </c>
      <c r="J14" s="107">
        <v>2244.92</v>
      </c>
      <c r="K14" s="107">
        <v>9764.5</v>
      </c>
      <c r="L14" s="107">
        <v>1554.18</v>
      </c>
      <c r="M14" s="107">
        <v>3471.84</v>
      </c>
      <c r="N14" s="107">
        <v>552.61</v>
      </c>
      <c r="O14" s="107">
        <v>0</v>
      </c>
      <c r="P14" s="114">
        <v>0</v>
      </c>
      <c r="Q14" s="107">
        <v>0</v>
      </c>
      <c r="R14" s="114">
        <v>0</v>
      </c>
      <c r="S14" s="91">
        <f>E14+G14+I14+K14+M14+O14+Q14</f>
        <v>37539.11</v>
      </c>
      <c r="T14" s="108">
        <f>P14+N14+L14+J14+H14+F14+R14</f>
        <v>5974.959999999999</v>
      </c>
      <c r="U14" s="91">
        <v>3136.58</v>
      </c>
      <c r="V14" s="91">
        <v>4234.33</v>
      </c>
      <c r="W14" s="91">
        <v>9963.84</v>
      </c>
      <c r="X14" s="91">
        <v>7057.25</v>
      </c>
      <c r="Y14" s="91">
        <v>2509.22</v>
      </c>
      <c r="Z14" s="109">
        <v>0</v>
      </c>
      <c r="AA14" s="109">
        <v>0</v>
      </c>
      <c r="AB14" s="116">
        <f aca="true" t="shared" si="2" ref="AB14:AB25">SUM(U14:AA14)</f>
        <v>26901.22</v>
      </c>
      <c r="AC14" s="113">
        <f aca="true" t="shared" si="3" ref="AC14:AC22">D14+T14+AB14</f>
        <v>39456.01875</v>
      </c>
      <c r="AD14" s="102">
        <f>P14+Z14</f>
        <v>0</v>
      </c>
      <c r="AE14" s="102">
        <f>R14+AA14</f>
        <v>0</v>
      </c>
      <c r="AF14" s="102">
        <f>'[2]Т01-09'!$I$21+'[2]Т01-09'!$I$26</f>
        <v>4451.5441</v>
      </c>
      <c r="AG14" s="16">
        <f>0.6*B14*0.9</f>
        <v>3286.116</v>
      </c>
      <c r="AH14" s="16">
        <f>B14*0.2*0.891</f>
        <v>1084.4182799999999</v>
      </c>
      <c r="AI14" s="16">
        <f>0.85*B14*0.867-0.02</f>
        <v>4484.615529999999</v>
      </c>
      <c r="AJ14" s="16">
        <f>AI14*0.18</f>
        <v>807.2307953999998</v>
      </c>
      <c r="AK14" s="16">
        <f>0.83*B14*0.8686</f>
        <v>4387.1961052</v>
      </c>
      <c r="AL14" s="16">
        <f>AK14*0.18</f>
        <v>789.695298936</v>
      </c>
      <c r="AM14" s="16">
        <f>1.91*B14*0.8686</f>
        <v>10095.8368204</v>
      </c>
      <c r="AN14" s="16">
        <f>AM14*0.18</f>
        <v>1817.2506276719998</v>
      </c>
      <c r="AO14" s="16"/>
      <c r="AP14" s="16">
        <f>AO14*0.18</f>
        <v>0</v>
      </c>
      <c r="AQ14" s="117"/>
      <c r="AR14" s="117">
        <f>AQ14*0.18</f>
        <v>0</v>
      </c>
      <c r="AS14" s="97">
        <v>947</v>
      </c>
      <c r="AT14" s="97"/>
      <c r="AU14" s="97">
        <f>(AS14+AT14)*0.18+0.01</f>
        <v>170.46999999999997</v>
      </c>
      <c r="AV14" s="118"/>
      <c r="AW14" s="134">
        <v>2463</v>
      </c>
      <c r="AX14" s="16"/>
      <c r="AY14" s="121"/>
      <c r="AZ14" s="122"/>
      <c r="BA14" s="122">
        <f>AZ14*0.18</f>
        <v>0</v>
      </c>
      <c r="BB14" s="122">
        <f>SUM(AG14:AU14)</f>
        <v>27869.829457608</v>
      </c>
      <c r="BC14" s="132">
        <f>'[3]Т01-09'!$O$21+'[3]Т01-09'!$O$26</f>
        <v>1753.8156321000004</v>
      </c>
      <c r="BD14" s="14">
        <f>AC14+AF14-BB14-BC14</f>
        <v>14283.917760292</v>
      </c>
      <c r="BE14" s="30">
        <f>AB14-S14</f>
        <v>-10637.89</v>
      </c>
    </row>
    <row r="15" spans="1:57" ht="12.75">
      <c r="A15" s="11" t="s">
        <v>46</v>
      </c>
      <c r="B15" s="115">
        <v>6085.1</v>
      </c>
      <c r="C15" s="105">
        <f>B15*8.65</f>
        <v>52636.115000000005</v>
      </c>
      <c r="D15" s="106">
        <f>C15*0.125</f>
        <v>6579.514375000001</v>
      </c>
      <c r="E15" s="107">
        <v>4307.16</v>
      </c>
      <c r="F15" s="107">
        <v>720.63</v>
      </c>
      <c r="G15" s="107">
        <v>5814.69</v>
      </c>
      <c r="H15" s="107">
        <v>972.89</v>
      </c>
      <c r="I15" s="107">
        <v>13998.11</v>
      </c>
      <c r="J15" s="107">
        <v>2342.12</v>
      </c>
      <c r="K15" s="107">
        <v>9691.03</v>
      </c>
      <c r="L15" s="107">
        <v>1621.47</v>
      </c>
      <c r="M15" s="107">
        <v>3445.72</v>
      </c>
      <c r="N15" s="107">
        <v>576.53</v>
      </c>
      <c r="O15" s="107">
        <v>0</v>
      </c>
      <c r="P15" s="114">
        <v>0</v>
      </c>
      <c r="Q15" s="107">
        <v>0</v>
      </c>
      <c r="R15" s="114">
        <v>0</v>
      </c>
      <c r="S15" s="91">
        <f>E15+G15+I15+K15+M15+O15+Q15</f>
        <v>37256.71</v>
      </c>
      <c r="T15" s="108">
        <f>P15+N15+L15+J15+H15+F15+R15</f>
        <v>6233.64</v>
      </c>
      <c r="U15" s="91">
        <v>3855.53</v>
      </c>
      <c r="V15" s="91">
        <v>5205.08</v>
      </c>
      <c r="W15" s="91">
        <v>12531.36</v>
      </c>
      <c r="X15" s="91">
        <v>8674.92</v>
      </c>
      <c r="Y15" s="91">
        <v>3084.51</v>
      </c>
      <c r="Z15" s="109">
        <v>0</v>
      </c>
      <c r="AA15" s="109">
        <v>0</v>
      </c>
      <c r="AB15" s="112">
        <f t="shared" si="2"/>
        <v>33351.4</v>
      </c>
      <c r="AC15" s="113">
        <f t="shared" si="3"/>
        <v>46164.55437500001</v>
      </c>
      <c r="AD15" s="102">
        <f>P15+Z15</f>
        <v>0</v>
      </c>
      <c r="AE15" s="102">
        <f>R15+AA15</f>
        <v>0</v>
      </c>
      <c r="AF15" s="102">
        <f>'[2]Т02-09'!$I$21+'[2]Т02-09'!$I$26</f>
        <v>4451.5441</v>
      </c>
      <c r="AG15" s="16">
        <f>0.6*B15*0.9</f>
        <v>3285.954</v>
      </c>
      <c r="AH15" s="16">
        <f>B15*0.2*0.9153</f>
        <v>1113.9384060000002</v>
      </c>
      <c r="AI15" s="16">
        <f>0.85*B15*0.866</f>
        <v>4479.24211</v>
      </c>
      <c r="AJ15" s="16">
        <f>AI15*0.18</f>
        <v>806.2635798</v>
      </c>
      <c r="AK15" s="16">
        <f>0.83*B15*0.8684</f>
        <v>4385.969697199999</v>
      </c>
      <c r="AL15" s="16">
        <f>AK15*0.18</f>
        <v>789.4745454959998</v>
      </c>
      <c r="AM15" s="16">
        <f>(1.91)*B15*0.8684</f>
        <v>10093.014604400001</v>
      </c>
      <c r="AN15" s="16">
        <f>AM15*0.18</f>
        <v>1816.7426287920002</v>
      </c>
      <c r="AO15" s="16"/>
      <c r="AP15" s="16">
        <f aca="true" t="shared" si="4" ref="AP15:AR17">AO15*0.18</f>
        <v>0</v>
      </c>
      <c r="AQ15" s="117"/>
      <c r="AR15" s="117">
        <f>AQ15*0.18</f>
        <v>0</v>
      </c>
      <c r="AS15" s="97">
        <v>2612</v>
      </c>
      <c r="AT15" s="97">
        <f>756*10</f>
        <v>7560</v>
      </c>
      <c r="AU15" s="97">
        <f>(AS15+AT15)*0.18</f>
        <v>1830.96</v>
      </c>
      <c r="AV15" s="118"/>
      <c r="AW15" s="134">
        <v>1922</v>
      </c>
      <c r="AX15" s="16"/>
      <c r="AY15" s="121"/>
      <c r="AZ15" s="122"/>
      <c r="BA15" s="122">
        <f>AZ15*0.18</f>
        <v>0</v>
      </c>
      <c r="BB15" s="122">
        <f>SUM(AG15:AU15)+AY15</f>
        <v>38773.559571688</v>
      </c>
      <c r="BC15" s="128">
        <f>'[3]Т02-09'!$O$21+'[3]Т02-09'!$O$26</f>
        <v>1756.4520176</v>
      </c>
      <c r="BD15" s="14">
        <f aca="true" t="shared" si="5" ref="BD15:BD24">AC15+AF15-BB15-BC15</f>
        <v>10086.086885712008</v>
      </c>
      <c r="BE15" s="30">
        <f aca="true" t="shared" si="6" ref="BE15:BE24">AB15-S15</f>
        <v>-3905.3099999999977</v>
      </c>
    </row>
    <row r="16" spans="1:57" ht="12.75">
      <c r="A16" s="11" t="s">
        <v>47</v>
      </c>
      <c r="B16" s="129">
        <v>6085.1</v>
      </c>
      <c r="C16" s="105">
        <f>B16*8.65</f>
        <v>52636.115000000005</v>
      </c>
      <c r="D16" s="106">
        <f>C16*0.125</f>
        <v>6579.514375000001</v>
      </c>
      <c r="E16" s="126">
        <v>4321.36</v>
      </c>
      <c r="F16" s="126">
        <v>715.28</v>
      </c>
      <c r="G16" s="126">
        <v>5833.84</v>
      </c>
      <c r="H16" s="126">
        <v>965.67</v>
      </c>
      <c r="I16" s="126">
        <v>14044.28</v>
      </c>
      <c r="J16" s="126">
        <v>2324.74</v>
      </c>
      <c r="K16" s="126">
        <v>9722.99</v>
      </c>
      <c r="L16" s="126">
        <v>1609.44</v>
      </c>
      <c r="M16" s="126">
        <v>3457.08</v>
      </c>
      <c r="N16" s="126">
        <v>572.27</v>
      </c>
      <c r="O16" s="126">
        <v>0</v>
      </c>
      <c r="P16" s="127">
        <v>0</v>
      </c>
      <c r="Q16" s="126">
        <v>0</v>
      </c>
      <c r="R16" s="127">
        <v>0</v>
      </c>
      <c r="S16" s="91">
        <f>E16+G16+I16+K16+M16+O16+Q16</f>
        <v>37379.55</v>
      </c>
      <c r="T16" s="108">
        <f>P16+N16+L16+J16+H16+F16+R16</f>
        <v>6187.4</v>
      </c>
      <c r="U16" s="92">
        <v>4303.2</v>
      </c>
      <c r="V16" s="92">
        <v>5809.27</v>
      </c>
      <c r="W16" s="92">
        <v>13985.04</v>
      </c>
      <c r="X16" s="92">
        <v>9682.08</v>
      </c>
      <c r="Y16" s="92">
        <v>3442.52</v>
      </c>
      <c r="Z16" s="123">
        <v>0</v>
      </c>
      <c r="AA16" s="123">
        <v>0</v>
      </c>
      <c r="AB16" s="116">
        <f t="shared" si="2"/>
        <v>37222.11</v>
      </c>
      <c r="AC16" s="113">
        <f t="shared" si="3"/>
        <v>49989.024375</v>
      </c>
      <c r="AD16" s="102">
        <f>P16+Z16</f>
        <v>0</v>
      </c>
      <c r="AE16" s="102">
        <f>R16+AA16</f>
        <v>0</v>
      </c>
      <c r="AF16" s="102">
        <f>'[2]Т02-09'!$I$21+'[2]Т02-09'!$I$26</f>
        <v>4451.5441</v>
      </c>
      <c r="AG16" s="16">
        <f>0.6*B16*0.9</f>
        <v>3285.954</v>
      </c>
      <c r="AH16" s="124">
        <f>B16*0.2*0.9082-0.01</f>
        <v>1105.2875640000002</v>
      </c>
      <c r="AI16" s="16">
        <f>0.85*B16*0.8675+0.01</f>
        <v>4487.0106125</v>
      </c>
      <c r="AJ16" s="16">
        <f>AI16*0.18</f>
        <v>807.66191025</v>
      </c>
      <c r="AK16" s="124">
        <f>0.83*B16*0.838</f>
        <v>4232.430453999999</v>
      </c>
      <c r="AL16" s="16">
        <f>AK16*0.18</f>
        <v>761.8374817199999</v>
      </c>
      <c r="AM16" s="16">
        <f>1.91*B16*0.838</f>
        <v>9739.689358</v>
      </c>
      <c r="AN16" s="16">
        <f>AM16*0.18</f>
        <v>1753.14408444</v>
      </c>
      <c r="AO16" s="16"/>
      <c r="AP16" s="16">
        <f t="shared" si="4"/>
        <v>0</v>
      </c>
      <c r="AQ16" s="117"/>
      <c r="AR16" s="117">
        <f>AQ16*0.18</f>
        <v>0</v>
      </c>
      <c r="AS16" s="97">
        <v>7129</v>
      </c>
      <c r="AT16" s="97"/>
      <c r="AU16" s="97">
        <f>(AS16+AT16)*0.18</f>
        <v>1283.22</v>
      </c>
      <c r="AV16" s="118"/>
      <c r="AW16" s="135">
        <v>1761</v>
      </c>
      <c r="AX16" s="16"/>
      <c r="AY16" s="121"/>
      <c r="AZ16" s="122"/>
      <c r="BA16" s="122">
        <f>AZ16*0.18</f>
        <v>0</v>
      </c>
      <c r="BB16" s="122">
        <f>SUM(AG16:AU16)</f>
        <v>34585.23546491</v>
      </c>
      <c r="BC16" s="128">
        <f>'[3]Т03-09'!$O$21+'[3]Т03-09'!$O$26</f>
        <v>1719.61129955</v>
      </c>
      <c r="BD16" s="14">
        <f t="shared" si="5"/>
        <v>18135.721710539998</v>
      </c>
      <c r="BE16" s="30">
        <f t="shared" si="6"/>
        <v>-157.44000000000233</v>
      </c>
    </row>
    <row r="17" spans="1:57" ht="12.75">
      <c r="A17" s="11" t="s">
        <v>48</v>
      </c>
      <c r="B17" s="125">
        <v>6085.1</v>
      </c>
      <c r="C17" s="105">
        <f>B17*8.65</f>
        <v>52636.115000000005</v>
      </c>
      <c r="D17" s="106">
        <f>C17*0.125</f>
        <v>6579.514375000001</v>
      </c>
      <c r="E17" s="126">
        <v>5813.57</v>
      </c>
      <c r="F17" s="126">
        <v>962.95</v>
      </c>
      <c r="G17" s="126">
        <v>4306.32</v>
      </c>
      <c r="H17" s="126">
        <v>713.27</v>
      </c>
      <c r="I17" s="126">
        <v>13995.39</v>
      </c>
      <c r="J17" s="126">
        <v>2318.19</v>
      </c>
      <c r="K17" s="126">
        <v>9689.12</v>
      </c>
      <c r="L17" s="126">
        <v>1604.91</v>
      </c>
      <c r="M17" s="126">
        <v>3445.03</v>
      </c>
      <c r="N17" s="126">
        <v>570.65</v>
      </c>
      <c r="O17" s="126">
        <v>0</v>
      </c>
      <c r="P17" s="127">
        <v>0</v>
      </c>
      <c r="Q17" s="126">
        <v>0</v>
      </c>
      <c r="R17" s="127">
        <v>0</v>
      </c>
      <c r="S17" s="91">
        <f>E17+G17+I17+K17+M17+O17+Q17</f>
        <v>37249.43</v>
      </c>
      <c r="T17" s="108">
        <f>P17+N17+L17+J17+H17+F17+R17</f>
        <v>6169.97</v>
      </c>
      <c r="U17" s="91">
        <v>4221.05</v>
      </c>
      <c r="V17" s="91">
        <v>5698.44</v>
      </c>
      <c r="W17" s="91">
        <v>13718.35</v>
      </c>
      <c r="X17" s="91">
        <v>9497.34</v>
      </c>
      <c r="Y17" s="91">
        <v>3376.82</v>
      </c>
      <c r="Z17" s="91">
        <v>0</v>
      </c>
      <c r="AA17" s="91">
        <v>0</v>
      </c>
      <c r="AB17" s="116">
        <f t="shared" si="2"/>
        <v>36512</v>
      </c>
      <c r="AC17" s="113">
        <f t="shared" si="3"/>
        <v>49261.484375</v>
      </c>
      <c r="AD17" s="102">
        <f>P17+Z17</f>
        <v>0</v>
      </c>
      <c r="AE17" s="102">
        <f>R17+AA17</f>
        <v>0</v>
      </c>
      <c r="AF17" s="102">
        <f>'[3]Т04-09'!$I$21+'[3]Т04-09'!$I$26</f>
        <v>4451.5441</v>
      </c>
      <c r="AG17" s="16">
        <f>0.6*B17*0.9</f>
        <v>3285.954</v>
      </c>
      <c r="AH17" s="124">
        <f>B17*0.2*0.9234</f>
        <v>1123.7962680000003</v>
      </c>
      <c r="AI17" s="16">
        <f>0.85*B17*0.8934</f>
        <v>4620.964089</v>
      </c>
      <c r="AJ17" s="16">
        <f>AI17*0.18</f>
        <v>831.7735360199999</v>
      </c>
      <c r="AK17" s="16">
        <f>0.83*B17*0.8498</f>
        <v>4292.0279234</v>
      </c>
      <c r="AL17" s="16">
        <f>AK17*0.18</f>
        <v>772.565026212</v>
      </c>
      <c r="AM17" s="16">
        <f>(1.91)*B17*0.8498-0.01</f>
        <v>9876.8253418</v>
      </c>
      <c r="AN17" s="16">
        <f>AM17*0.18</f>
        <v>1777.828561524</v>
      </c>
      <c r="AO17" s="16"/>
      <c r="AP17" s="16">
        <f t="shared" si="4"/>
        <v>0</v>
      </c>
      <c r="AQ17" s="117">
        <f>1588.983</f>
        <v>1588.983</v>
      </c>
      <c r="AR17" s="117">
        <f t="shared" si="4"/>
        <v>286.01694</v>
      </c>
      <c r="AS17" s="97">
        <v>2587.26</v>
      </c>
      <c r="AT17" s="97"/>
      <c r="AU17" s="97">
        <f>(AS17+AT17)*0.18</f>
        <v>465.70680000000004</v>
      </c>
      <c r="AV17" s="118"/>
      <c r="AW17" s="119">
        <v>1620</v>
      </c>
      <c r="AX17" s="16">
        <v>10263.55</v>
      </c>
      <c r="AY17" s="121"/>
      <c r="AZ17" s="122"/>
      <c r="BA17" s="122">
        <f>AZ17*0.18</f>
        <v>0</v>
      </c>
      <c r="BB17" s="122">
        <f aca="true" t="shared" si="7" ref="BB17:BB22">SUM(AG17:BA17)-AV17-AW17</f>
        <v>41773.251485956</v>
      </c>
      <c r="BC17" s="128">
        <f>'[3]Т04-09'!$O$21+'[3]Т04-09'!$O$26</f>
        <v>1768.6724398000001</v>
      </c>
      <c r="BD17" s="14">
        <f t="shared" si="5"/>
        <v>10171.104549243995</v>
      </c>
      <c r="BE17" s="30">
        <f t="shared" si="6"/>
        <v>-737.4300000000003</v>
      </c>
    </row>
    <row r="18" spans="1:57" ht="12.75">
      <c r="A18" s="11" t="s">
        <v>49</v>
      </c>
      <c r="B18" s="129">
        <v>6085.1</v>
      </c>
      <c r="C18" s="105">
        <f aca="true" t="shared" si="8" ref="C18:C25">B18*8.65</f>
        <v>52636.115000000005</v>
      </c>
      <c r="D18" s="130">
        <f aca="true" t="shared" si="9" ref="D18:D25">C18-E18-F18-G18-H18-I18-J18-K18-L18-M18-N18</f>
        <v>4997.465000000015</v>
      </c>
      <c r="E18" s="126">
        <v>4706.23</v>
      </c>
      <c r="F18" s="126">
        <v>792.84</v>
      </c>
      <c r="G18" s="126">
        <v>6372.88</v>
      </c>
      <c r="H18" s="126">
        <v>1074.74</v>
      </c>
      <c r="I18" s="126">
        <v>15314.77</v>
      </c>
      <c r="J18" s="126">
        <v>2581.11</v>
      </c>
      <c r="K18" s="126">
        <v>10608.54</v>
      </c>
      <c r="L18" s="126">
        <v>1788.28</v>
      </c>
      <c r="M18" s="126">
        <v>3765.03</v>
      </c>
      <c r="N18" s="126">
        <v>634.23</v>
      </c>
      <c r="O18" s="126">
        <v>0</v>
      </c>
      <c r="P18" s="127">
        <v>0</v>
      </c>
      <c r="Q18" s="126">
        <v>0</v>
      </c>
      <c r="R18" s="127">
        <v>0</v>
      </c>
      <c r="S18" s="91">
        <f aca="true" t="shared" si="10" ref="S18:S25">E18+G18+I18+K18+M18+O18+Q18</f>
        <v>40767.45</v>
      </c>
      <c r="T18" s="108">
        <f aca="true" t="shared" si="11" ref="T18:T25">P18+N18+L18+J18+H18+F18+R18</f>
        <v>6871.200000000001</v>
      </c>
      <c r="U18" s="92">
        <v>3704.02</v>
      </c>
      <c r="V18" s="92">
        <v>5000.48</v>
      </c>
      <c r="W18" s="92">
        <v>12037.96</v>
      </c>
      <c r="X18" s="92">
        <v>8333.99</v>
      </c>
      <c r="Y18" s="92">
        <v>2963.13</v>
      </c>
      <c r="Z18" s="123">
        <v>0</v>
      </c>
      <c r="AA18" s="123">
        <v>0</v>
      </c>
      <c r="AB18" s="116">
        <f t="shared" si="2"/>
        <v>32039.579999999998</v>
      </c>
      <c r="AC18" s="113">
        <f t="shared" si="3"/>
        <v>43908.24500000001</v>
      </c>
      <c r="AD18" s="102">
        <f aca="true" t="shared" si="12" ref="AD18:AD25">P18+Z18</f>
        <v>0</v>
      </c>
      <c r="AE18" s="102">
        <f aca="true" t="shared" si="13" ref="AE18:AE25">R18+AA18</f>
        <v>0</v>
      </c>
      <c r="AF18" s="102">
        <f>'[3]Т04-09'!$I$21+'[3]Т04-09'!$I$26</f>
        <v>4451.5441</v>
      </c>
      <c r="AG18" s="16">
        <f aca="true" t="shared" si="14" ref="AG18:AG25">0.6*B18</f>
        <v>3651.06</v>
      </c>
      <c r="AH18" s="16">
        <f>B18*0.2*1.01</f>
        <v>1229.1902000000002</v>
      </c>
      <c r="AI18" s="16">
        <f>0.85*B18</f>
        <v>5172.335</v>
      </c>
      <c r="AJ18" s="16">
        <f aca="true" t="shared" si="15" ref="AJ18:AJ25">AI18*0.18</f>
        <v>931.0203</v>
      </c>
      <c r="AK18" s="16">
        <f>0.83*B18</f>
        <v>5050.633</v>
      </c>
      <c r="AL18" s="16">
        <f aca="true" t="shared" si="16" ref="AL18:AL25">AK18*0.18</f>
        <v>909.11394</v>
      </c>
      <c r="AM18" s="16">
        <f>(1.91)*B18-0.01</f>
        <v>11622.531</v>
      </c>
      <c r="AN18" s="16">
        <f aca="true" t="shared" si="17" ref="AN18:AN25">AM18*0.18</f>
        <v>2092.05558</v>
      </c>
      <c r="AO18" s="16"/>
      <c r="AP18" s="16">
        <f aca="true" t="shared" si="18" ref="AP18:AR25">AO18*0.18</f>
        <v>0</v>
      </c>
      <c r="AQ18" s="117"/>
      <c r="AR18" s="117">
        <f t="shared" si="18"/>
        <v>0</v>
      </c>
      <c r="AS18" s="97">
        <v>426.35</v>
      </c>
      <c r="AT18" s="97">
        <v>1000</v>
      </c>
      <c r="AU18" s="97">
        <f aca="true" t="shared" si="19" ref="AU18:AU25">(AS18+AT18)*0.18</f>
        <v>256.743</v>
      </c>
      <c r="AV18" s="118"/>
      <c r="AW18" s="136">
        <v>1117</v>
      </c>
      <c r="AX18" s="16">
        <f aca="true" t="shared" si="20" ref="AX18:AX25">AW18*1.12*1.18</f>
        <v>1476.2272</v>
      </c>
      <c r="AY18" s="121"/>
      <c r="AZ18" s="122"/>
      <c r="BA18" s="122">
        <f t="shared" si="0"/>
        <v>0</v>
      </c>
      <c r="BB18" s="122">
        <f t="shared" si="7"/>
        <v>33817.25922</v>
      </c>
      <c r="BC18" s="128">
        <f>'[3]Т05-09'!$O$21+'[3]Т05-09'!$O$26</f>
        <v>1974.38007393</v>
      </c>
      <c r="BD18" s="14">
        <f t="shared" si="5"/>
        <v>12568.149806070009</v>
      </c>
      <c r="BE18" s="30">
        <f t="shared" si="6"/>
        <v>-8727.869999999999</v>
      </c>
    </row>
    <row r="19" spans="1:57" ht="12.75">
      <c r="A19" s="11" t="s">
        <v>50</v>
      </c>
      <c r="B19" s="129">
        <v>6085.1</v>
      </c>
      <c r="C19" s="105">
        <f t="shared" si="8"/>
        <v>52636.115000000005</v>
      </c>
      <c r="D19" s="130">
        <f t="shared" si="9"/>
        <v>5006.2050000000145</v>
      </c>
      <c r="E19" s="126">
        <v>4705.13</v>
      </c>
      <c r="F19" s="126">
        <v>792.84</v>
      </c>
      <c r="G19" s="126">
        <v>6371.66</v>
      </c>
      <c r="H19" s="126">
        <v>1074.74</v>
      </c>
      <c r="I19" s="126">
        <v>15311.47</v>
      </c>
      <c r="J19" s="126">
        <v>2581.11</v>
      </c>
      <c r="K19" s="126">
        <v>10606.33</v>
      </c>
      <c r="L19" s="126">
        <v>1788.28</v>
      </c>
      <c r="M19" s="126">
        <v>3764.12</v>
      </c>
      <c r="N19" s="126">
        <v>634.23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10"/>
        <v>40758.71000000001</v>
      </c>
      <c r="T19" s="108">
        <f t="shared" si="11"/>
        <v>6871.200000000001</v>
      </c>
      <c r="U19" s="92">
        <v>4158.26</v>
      </c>
      <c r="V19" s="92">
        <v>5628.77</v>
      </c>
      <c r="W19" s="92">
        <v>13529.51</v>
      </c>
      <c r="X19" s="92">
        <v>9370.91</v>
      </c>
      <c r="Y19" s="92">
        <v>3326.68</v>
      </c>
      <c r="Z19" s="123">
        <v>0</v>
      </c>
      <c r="AA19" s="123">
        <v>0</v>
      </c>
      <c r="AB19" s="116">
        <f t="shared" si="2"/>
        <v>36014.13</v>
      </c>
      <c r="AC19" s="113">
        <f t="shared" si="3"/>
        <v>47891.53500000001</v>
      </c>
      <c r="AD19" s="102">
        <f t="shared" si="12"/>
        <v>0</v>
      </c>
      <c r="AE19" s="102">
        <f t="shared" si="13"/>
        <v>0</v>
      </c>
      <c r="AF19" s="102">
        <f>'[3]Т06-09'!$I$21+'[3]Т06-09'!$I$26</f>
        <v>4094.935032</v>
      </c>
      <c r="AG19" s="16">
        <f t="shared" si="14"/>
        <v>3651.06</v>
      </c>
      <c r="AH19" s="16">
        <f>B19*0.2*1.01045-0.01</f>
        <v>1229.7278590000003</v>
      </c>
      <c r="AI19" s="16">
        <f>0.85*B19+0.01</f>
        <v>5172.345</v>
      </c>
      <c r="AJ19" s="16">
        <f t="shared" si="15"/>
        <v>931.0221</v>
      </c>
      <c r="AK19" s="16">
        <f>0.83*B19</f>
        <v>5050.633</v>
      </c>
      <c r="AL19" s="16">
        <f t="shared" si="16"/>
        <v>909.11394</v>
      </c>
      <c r="AM19" s="16">
        <f>(1.91)*B19+0.01</f>
        <v>11622.551000000001</v>
      </c>
      <c r="AN19" s="16">
        <f t="shared" si="17"/>
        <v>2092.05918</v>
      </c>
      <c r="AO19" s="16"/>
      <c r="AP19" s="16">
        <f t="shared" si="18"/>
        <v>0</v>
      </c>
      <c r="AQ19" s="117">
        <f>1480.05+19782</f>
        <v>21262.05</v>
      </c>
      <c r="AR19" s="117">
        <f t="shared" si="18"/>
        <v>3827.169</v>
      </c>
      <c r="AS19" s="97">
        <v>8576.22</v>
      </c>
      <c r="AT19" s="97"/>
      <c r="AU19" s="97">
        <f t="shared" si="19"/>
        <v>1543.7196</v>
      </c>
      <c r="AV19" s="118"/>
      <c r="AW19" s="136">
        <v>1137</v>
      </c>
      <c r="AX19" s="16">
        <f t="shared" si="20"/>
        <v>1502.6592</v>
      </c>
      <c r="AY19" s="121"/>
      <c r="AZ19" s="122"/>
      <c r="BA19" s="122">
        <f t="shared" si="0"/>
        <v>0</v>
      </c>
      <c r="BB19" s="122">
        <f t="shared" si="7"/>
        <v>67370.329879</v>
      </c>
      <c r="BC19" s="128">
        <f>'[3]Т06-09'!$O$21+'[3]Т06-09'!$O$26</f>
        <v>1796.2260480000002</v>
      </c>
      <c r="BD19" s="14">
        <f t="shared" si="5"/>
        <v>-17180.085894999986</v>
      </c>
      <c r="BE19" s="30">
        <f t="shared" si="6"/>
        <v>-4744.580000000009</v>
      </c>
    </row>
    <row r="20" spans="1:57" ht="12.75">
      <c r="A20" s="11" t="s">
        <v>51</v>
      </c>
      <c r="B20" s="115">
        <v>6085.1</v>
      </c>
      <c r="C20" s="105">
        <f t="shared" si="8"/>
        <v>52636.115000000005</v>
      </c>
      <c r="D20" s="130">
        <f t="shared" si="9"/>
        <v>5492.885000000013</v>
      </c>
      <c r="E20" s="126">
        <v>4648.96</v>
      </c>
      <c r="F20" s="126">
        <v>792.84</v>
      </c>
      <c r="G20" s="126">
        <v>6295.57</v>
      </c>
      <c r="H20" s="126">
        <v>1074.74</v>
      </c>
      <c r="I20" s="126">
        <v>15128.63</v>
      </c>
      <c r="J20" s="126">
        <v>2581.11</v>
      </c>
      <c r="K20" s="126">
        <v>10479.69</v>
      </c>
      <c r="L20" s="126">
        <v>1788.28</v>
      </c>
      <c r="M20" s="126">
        <v>3719.18</v>
      </c>
      <c r="N20" s="126">
        <v>634.23</v>
      </c>
      <c r="O20" s="126">
        <v>0</v>
      </c>
      <c r="P20" s="127">
        <v>0</v>
      </c>
      <c r="Q20" s="126">
        <v>0</v>
      </c>
      <c r="R20" s="127">
        <v>0</v>
      </c>
      <c r="S20" s="91">
        <f t="shared" si="10"/>
        <v>40272.03</v>
      </c>
      <c r="T20" s="108">
        <f t="shared" si="11"/>
        <v>6871.200000000001</v>
      </c>
      <c r="U20" s="92">
        <v>5923.38</v>
      </c>
      <c r="V20" s="92">
        <v>8017.36</v>
      </c>
      <c r="W20" s="92">
        <v>19271.92</v>
      </c>
      <c r="X20" s="92">
        <v>13348.46</v>
      </c>
      <c r="Y20" s="92">
        <v>4738.78</v>
      </c>
      <c r="Z20" s="123">
        <v>0</v>
      </c>
      <c r="AA20" s="123">
        <v>0</v>
      </c>
      <c r="AB20" s="116">
        <f t="shared" si="2"/>
        <v>51299.899999999994</v>
      </c>
      <c r="AC20" s="113">
        <f t="shared" si="3"/>
        <v>63663.98500000001</v>
      </c>
      <c r="AD20" s="102">
        <f t="shared" si="12"/>
        <v>0</v>
      </c>
      <c r="AE20" s="102">
        <f t="shared" si="13"/>
        <v>0</v>
      </c>
      <c r="AF20" s="102">
        <f>'[3]Т07-09'!$I$22+'[3]Т07-09'!$I$27+'[3]Т07-09'!$I$60+'[3]Т07-09'!$I$63</f>
        <v>6009.993168000001</v>
      </c>
      <c r="AG20" s="16">
        <f t="shared" si="14"/>
        <v>3651.06</v>
      </c>
      <c r="AH20" s="16">
        <f>B20*0.2*0.99425</f>
        <v>1210.0221350000002</v>
      </c>
      <c r="AI20" s="16">
        <f>0.85*B20*0.9857</f>
        <v>5098.3706095</v>
      </c>
      <c r="AJ20" s="16">
        <f t="shared" si="15"/>
        <v>917.7067097099999</v>
      </c>
      <c r="AK20" s="16">
        <f>0.83*B20*0.9905</f>
        <v>5002.6519865</v>
      </c>
      <c r="AL20" s="16">
        <f t="shared" si="16"/>
        <v>900.47735757</v>
      </c>
      <c r="AM20" s="16">
        <f>(1.91)*B20*0.9904</f>
        <v>11510.9646064</v>
      </c>
      <c r="AN20" s="16">
        <f t="shared" si="17"/>
        <v>2071.9736291520003</v>
      </c>
      <c r="AO20" s="16"/>
      <c r="AP20" s="16">
        <f t="shared" si="18"/>
        <v>0</v>
      </c>
      <c r="AQ20" s="117"/>
      <c r="AR20" s="117">
        <f t="shared" si="18"/>
        <v>0</v>
      </c>
      <c r="AS20" s="97">
        <v>270.76</v>
      </c>
      <c r="AT20" s="97"/>
      <c r="AU20" s="97">
        <f t="shared" si="19"/>
        <v>48.736799999999995</v>
      </c>
      <c r="AV20" s="118"/>
      <c r="AW20" s="136">
        <v>798</v>
      </c>
      <c r="AX20" s="16">
        <f t="shared" si="20"/>
        <v>1054.6368</v>
      </c>
      <c r="AY20" s="121"/>
      <c r="AZ20" s="122"/>
      <c r="BA20" s="122">
        <f t="shared" si="0"/>
        <v>0</v>
      </c>
      <c r="BB20" s="122">
        <f t="shared" si="7"/>
        <v>31737.360633832</v>
      </c>
      <c r="BC20" s="128">
        <f>'[3]Т07-09'!$O$22+'[3]Т07-09'!$O$27+'[3]Т07-09'!$O$60+'[3]Т07-09'!$O$63</f>
        <v>2621.470855296</v>
      </c>
      <c r="BD20" s="14">
        <f t="shared" si="5"/>
        <v>35315.146678872006</v>
      </c>
      <c r="BE20" s="30">
        <f t="shared" si="6"/>
        <v>11027.869999999995</v>
      </c>
    </row>
    <row r="21" spans="1:57" ht="12.75">
      <c r="A21" s="11" t="s">
        <v>52</v>
      </c>
      <c r="B21" s="115">
        <v>6085.1</v>
      </c>
      <c r="C21" s="105">
        <f t="shared" si="8"/>
        <v>52636.115000000005</v>
      </c>
      <c r="D21" s="130">
        <f t="shared" si="9"/>
        <v>5006.515000000007</v>
      </c>
      <c r="E21" s="126">
        <v>4707.34</v>
      </c>
      <c r="F21" s="126">
        <v>790.61</v>
      </c>
      <c r="G21" s="126">
        <v>6374.62</v>
      </c>
      <c r="H21" s="126">
        <v>1071.71</v>
      </c>
      <c r="I21" s="126">
        <v>15318.66</v>
      </c>
      <c r="J21" s="126">
        <v>2573.82</v>
      </c>
      <c r="K21" s="126">
        <v>10611.28</v>
      </c>
      <c r="L21" s="126">
        <v>1783.24</v>
      </c>
      <c r="M21" s="126">
        <v>3765.87</v>
      </c>
      <c r="N21" s="126">
        <v>632.45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10"/>
        <v>40777.770000000004</v>
      </c>
      <c r="T21" s="108">
        <f t="shared" si="11"/>
        <v>6851.83</v>
      </c>
      <c r="U21" s="92">
        <v>4307.21</v>
      </c>
      <c r="V21" s="92">
        <v>5831.86</v>
      </c>
      <c r="W21" s="92">
        <v>14015.55</v>
      </c>
      <c r="X21" s="92">
        <v>9708.2</v>
      </c>
      <c r="Y21" s="92">
        <v>3445.85</v>
      </c>
      <c r="Z21" s="123">
        <v>0</v>
      </c>
      <c r="AA21" s="123">
        <v>0</v>
      </c>
      <c r="AB21" s="116">
        <f t="shared" si="2"/>
        <v>37308.67</v>
      </c>
      <c r="AC21" s="113">
        <f t="shared" si="3"/>
        <v>49167.01500000001</v>
      </c>
      <c r="AD21" s="102">
        <f t="shared" si="12"/>
        <v>0</v>
      </c>
      <c r="AE21" s="102">
        <f t="shared" si="13"/>
        <v>0</v>
      </c>
      <c r="AF21" s="102">
        <f>'[2]Т07-09'!$I$22+'[2]Т07-09'!$I$27+'[2]Т07-09'!$I$60+'[2]Т07-09'!$I$63</f>
        <v>5653.3841</v>
      </c>
      <c r="AG21" s="16">
        <f t="shared" si="14"/>
        <v>3651.06</v>
      </c>
      <c r="AH21" s="16">
        <f>B21*0.2*0.99876</f>
        <v>1215.5108952000003</v>
      </c>
      <c r="AI21" s="16">
        <f>0.85*B21*0.98525</f>
        <v>5096.04305875</v>
      </c>
      <c r="AJ21" s="16">
        <f t="shared" si="15"/>
        <v>917.2877505749999</v>
      </c>
      <c r="AK21" s="16">
        <f>0.83*B21*0.99</f>
        <v>5000.12667</v>
      </c>
      <c r="AL21" s="16">
        <f t="shared" si="16"/>
        <v>900.0228005999999</v>
      </c>
      <c r="AM21" s="16">
        <f>(1.91)*B21*0.9899</f>
        <v>11505.1533359</v>
      </c>
      <c r="AN21" s="16">
        <f t="shared" si="17"/>
        <v>2070.927600462</v>
      </c>
      <c r="AO21" s="16"/>
      <c r="AP21" s="16">
        <f t="shared" si="18"/>
        <v>0</v>
      </c>
      <c r="AQ21" s="117"/>
      <c r="AR21" s="117">
        <f t="shared" si="18"/>
        <v>0</v>
      </c>
      <c r="AS21" s="97">
        <v>2368</v>
      </c>
      <c r="AT21" s="97"/>
      <c r="AU21" s="97">
        <f t="shared" si="19"/>
        <v>426.24</v>
      </c>
      <c r="AV21" s="118"/>
      <c r="AW21" s="136">
        <v>843</v>
      </c>
      <c r="AX21" s="16">
        <f t="shared" si="20"/>
        <v>1114.1088</v>
      </c>
      <c r="AY21" s="121"/>
      <c r="AZ21" s="122"/>
      <c r="BA21" s="122">
        <f t="shared" si="0"/>
        <v>0</v>
      </c>
      <c r="BB21" s="122">
        <f t="shared" si="7"/>
        <v>34264.48091148701</v>
      </c>
      <c r="BC21" s="128">
        <f>'[3]Т08-09'!$O$22+'[3]Т08-09'!$O$27+'[3]Т08-09'!$O$61+'[3]Т08-09'!$O$64</f>
        <v>2451.84208605</v>
      </c>
      <c r="BD21" s="14">
        <f t="shared" si="5"/>
        <v>18104.076102463</v>
      </c>
      <c r="BE21" s="30">
        <f t="shared" si="6"/>
        <v>-3469.100000000006</v>
      </c>
    </row>
    <row r="22" spans="1:57" ht="12.75">
      <c r="A22" s="11" t="s">
        <v>53</v>
      </c>
      <c r="B22" s="104">
        <v>6082.8</v>
      </c>
      <c r="C22" s="105">
        <f t="shared" si="8"/>
        <v>52616.22</v>
      </c>
      <c r="D22" s="130">
        <f t="shared" si="9"/>
        <v>4992.239999999996</v>
      </c>
      <c r="E22" s="107">
        <v>4710.47</v>
      </c>
      <c r="F22" s="107">
        <v>786.85</v>
      </c>
      <c r="G22" s="107">
        <v>6378.8</v>
      </c>
      <c r="H22" s="107">
        <v>1066.64</v>
      </c>
      <c r="I22" s="107">
        <v>15328.72</v>
      </c>
      <c r="J22" s="107">
        <v>2561.63</v>
      </c>
      <c r="K22" s="107">
        <v>10618.27</v>
      </c>
      <c r="L22" s="107">
        <v>1774.78</v>
      </c>
      <c r="M22" s="107">
        <v>3768.38</v>
      </c>
      <c r="N22" s="107">
        <v>629.44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10"/>
        <v>40804.63999999999</v>
      </c>
      <c r="T22" s="108">
        <f t="shared" si="11"/>
        <v>6819.340000000001</v>
      </c>
      <c r="U22" s="91">
        <v>4326.6</v>
      </c>
      <c r="V22" s="91">
        <v>5858.22</v>
      </c>
      <c r="W22" s="91">
        <v>14078.83</v>
      </c>
      <c r="X22" s="91">
        <v>9752.26</v>
      </c>
      <c r="Y22" s="91">
        <v>3461.25</v>
      </c>
      <c r="Z22" s="109">
        <v>0</v>
      </c>
      <c r="AA22" s="109">
        <v>0</v>
      </c>
      <c r="AB22" s="116">
        <f t="shared" si="2"/>
        <v>37477.16</v>
      </c>
      <c r="AC22" s="113">
        <f t="shared" si="3"/>
        <v>49288.740000000005</v>
      </c>
      <c r="AD22" s="102">
        <f t="shared" si="12"/>
        <v>0</v>
      </c>
      <c r="AE22" s="102">
        <f t="shared" si="13"/>
        <v>0</v>
      </c>
      <c r="AF22" s="102">
        <f>'[2]Т07-09'!$I$22+'[2]Т07-09'!$I$27+'[2]Т07-09'!$I$60+'[2]Т07-09'!$I$63</f>
        <v>5653.3841</v>
      </c>
      <c r="AG22" s="16">
        <f t="shared" si="14"/>
        <v>3649.68</v>
      </c>
      <c r="AH22" s="16">
        <f>B22*0.2*0.9997</f>
        <v>1216.1950320000003</v>
      </c>
      <c r="AI22" s="16">
        <f>0.85*B22*0.98508</f>
        <v>5093.2379304</v>
      </c>
      <c r="AJ22" s="16">
        <f t="shared" si="15"/>
        <v>916.7828274719999</v>
      </c>
      <c r="AK22" s="16">
        <f>0.83*B22</f>
        <v>5048.724</v>
      </c>
      <c r="AL22" s="16">
        <f t="shared" si="16"/>
        <v>908.77032</v>
      </c>
      <c r="AM22" s="16">
        <f>(1.91)*B22*0.9908</f>
        <v>11511.2610384</v>
      </c>
      <c r="AN22" s="16">
        <f t="shared" si="17"/>
        <v>2072.0269869119998</v>
      </c>
      <c r="AO22" s="16"/>
      <c r="AP22" s="16">
        <f t="shared" si="18"/>
        <v>0</v>
      </c>
      <c r="AQ22" s="117"/>
      <c r="AR22" s="117">
        <f t="shared" si="18"/>
        <v>0</v>
      </c>
      <c r="AS22" s="97"/>
      <c r="AT22" s="97"/>
      <c r="AU22" s="97">
        <f t="shared" si="19"/>
        <v>0</v>
      </c>
      <c r="AV22" s="118"/>
      <c r="AW22" s="136">
        <v>1245</v>
      </c>
      <c r="AX22" s="16">
        <f t="shared" si="20"/>
        <v>1645.392</v>
      </c>
      <c r="AY22" s="121"/>
      <c r="AZ22" s="122"/>
      <c r="BA22" s="122">
        <f t="shared" si="0"/>
        <v>0</v>
      </c>
      <c r="BB22" s="122">
        <f t="shared" si="7"/>
        <v>32062.070135183996</v>
      </c>
      <c r="BC22" s="128">
        <f>'[5]Таштагол 09'!$BD$96</f>
        <v>2466.9439900750003</v>
      </c>
      <c r="BD22" s="14">
        <f t="shared" si="5"/>
        <v>20413.10997474101</v>
      </c>
      <c r="BE22" s="30">
        <f>AB22-S22</f>
        <v>-3327.4799999999886</v>
      </c>
    </row>
    <row r="23" spans="1:57" ht="12.75">
      <c r="A23" s="11" t="s">
        <v>41</v>
      </c>
      <c r="B23" s="104">
        <v>6082.8</v>
      </c>
      <c r="C23" s="131">
        <f t="shared" si="8"/>
        <v>52616.22</v>
      </c>
      <c r="D23" s="130">
        <f t="shared" si="9"/>
        <v>4992.060000000009</v>
      </c>
      <c r="E23" s="93">
        <v>4722.2</v>
      </c>
      <c r="F23" s="91">
        <v>775.14</v>
      </c>
      <c r="G23" s="91">
        <f>6394.74+0.01</f>
        <v>6394.75</v>
      </c>
      <c r="H23" s="91">
        <v>1050.74</v>
      </c>
      <c r="I23" s="91">
        <f>15366.93-0.01</f>
        <v>15366.92</v>
      </c>
      <c r="J23" s="91">
        <v>2523.48</v>
      </c>
      <c r="K23" s="91">
        <v>10644.76</v>
      </c>
      <c r="L23" s="91">
        <v>1748.34</v>
      </c>
      <c r="M23" s="91">
        <f>3777.76-0.01</f>
        <v>3777.75</v>
      </c>
      <c r="N23" s="91">
        <v>620.08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10"/>
        <v>40906.380000000005</v>
      </c>
      <c r="T23" s="108">
        <f t="shared" si="11"/>
        <v>6717.78</v>
      </c>
      <c r="U23" s="94">
        <f>4701.71+300.05</f>
        <v>5001.76</v>
      </c>
      <c r="V23" s="91">
        <f>6366.24+406.88</f>
        <v>6773.12</v>
      </c>
      <c r="W23" s="91">
        <f>15299.55+977.01</f>
        <v>16276.56</v>
      </c>
      <c r="X23" s="91">
        <f>10597.81+676.98</f>
        <v>11274.789999999999</v>
      </c>
      <c r="Y23" s="91">
        <f>3761.41+240.05</f>
        <v>4001.46</v>
      </c>
      <c r="Z23" s="109">
        <v>0</v>
      </c>
      <c r="AA23" s="109">
        <v>0</v>
      </c>
      <c r="AB23" s="109">
        <f t="shared" si="2"/>
        <v>43327.69</v>
      </c>
      <c r="AC23" s="113">
        <f>AB23+T23+D23</f>
        <v>55037.53000000001</v>
      </c>
      <c r="AD23" s="102">
        <f t="shared" si="12"/>
        <v>0</v>
      </c>
      <c r="AE23" s="102">
        <f t="shared" si="13"/>
        <v>0</v>
      </c>
      <c r="AF23" s="102">
        <f>'[1]Т10'!$I$22+'[1]Т10'!$I$28+'[1]Т10'!$I$53+'[1]Т10'!$I$63+'[1]Т10'!$I$67+'[1]Т10'!$I$68+'[1]Т10'!$I$108</f>
        <v>9795.169939999998</v>
      </c>
      <c r="AG23" s="16">
        <f t="shared" si="14"/>
        <v>3649.68</v>
      </c>
      <c r="AH23" s="16">
        <f>B23*0.2</f>
        <v>1216.5600000000002</v>
      </c>
      <c r="AI23" s="16">
        <f>0.847*B23</f>
        <v>5152.1316</v>
      </c>
      <c r="AJ23" s="16">
        <f t="shared" si="15"/>
        <v>927.3836879999999</v>
      </c>
      <c r="AK23" s="16">
        <f>0.83*B23</f>
        <v>5048.724</v>
      </c>
      <c r="AL23" s="16">
        <f t="shared" si="16"/>
        <v>908.77032</v>
      </c>
      <c r="AM23" s="16">
        <f>(2.25/1.18)*B23</f>
        <v>11598.5593220339</v>
      </c>
      <c r="AN23" s="16">
        <f t="shared" si="17"/>
        <v>2087.740677966102</v>
      </c>
      <c r="AO23" s="16"/>
      <c r="AP23" s="16">
        <f t="shared" si="18"/>
        <v>0</v>
      </c>
      <c r="AQ23" s="117"/>
      <c r="AR23" s="117">
        <f t="shared" si="18"/>
        <v>0</v>
      </c>
      <c r="AS23" s="97">
        <f>3738.87</f>
        <v>3738.87</v>
      </c>
      <c r="AT23" s="97">
        <v>826</v>
      </c>
      <c r="AU23" s="97">
        <f t="shared" si="19"/>
        <v>821.6765999999999</v>
      </c>
      <c r="AV23" s="118"/>
      <c r="AW23" s="134">
        <v>1573</v>
      </c>
      <c r="AX23" s="16">
        <f t="shared" si="20"/>
        <v>2078.8768</v>
      </c>
      <c r="AY23" s="121"/>
      <c r="AZ23" s="137"/>
      <c r="BA23" s="122">
        <f t="shared" si="0"/>
        <v>0</v>
      </c>
      <c r="BB23" s="122">
        <f>SUM(AG23:AU23)+AX23+AY23+AZ23+BA23</f>
        <v>38054.973008</v>
      </c>
      <c r="BC23" s="128">
        <f>'[4]Т10'!$O$22+'[4]Т10'!$O$28+'[4]Т10'!$O$53+'[4]Т10'!$O$63+'[4]Т10'!$O$67+'[4]Т10'!$O$68+'[4]Т10'!$O$108</f>
        <v>3162.004876</v>
      </c>
      <c r="BD23" s="14">
        <f t="shared" si="5"/>
        <v>23615.722056000013</v>
      </c>
      <c r="BE23" s="30">
        <f>AB23-S23</f>
        <v>2421.3099999999977</v>
      </c>
    </row>
    <row r="24" spans="1:57" ht="12.75">
      <c r="A24" s="11" t="s">
        <v>42</v>
      </c>
      <c r="B24" s="115">
        <v>6082.8</v>
      </c>
      <c r="C24" s="131">
        <f t="shared" si="8"/>
        <v>52616.22</v>
      </c>
      <c r="D24" s="130">
        <f t="shared" si="9"/>
        <v>4982.610000000008</v>
      </c>
      <c r="E24" s="107">
        <v>4723.64</v>
      </c>
      <c r="F24" s="107">
        <v>774.81</v>
      </c>
      <c r="G24" s="107">
        <v>6396.59</v>
      </c>
      <c r="H24" s="107">
        <v>1050.32</v>
      </c>
      <c r="I24" s="107">
        <v>15371.55</v>
      </c>
      <c r="J24" s="107">
        <v>2522.43</v>
      </c>
      <c r="K24" s="107">
        <v>10647.92</v>
      </c>
      <c r="L24" s="107">
        <v>1747.62</v>
      </c>
      <c r="M24" s="107">
        <v>3778.91</v>
      </c>
      <c r="N24" s="107">
        <v>619.82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10"/>
        <v>40918.61</v>
      </c>
      <c r="T24" s="108">
        <f t="shared" si="11"/>
        <v>6715</v>
      </c>
      <c r="U24" s="91">
        <v>4841.09</v>
      </c>
      <c r="V24" s="91">
        <v>6555.58</v>
      </c>
      <c r="W24" s="91">
        <v>15753.62</v>
      </c>
      <c r="X24" s="91">
        <v>10912.53</v>
      </c>
      <c r="Y24" s="91">
        <v>3872.8</v>
      </c>
      <c r="Z24" s="109">
        <v>0</v>
      </c>
      <c r="AA24" s="109">
        <v>0</v>
      </c>
      <c r="AB24" s="109">
        <f t="shared" si="2"/>
        <v>41935.62</v>
      </c>
      <c r="AC24" s="113">
        <f>D24+T24+AB24</f>
        <v>53633.23000000001</v>
      </c>
      <c r="AD24" s="102">
        <f t="shared" si="12"/>
        <v>0</v>
      </c>
      <c r="AE24" s="102">
        <f t="shared" si="13"/>
        <v>0</v>
      </c>
      <c r="AF24" s="102">
        <f>'[1]Т11'!$I$22+'[1]Т11'!$I$28+'[1]Т11'!$I$53+'[1]Т11'!$I$63+'[1]Т11'!$I$67+'[1]Т11'!$I$68+'[1]Т11'!$I$108</f>
        <v>7838.59486</v>
      </c>
      <c r="AG24" s="16">
        <f t="shared" si="14"/>
        <v>3649.68</v>
      </c>
      <c r="AH24" s="16">
        <f>B24*0.2</f>
        <v>1216.5600000000002</v>
      </c>
      <c r="AI24" s="16">
        <f>0.85*B24</f>
        <v>5170.38</v>
      </c>
      <c r="AJ24" s="16">
        <f t="shared" si="15"/>
        <v>930.6684</v>
      </c>
      <c r="AK24" s="16">
        <f>0.83*B24</f>
        <v>5048.724</v>
      </c>
      <c r="AL24" s="16">
        <f t="shared" si="16"/>
        <v>908.77032</v>
      </c>
      <c r="AM24" s="16">
        <f>(1.91)*B24</f>
        <v>11618.148</v>
      </c>
      <c r="AN24" s="16">
        <f t="shared" si="17"/>
        <v>2091.26664</v>
      </c>
      <c r="AO24" s="16"/>
      <c r="AP24" s="16">
        <f t="shared" si="18"/>
        <v>0</v>
      </c>
      <c r="AQ24" s="117"/>
      <c r="AR24" s="117">
        <f t="shared" si="18"/>
        <v>0</v>
      </c>
      <c r="AS24" s="97">
        <v>8176</v>
      </c>
      <c r="AT24" s="97"/>
      <c r="AU24" s="97">
        <f t="shared" si="19"/>
        <v>1471.6799999999998</v>
      </c>
      <c r="AV24" s="118"/>
      <c r="AW24" s="134">
        <v>1622</v>
      </c>
      <c r="AX24" s="16">
        <f t="shared" si="20"/>
        <v>2143.6352</v>
      </c>
      <c r="AY24" s="121"/>
      <c r="AZ24" s="122"/>
      <c r="BA24" s="122">
        <f t="shared" si="0"/>
        <v>0</v>
      </c>
      <c r="BB24" s="122">
        <f>SUM(AG24:AU24)+AX24+AY24+AZ24+BA24</f>
        <v>42425.512559999996</v>
      </c>
      <c r="BC24" s="132">
        <f>'[1]Т11'!$O$22+'[1]Т11'!$O$28+'[1]Т11'!$O$53+'[1]Т11'!$O$63+'[1]Т11'!$O$67+'[1]Т11'!$O$68+'[1]Т11'!$O$108</f>
        <v>3354.83334</v>
      </c>
      <c r="BD24" s="14">
        <f t="shared" si="5"/>
        <v>15691.478960000011</v>
      </c>
      <c r="BE24" s="30">
        <f t="shared" si="6"/>
        <v>1017.010000000002</v>
      </c>
    </row>
    <row r="25" spans="1:57" ht="12.75">
      <c r="A25" s="11" t="s">
        <v>43</v>
      </c>
      <c r="B25" s="104">
        <v>6082.8</v>
      </c>
      <c r="C25" s="131">
        <f t="shared" si="8"/>
        <v>52616.22</v>
      </c>
      <c r="D25" s="130">
        <f t="shared" si="9"/>
        <v>5486.580000000005</v>
      </c>
      <c r="E25" s="107">
        <v>4663.21</v>
      </c>
      <c r="F25" s="107">
        <v>777.11</v>
      </c>
      <c r="G25" s="107">
        <v>6314.66</v>
      </c>
      <c r="H25" s="107">
        <v>1053.42</v>
      </c>
      <c r="I25" s="107">
        <v>15174.76</v>
      </c>
      <c r="J25" s="107">
        <v>2529.9</v>
      </c>
      <c r="K25" s="107">
        <v>10511.57</v>
      </c>
      <c r="L25" s="107">
        <v>1752.8</v>
      </c>
      <c r="M25" s="107">
        <v>3730.56</v>
      </c>
      <c r="N25" s="107">
        <v>621.65</v>
      </c>
      <c r="O25" s="107">
        <v>0</v>
      </c>
      <c r="P25" s="114">
        <v>0</v>
      </c>
      <c r="Q25" s="114"/>
      <c r="R25" s="114"/>
      <c r="S25" s="91">
        <f t="shared" si="10"/>
        <v>40394.759999999995</v>
      </c>
      <c r="T25" s="108">
        <f t="shared" si="11"/>
        <v>6734.88</v>
      </c>
      <c r="U25" s="91">
        <v>5940.72</v>
      </c>
      <c r="V25" s="91">
        <v>8043.17</v>
      </c>
      <c r="W25" s="91">
        <v>19330.41</v>
      </c>
      <c r="X25" s="91">
        <v>13389.66</v>
      </c>
      <c r="Y25" s="91">
        <v>4752.54</v>
      </c>
      <c r="Z25" s="109">
        <v>0</v>
      </c>
      <c r="AA25" s="109">
        <v>0</v>
      </c>
      <c r="AB25" s="109">
        <f t="shared" si="2"/>
        <v>51456.50000000001</v>
      </c>
      <c r="AC25" s="113">
        <f>D25+T25+AB25</f>
        <v>63677.960000000014</v>
      </c>
      <c r="AD25" s="102">
        <f t="shared" si="12"/>
        <v>0</v>
      </c>
      <c r="AE25" s="102">
        <f t="shared" si="13"/>
        <v>0</v>
      </c>
      <c r="AF25" s="102">
        <f>'[1]Т12'!$I$22+'[1]Т12'!$I$28+'[1]Т12'!$I$54+'[1]Т12'!$I$64+'[1]Т12'!$I$68+'[1]Т12'!$I$69+'[1]Т12'!$I$109</f>
        <v>7838.59486</v>
      </c>
      <c r="AG25" s="16">
        <f t="shared" si="14"/>
        <v>3649.68</v>
      </c>
      <c r="AH25" s="16">
        <f>B25*0.2</f>
        <v>1216.5600000000002</v>
      </c>
      <c r="AI25" s="16">
        <f>0.85*B25</f>
        <v>5170.38</v>
      </c>
      <c r="AJ25" s="16">
        <f t="shared" si="15"/>
        <v>930.6684</v>
      </c>
      <c r="AK25" s="16">
        <f>0.83*B25</f>
        <v>5048.724</v>
      </c>
      <c r="AL25" s="16">
        <f t="shared" si="16"/>
        <v>908.77032</v>
      </c>
      <c r="AM25" s="16">
        <f>(1.91)*B25</f>
        <v>11618.148</v>
      </c>
      <c r="AN25" s="16">
        <f t="shared" si="17"/>
        <v>2091.26664</v>
      </c>
      <c r="AO25" s="16"/>
      <c r="AP25" s="16">
        <f t="shared" si="18"/>
        <v>0</v>
      </c>
      <c r="AQ25" s="117"/>
      <c r="AR25" s="117">
        <f t="shared" si="18"/>
        <v>0</v>
      </c>
      <c r="AS25" s="97">
        <f>5818</f>
        <v>5818</v>
      </c>
      <c r="AT25" s="97">
        <f>212.4</f>
        <v>212.4</v>
      </c>
      <c r="AU25" s="97">
        <f t="shared" si="19"/>
        <v>1085.472</v>
      </c>
      <c r="AV25" s="118"/>
      <c r="AW25" s="134">
        <v>1738</v>
      </c>
      <c r="AX25" s="16">
        <f t="shared" si="20"/>
        <v>2296.9408000000003</v>
      </c>
      <c r="AY25" s="121"/>
      <c r="AZ25" s="122"/>
      <c r="BA25" s="122">
        <f t="shared" si="0"/>
        <v>0</v>
      </c>
      <c r="BB25" s="122">
        <f>SUM(AG25:BA25)-AV25-AW25</f>
        <v>40047.010160000005</v>
      </c>
      <c r="BC25" s="132">
        <f>'[1]Т12'!$O$22+'[1]Т12'!$O$28+'[1]Т12'!$O$54+'[1]Т12'!$O$64+'[1]Т12'!$O$68+'[1]Т12'!$O$69+'[1]Т12'!$O$109</f>
        <v>3354.83334</v>
      </c>
      <c r="BD25" s="14">
        <f>AC25+AF25-BB25-BC25</f>
        <v>28114.711360000012</v>
      </c>
      <c r="BE25" s="30">
        <f>AB25-S25</f>
        <v>11061.740000000013</v>
      </c>
    </row>
    <row r="26" spans="1:57" s="20" customFormat="1" ht="12.75">
      <c r="A26" s="17" t="s">
        <v>5</v>
      </c>
      <c r="B26" s="60"/>
      <c r="C26" s="60">
        <f aca="true" t="shared" si="21" ref="C26:BC26">SUM(C14:C25)</f>
        <v>631556.3949999999</v>
      </c>
      <c r="D26" s="60">
        <f t="shared" si="21"/>
        <v>67274.94187500008</v>
      </c>
      <c r="E26" s="57">
        <f t="shared" si="21"/>
        <v>56369.07</v>
      </c>
      <c r="F26" s="57">
        <f t="shared" si="21"/>
        <v>9372.630000000001</v>
      </c>
      <c r="G26" s="57">
        <f t="shared" si="21"/>
        <v>72713.16</v>
      </c>
      <c r="H26" s="57">
        <f t="shared" si="21"/>
        <v>12101.4</v>
      </c>
      <c r="I26" s="57">
        <f t="shared" si="21"/>
        <v>178457.45</v>
      </c>
      <c r="J26" s="57">
        <f t="shared" si="21"/>
        <v>29684.56</v>
      </c>
      <c r="K26" s="57">
        <f t="shared" si="21"/>
        <v>123596</v>
      </c>
      <c r="L26" s="57">
        <f t="shared" si="21"/>
        <v>20561.62</v>
      </c>
      <c r="M26" s="57">
        <f t="shared" si="21"/>
        <v>43889.47</v>
      </c>
      <c r="N26" s="57">
        <f t="shared" si="21"/>
        <v>7298.189999999999</v>
      </c>
      <c r="O26" s="57">
        <f t="shared" si="21"/>
        <v>0</v>
      </c>
      <c r="P26" s="57">
        <f t="shared" si="21"/>
        <v>0</v>
      </c>
      <c r="Q26" s="57">
        <f t="shared" si="21"/>
        <v>0</v>
      </c>
      <c r="R26" s="57">
        <f t="shared" si="21"/>
        <v>0</v>
      </c>
      <c r="S26" s="57">
        <f t="shared" si="21"/>
        <v>475025.15</v>
      </c>
      <c r="T26" s="57">
        <f t="shared" si="21"/>
        <v>79018.40000000002</v>
      </c>
      <c r="U26" s="61">
        <f t="shared" si="21"/>
        <v>53719.40000000001</v>
      </c>
      <c r="V26" s="61">
        <f t="shared" si="21"/>
        <v>72655.68000000001</v>
      </c>
      <c r="W26" s="61">
        <f t="shared" si="21"/>
        <v>174492.95</v>
      </c>
      <c r="X26" s="61">
        <f t="shared" si="21"/>
        <v>121002.38999999997</v>
      </c>
      <c r="Y26" s="61">
        <f t="shared" si="21"/>
        <v>42975.560000000005</v>
      </c>
      <c r="Z26" s="61">
        <f t="shared" si="21"/>
        <v>0</v>
      </c>
      <c r="AA26" s="61">
        <f t="shared" si="21"/>
        <v>0</v>
      </c>
      <c r="AB26" s="61">
        <f t="shared" si="21"/>
        <v>464845.98000000004</v>
      </c>
      <c r="AC26" s="61">
        <f t="shared" si="21"/>
        <v>611139.321875</v>
      </c>
      <c r="AD26" s="61">
        <f t="shared" si="21"/>
        <v>0</v>
      </c>
      <c r="AE26" s="100">
        <f t="shared" si="21"/>
        <v>0</v>
      </c>
      <c r="AF26" s="100">
        <f t="shared" si="21"/>
        <v>69141.77656</v>
      </c>
      <c r="AG26" s="18">
        <f t="shared" si="21"/>
        <v>42346.938</v>
      </c>
      <c r="AH26" s="18">
        <f t="shared" si="21"/>
        <v>14177.7666392</v>
      </c>
      <c r="AI26" s="18">
        <f t="shared" si="21"/>
        <v>59197.055540149995</v>
      </c>
      <c r="AJ26" s="18">
        <f t="shared" si="21"/>
        <v>10655.469997227</v>
      </c>
      <c r="AK26" s="18">
        <f t="shared" si="21"/>
        <v>57596.56483630001</v>
      </c>
      <c r="AL26" s="18">
        <f t="shared" si="21"/>
        <v>10367.381670534</v>
      </c>
      <c r="AM26" s="18">
        <f t="shared" si="21"/>
        <v>132412.6824273339</v>
      </c>
      <c r="AN26" s="18">
        <f t="shared" si="21"/>
        <v>23834.28283692011</v>
      </c>
      <c r="AO26" s="18">
        <f t="shared" si="21"/>
        <v>0</v>
      </c>
      <c r="AP26" s="18">
        <f t="shared" si="21"/>
        <v>0</v>
      </c>
      <c r="AQ26" s="18">
        <f>SUM(AQ14:AQ25)</f>
        <v>22851.033</v>
      </c>
      <c r="AR26" s="18">
        <f>SUM(AR14:AR25)</f>
        <v>4113.185939999999</v>
      </c>
      <c r="AS26" s="18">
        <f>SUM(AS14:AS25)</f>
        <v>42649.46</v>
      </c>
      <c r="AT26" s="18">
        <f>SUM(AT14:AT25)</f>
        <v>9598.4</v>
      </c>
      <c r="AU26" s="18">
        <f>SUM(AU14:AU25)</f>
        <v>9404.6248</v>
      </c>
      <c r="AV26" s="18"/>
      <c r="AW26" s="18"/>
      <c r="AX26" s="18">
        <f t="shared" si="21"/>
        <v>23576.0268</v>
      </c>
      <c r="AY26" s="18">
        <f t="shared" si="21"/>
        <v>0</v>
      </c>
      <c r="AZ26" s="18">
        <f t="shared" si="21"/>
        <v>0</v>
      </c>
      <c r="BA26" s="18">
        <f t="shared" si="21"/>
        <v>0</v>
      </c>
      <c r="BB26" s="18">
        <f t="shared" si="21"/>
        <v>462780.87248766504</v>
      </c>
      <c r="BC26" s="18">
        <f t="shared" si="21"/>
        <v>28181.085998401002</v>
      </c>
      <c r="BD26" s="18">
        <f>SUM(BD14:BD25)</f>
        <v>189319.13994893405</v>
      </c>
      <c r="BE26" s="19">
        <f>SUM(BE14:BE25)</f>
        <v>-10179.169999999995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789493.2849999999</v>
      </c>
      <c r="D28" s="23">
        <f>D12+D26</f>
        <v>105290.87775430008</v>
      </c>
      <c r="E28" s="50">
        <f aca="true" t="shared" si="22" ref="E28:BC28">E12+E26</f>
        <v>69187.34</v>
      </c>
      <c r="F28" s="50">
        <f t="shared" si="22"/>
        <v>11457.68</v>
      </c>
      <c r="G28" s="50">
        <f t="shared" si="22"/>
        <v>90017.93000000001</v>
      </c>
      <c r="H28" s="50">
        <f t="shared" si="22"/>
        <v>14916.33</v>
      </c>
      <c r="I28" s="50">
        <f t="shared" si="22"/>
        <v>220046.46000000002</v>
      </c>
      <c r="J28" s="50">
        <f t="shared" si="22"/>
        <v>36461.15</v>
      </c>
      <c r="K28" s="50">
        <f t="shared" si="22"/>
        <v>152436.96</v>
      </c>
      <c r="L28" s="50">
        <f t="shared" si="22"/>
        <v>25253.12</v>
      </c>
      <c r="M28" s="50">
        <f t="shared" si="22"/>
        <v>54144.07</v>
      </c>
      <c r="N28" s="50">
        <f>N12+N26</f>
        <v>8966.309999999998</v>
      </c>
      <c r="O28" s="50">
        <f t="shared" si="22"/>
        <v>0</v>
      </c>
      <c r="P28" s="50">
        <f t="shared" si="22"/>
        <v>0</v>
      </c>
      <c r="Q28" s="50">
        <f t="shared" si="22"/>
        <v>0</v>
      </c>
      <c r="R28" s="50">
        <f t="shared" si="22"/>
        <v>0</v>
      </c>
      <c r="S28" s="50">
        <f t="shared" si="22"/>
        <v>585832.76</v>
      </c>
      <c r="T28" s="50">
        <f t="shared" si="22"/>
        <v>97054.59000000003</v>
      </c>
      <c r="U28" s="53">
        <f t="shared" si="22"/>
        <v>62163.54000000001</v>
      </c>
      <c r="V28" s="53">
        <f t="shared" si="22"/>
        <v>84055.37000000001</v>
      </c>
      <c r="W28" s="53">
        <f t="shared" si="22"/>
        <v>202165.15000000002</v>
      </c>
      <c r="X28" s="53">
        <f t="shared" si="22"/>
        <v>140001.58999999997</v>
      </c>
      <c r="Y28" s="53">
        <f t="shared" si="22"/>
        <v>49730.850000000006</v>
      </c>
      <c r="Z28" s="53">
        <f t="shared" si="22"/>
        <v>0</v>
      </c>
      <c r="AA28" s="53">
        <f t="shared" si="22"/>
        <v>0</v>
      </c>
      <c r="AB28" s="53">
        <f t="shared" si="22"/>
        <v>538116.5</v>
      </c>
      <c r="AC28" s="53">
        <f t="shared" si="22"/>
        <v>740461.9677543</v>
      </c>
      <c r="AD28" s="53">
        <f t="shared" si="22"/>
        <v>0</v>
      </c>
      <c r="AE28" s="53">
        <f>AE12+AE26</f>
        <v>0</v>
      </c>
      <c r="AF28" s="53">
        <f t="shared" si="22"/>
        <v>69141.77656</v>
      </c>
      <c r="AG28" s="23">
        <f t="shared" si="22"/>
        <v>53302.098</v>
      </c>
      <c r="AH28" s="23">
        <f t="shared" si="22"/>
        <v>17938.2023792</v>
      </c>
      <c r="AI28" s="23">
        <f t="shared" si="22"/>
        <v>74734.61724415</v>
      </c>
      <c r="AJ28" s="23">
        <f t="shared" si="22"/>
        <v>13452.231103946999</v>
      </c>
      <c r="AK28" s="23">
        <f t="shared" si="22"/>
        <v>75677.39423774001</v>
      </c>
      <c r="AL28" s="23">
        <f t="shared" si="22"/>
        <v>13621.9309627932</v>
      </c>
      <c r="AM28" s="23">
        <f t="shared" si="22"/>
        <v>165618.72103959392</v>
      </c>
      <c r="AN28" s="23">
        <f t="shared" si="22"/>
        <v>29811.36978712691</v>
      </c>
      <c r="AO28" s="23">
        <f t="shared" si="22"/>
        <v>0</v>
      </c>
      <c r="AP28" s="23">
        <f t="shared" si="22"/>
        <v>0</v>
      </c>
      <c r="AQ28" s="23">
        <f t="shared" si="22"/>
        <v>22851.033</v>
      </c>
      <c r="AR28" s="23">
        <f t="shared" si="22"/>
        <v>4113.185939999999</v>
      </c>
      <c r="AS28" s="23">
        <f t="shared" si="22"/>
        <v>79884.01000000001</v>
      </c>
      <c r="AT28" s="23">
        <f t="shared" si="22"/>
        <v>9598.4</v>
      </c>
      <c r="AU28" s="23">
        <f t="shared" si="22"/>
        <v>16106.843799999999</v>
      </c>
      <c r="AV28" s="23"/>
      <c r="AW28" s="23"/>
      <c r="AX28" s="23">
        <f t="shared" si="22"/>
        <v>23576.0268</v>
      </c>
      <c r="AY28" s="23">
        <f t="shared" si="22"/>
        <v>0</v>
      </c>
      <c r="AZ28" s="23">
        <f t="shared" si="22"/>
        <v>0</v>
      </c>
      <c r="BA28" s="23">
        <f t="shared" si="22"/>
        <v>0</v>
      </c>
      <c r="BB28" s="23">
        <f t="shared" si="22"/>
        <v>600286.064294551</v>
      </c>
      <c r="BC28" s="23">
        <f t="shared" si="22"/>
        <v>28181.085998401002</v>
      </c>
      <c r="BD28" s="23">
        <f>BD12+BD26</f>
        <v>181136.59402134805</v>
      </c>
      <c r="BE28" s="24">
        <f>BE12+BE26</f>
        <v>-47716.259999999995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38">
        <v>6044.2</v>
      </c>
      <c r="C30" s="131">
        <f aca="true" t="shared" si="23" ref="C30:C41">B30*8.65</f>
        <v>52282.33</v>
      </c>
      <c r="D30" s="130">
        <f aca="true" t="shared" si="24" ref="D30:D41">C30-E30-F30-G30-H30-I30-J30-K30-L30-M30-N30</f>
        <v>6855.630000000007</v>
      </c>
      <c r="E30" s="146">
        <v>4466.24</v>
      </c>
      <c r="F30" s="146">
        <v>777.11</v>
      </c>
      <c r="G30" s="146">
        <v>6049.06</v>
      </c>
      <c r="H30" s="146">
        <v>1053.42</v>
      </c>
      <c r="I30" s="146">
        <v>14534.89</v>
      </c>
      <c r="J30" s="146">
        <v>2529.9</v>
      </c>
      <c r="K30" s="146">
        <v>10068.67</v>
      </c>
      <c r="L30" s="146">
        <v>1752.8</v>
      </c>
      <c r="M30" s="146">
        <v>3572.96</v>
      </c>
      <c r="N30" s="146">
        <v>621.65</v>
      </c>
      <c r="O30" s="146">
        <v>0</v>
      </c>
      <c r="P30" s="147">
        <v>0</v>
      </c>
      <c r="Q30" s="147"/>
      <c r="R30" s="147"/>
      <c r="S30" s="148">
        <f aca="true" t="shared" si="25" ref="S30:S41">E30+G30+I30+K30+M30+O30+Q30</f>
        <v>38691.82</v>
      </c>
      <c r="T30" s="149">
        <f aca="true" t="shared" si="26" ref="T30:T41">P30+N30+L30+J30+H30+F30+R30</f>
        <v>6734.88</v>
      </c>
      <c r="U30" s="148">
        <v>3743.73</v>
      </c>
      <c r="V30" s="148">
        <v>5070.42</v>
      </c>
      <c r="W30" s="148">
        <v>12183.62</v>
      </c>
      <c r="X30" s="148">
        <v>8439.89</v>
      </c>
      <c r="Y30" s="148">
        <v>2994.94</v>
      </c>
      <c r="Z30" s="150">
        <v>0</v>
      </c>
      <c r="AA30" s="150">
        <v>0</v>
      </c>
      <c r="AB30" s="150">
        <f>SUM(U30:AA30)</f>
        <v>32432.6</v>
      </c>
      <c r="AC30" s="151">
        <f aca="true" t="shared" si="27" ref="AC30:AC41">D30+T30+AB30</f>
        <v>46023.11000000001</v>
      </c>
      <c r="AD30" s="152">
        <f aca="true" t="shared" si="28" ref="AD30:AD41">P30+Z30</f>
        <v>0</v>
      </c>
      <c r="AE30" s="152">
        <f aca="true" t="shared" si="29" ref="AE30:AE41">R30+AA30</f>
        <v>0</v>
      </c>
      <c r="AF30" s="152">
        <f>'[12]Т01-10'!$I$22+'[12]Т01-10'!$I$28+'[12]Т01-10'!$I$51+'[12]Т01-10'!$I$61+'[12]Т01-10'!$I$65+'[12]Т01-10'!$I$66+'[12]Т01-10'!$I$106</f>
        <v>7838.59486</v>
      </c>
      <c r="AG30" s="153">
        <f aca="true" t="shared" si="30" ref="AG30:AG41">0.6*B30</f>
        <v>3626.52</v>
      </c>
      <c r="AH30" s="153">
        <f aca="true" t="shared" si="31" ref="AH30:AH41">B30*0.2</f>
        <v>1208.84</v>
      </c>
      <c r="AI30" s="153">
        <f aca="true" t="shared" si="32" ref="AI30:AI41">1*B30</f>
        <v>6044.2</v>
      </c>
      <c r="AJ30" s="153">
        <v>0</v>
      </c>
      <c r="AK30" s="153">
        <f aca="true" t="shared" si="33" ref="AK30:AK41">0.98*B30</f>
        <v>5923.316</v>
      </c>
      <c r="AL30" s="153">
        <v>0</v>
      </c>
      <c r="AM30" s="153">
        <f aca="true" t="shared" si="34" ref="AM30:AM41">2.25*B30</f>
        <v>13599.449999999999</v>
      </c>
      <c r="AN30" s="153">
        <v>0</v>
      </c>
      <c r="AO30" s="153"/>
      <c r="AP30" s="153">
        <v>0</v>
      </c>
      <c r="AQ30" s="154"/>
      <c r="AR30" s="154"/>
      <c r="AS30" s="155">
        <v>154</v>
      </c>
      <c r="AT30" s="155"/>
      <c r="AU30" s="155">
        <f>AT30*0</f>
        <v>0</v>
      </c>
      <c r="AV30" s="156"/>
      <c r="AW30" s="157">
        <v>1767</v>
      </c>
      <c r="AX30" s="153">
        <f aca="true" t="shared" si="35" ref="AX30:AX41">AW30*1.4</f>
        <v>2473.7999999999997</v>
      </c>
      <c r="AY30" s="121"/>
      <c r="AZ30" s="158"/>
      <c r="BA30" s="158">
        <f aca="true" t="shared" si="36" ref="BA30:BA38">AZ30*0.18</f>
        <v>0</v>
      </c>
      <c r="BB30" s="158">
        <f aca="true" t="shared" si="37" ref="BB30:BB41">SUM(AG30:BA30)-AV30-AW30</f>
        <v>33030.126000000004</v>
      </c>
      <c r="BC30" s="159">
        <f>'[12]Т03-10'!$M$22+'[12]Т03-10'!$M$28+'[12]Т03-10'!$M$52+'[12]Т03-10'!$M$62+'[12]Т03-10'!$M$66+'[12]Т03-10'!$M$67+'[12]Т03-10'!$M$107</f>
        <v>3350.8610000000003</v>
      </c>
      <c r="BD30" s="14">
        <f>AC30+AF30-BB30-BC30</f>
        <v>17480.71786</v>
      </c>
      <c r="BE30" s="30">
        <f>AB30-S30</f>
        <v>-6259.220000000001</v>
      </c>
    </row>
    <row r="31" spans="1:57" ht="12.75">
      <c r="A31" s="11" t="s">
        <v>46</v>
      </c>
      <c r="B31" s="250">
        <v>6044.2</v>
      </c>
      <c r="C31" s="131">
        <f t="shared" si="23"/>
        <v>52282.33</v>
      </c>
      <c r="D31" s="130">
        <f t="shared" si="24"/>
        <v>4952.430000000002</v>
      </c>
      <c r="E31" s="251">
        <v>4686.26</v>
      </c>
      <c r="F31" s="252">
        <v>777.11</v>
      </c>
      <c r="G31" s="252">
        <v>6346.06</v>
      </c>
      <c r="H31" s="252">
        <v>1053.42</v>
      </c>
      <c r="I31" s="252">
        <v>15249.97</v>
      </c>
      <c r="J31" s="252">
        <v>2529.9</v>
      </c>
      <c r="K31" s="252">
        <v>10563.73</v>
      </c>
      <c r="L31" s="252">
        <v>1752.8</v>
      </c>
      <c r="M31" s="252">
        <v>3749</v>
      </c>
      <c r="N31" s="252">
        <v>621.65</v>
      </c>
      <c r="O31" s="252">
        <v>0</v>
      </c>
      <c r="P31" s="253">
        <v>0</v>
      </c>
      <c r="Q31" s="252">
        <v>0</v>
      </c>
      <c r="R31" s="253">
        <v>0</v>
      </c>
      <c r="S31" s="148">
        <f t="shared" si="25"/>
        <v>40595.020000000004</v>
      </c>
      <c r="T31" s="149">
        <f t="shared" si="26"/>
        <v>6734.88</v>
      </c>
      <c r="U31" s="148">
        <v>5652.13</v>
      </c>
      <c r="V31" s="148">
        <v>7652.33</v>
      </c>
      <c r="W31" s="148">
        <v>18391.18</v>
      </c>
      <c r="X31" s="148">
        <v>12739.25</v>
      </c>
      <c r="Y31" s="148">
        <v>4521.73</v>
      </c>
      <c r="Z31" s="150">
        <v>0</v>
      </c>
      <c r="AA31" s="150">
        <v>0</v>
      </c>
      <c r="AB31" s="150">
        <f>SUM(U31:AA31)</f>
        <v>48956.619999999995</v>
      </c>
      <c r="AC31" s="151">
        <f t="shared" si="27"/>
        <v>60643.92999999999</v>
      </c>
      <c r="AD31" s="152">
        <f t="shared" si="28"/>
        <v>0</v>
      </c>
      <c r="AE31" s="152">
        <f t="shared" si="29"/>
        <v>0</v>
      </c>
      <c r="AF31" s="152">
        <f>'[12]Т01-10'!$I$22+'[12]Т01-10'!$I$28+'[12]Т01-10'!$I$51+'[12]Т01-10'!$I$61+'[12]Т01-10'!$I$65+'[12]Т01-10'!$I$66+'[12]Т01-10'!$I$106</f>
        <v>7838.59486</v>
      </c>
      <c r="AG31" s="153">
        <f t="shared" si="30"/>
        <v>3626.52</v>
      </c>
      <c r="AH31" s="153">
        <f t="shared" si="31"/>
        <v>1208.84</v>
      </c>
      <c r="AI31" s="153">
        <f t="shared" si="32"/>
        <v>6044.2</v>
      </c>
      <c r="AJ31" s="153">
        <v>0</v>
      </c>
      <c r="AK31" s="153">
        <f t="shared" si="33"/>
        <v>5923.316</v>
      </c>
      <c r="AL31" s="153">
        <v>0</v>
      </c>
      <c r="AM31" s="153">
        <f t="shared" si="34"/>
        <v>13599.449999999999</v>
      </c>
      <c r="AN31" s="153">
        <v>0</v>
      </c>
      <c r="AO31" s="153"/>
      <c r="AP31" s="153"/>
      <c r="AQ31" s="154"/>
      <c r="AR31" s="154"/>
      <c r="AS31" s="155">
        <v>1705</v>
      </c>
      <c r="AT31" s="155"/>
      <c r="AU31" s="155">
        <f>AT31*0.18</f>
        <v>0</v>
      </c>
      <c r="AV31" s="156"/>
      <c r="AW31" s="157">
        <v>1684</v>
      </c>
      <c r="AX31" s="153">
        <f t="shared" si="35"/>
        <v>2357.6</v>
      </c>
      <c r="AY31" s="121"/>
      <c r="AZ31" s="158"/>
      <c r="BA31" s="158">
        <f t="shared" si="36"/>
        <v>0</v>
      </c>
      <c r="BB31" s="158">
        <f t="shared" si="37"/>
        <v>34464.926</v>
      </c>
      <c r="BC31" s="159">
        <f>'[12]Т03-10'!$M$22+'[12]Т03-10'!$M$28+'[12]Т03-10'!$M$52+'[12]Т03-10'!$M$62+'[12]Т03-10'!$M$66+'[12]Т03-10'!$M$67+'[12]Т03-10'!$M$107</f>
        <v>3350.8610000000003</v>
      </c>
      <c r="BD31" s="14">
        <f aca="true" t="shared" si="38" ref="BD31:BD41">AC31+AF31-BB31-BC31</f>
        <v>30666.73785999999</v>
      </c>
      <c r="BE31" s="30">
        <f aca="true" t="shared" si="39" ref="BE31:BE41">AB31-S31</f>
        <v>8361.599999999991</v>
      </c>
    </row>
    <row r="32" spans="1:57" ht="12.75">
      <c r="A32" s="11" t="s">
        <v>47</v>
      </c>
      <c r="B32" s="145">
        <v>6044.2</v>
      </c>
      <c r="C32" s="131">
        <f t="shared" si="23"/>
        <v>52282.33</v>
      </c>
      <c r="D32" s="130">
        <f t="shared" si="24"/>
        <v>4959.699999999994</v>
      </c>
      <c r="E32" s="146">
        <v>4662.05</v>
      </c>
      <c r="F32" s="146">
        <v>800.47</v>
      </c>
      <c r="G32" s="146">
        <v>6313.29</v>
      </c>
      <c r="H32" s="146">
        <v>1085.08</v>
      </c>
      <c r="I32" s="146">
        <v>15171.2</v>
      </c>
      <c r="J32" s="146">
        <v>2605.93</v>
      </c>
      <c r="K32" s="146">
        <v>10509.17</v>
      </c>
      <c r="L32" s="146">
        <v>1805.48</v>
      </c>
      <c r="M32" s="146">
        <v>3729.63</v>
      </c>
      <c r="N32" s="146">
        <v>640.33</v>
      </c>
      <c r="O32" s="146">
        <v>0</v>
      </c>
      <c r="P32" s="147">
        <v>0</v>
      </c>
      <c r="Q32" s="147">
        <v>0</v>
      </c>
      <c r="R32" s="147">
        <v>0</v>
      </c>
      <c r="S32" s="148">
        <f t="shared" si="25"/>
        <v>40385.34</v>
      </c>
      <c r="T32" s="149">
        <f t="shared" si="26"/>
        <v>6937.29</v>
      </c>
      <c r="U32" s="148">
        <v>5216.85</v>
      </c>
      <c r="V32" s="148">
        <v>7064.8</v>
      </c>
      <c r="W32" s="148">
        <v>17086.18</v>
      </c>
      <c r="X32" s="148">
        <v>11759.82</v>
      </c>
      <c r="Y32" s="148">
        <v>4173.44</v>
      </c>
      <c r="Z32" s="150">
        <v>0</v>
      </c>
      <c r="AA32" s="150">
        <v>0</v>
      </c>
      <c r="AB32" s="150">
        <f>SUM(U32:AA32)</f>
        <v>45301.090000000004</v>
      </c>
      <c r="AC32" s="151">
        <f t="shared" si="27"/>
        <v>57198.08</v>
      </c>
      <c r="AD32" s="152">
        <f t="shared" si="28"/>
        <v>0</v>
      </c>
      <c r="AE32" s="152">
        <f t="shared" si="29"/>
        <v>0</v>
      </c>
      <c r="AF32" s="152">
        <f>'[12]Т01-10'!$I$22+'[12]Т01-10'!$I$28+'[12]Т01-10'!$I$51+'[12]Т01-10'!$I$61+'[12]Т01-10'!$I$65+'[12]Т01-10'!$I$66+'[12]Т01-10'!$I$106</f>
        <v>7838.59486</v>
      </c>
      <c r="AG32" s="153">
        <f t="shared" si="30"/>
        <v>3626.52</v>
      </c>
      <c r="AH32" s="153">
        <f t="shared" si="31"/>
        <v>1208.84</v>
      </c>
      <c r="AI32" s="153">
        <f t="shared" si="32"/>
        <v>6044.2</v>
      </c>
      <c r="AJ32" s="153">
        <v>0</v>
      </c>
      <c r="AK32" s="153">
        <f t="shared" si="33"/>
        <v>5923.316</v>
      </c>
      <c r="AL32" s="153">
        <v>0</v>
      </c>
      <c r="AM32" s="153">
        <f t="shared" si="34"/>
        <v>13599.449999999999</v>
      </c>
      <c r="AN32" s="153">
        <v>0</v>
      </c>
      <c r="AO32" s="153"/>
      <c r="AP32" s="153"/>
      <c r="AQ32" s="154">
        <v>10628</v>
      </c>
      <c r="AR32" s="154"/>
      <c r="AS32" s="155">
        <v>675</v>
      </c>
      <c r="AT32" s="155"/>
      <c r="AU32" s="155">
        <f>AT32*0.18</f>
        <v>0</v>
      </c>
      <c r="AV32" s="156"/>
      <c r="AW32" s="157">
        <v>1404</v>
      </c>
      <c r="AX32" s="153">
        <f t="shared" si="35"/>
        <v>1965.6</v>
      </c>
      <c r="AY32" s="121"/>
      <c r="AZ32" s="158"/>
      <c r="BA32" s="158">
        <f t="shared" si="36"/>
        <v>0</v>
      </c>
      <c r="BB32" s="158">
        <f t="shared" si="37"/>
        <v>43670.926</v>
      </c>
      <c r="BC32" s="159">
        <f>'[12]Т03-10'!$M$22+'[12]Т03-10'!$M$28+'[12]Т03-10'!$M$52+'[12]Т03-10'!$M$62+'[12]Т03-10'!$M$66+'[12]Т03-10'!$M$67+'[12]Т03-10'!$M$107</f>
        <v>3350.8610000000003</v>
      </c>
      <c r="BD32" s="14">
        <f t="shared" si="38"/>
        <v>18014.88786</v>
      </c>
      <c r="BE32" s="30">
        <f t="shared" si="39"/>
        <v>4915.750000000007</v>
      </c>
    </row>
    <row r="33" spans="1:57" ht="12.75">
      <c r="A33" s="11" t="s">
        <v>48</v>
      </c>
      <c r="B33" s="145">
        <v>6044.2</v>
      </c>
      <c r="C33" s="131">
        <f t="shared" si="23"/>
        <v>52282.33</v>
      </c>
      <c r="D33" s="130">
        <f t="shared" si="24"/>
        <v>4938.089999999994</v>
      </c>
      <c r="E33" s="146">
        <v>4671.33</v>
      </c>
      <c r="F33" s="146">
        <v>793.73</v>
      </c>
      <c r="G33" s="146">
        <v>6325.73</v>
      </c>
      <c r="H33" s="146">
        <v>1075.95</v>
      </c>
      <c r="I33" s="146">
        <v>15201.26</v>
      </c>
      <c r="J33" s="146">
        <v>2584</v>
      </c>
      <c r="K33" s="146">
        <v>10529.95</v>
      </c>
      <c r="L33" s="146">
        <v>1790.28</v>
      </c>
      <c r="M33" s="146">
        <v>3737.06</v>
      </c>
      <c r="N33" s="146">
        <v>634.95</v>
      </c>
      <c r="O33" s="146">
        <v>0</v>
      </c>
      <c r="P33" s="147">
        <v>0</v>
      </c>
      <c r="Q33" s="147"/>
      <c r="R33" s="147"/>
      <c r="S33" s="148">
        <f t="shared" si="25"/>
        <v>40465.33</v>
      </c>
      <c r="T33" s="149">
        <f t="shared" si="26"/>
        <v>6878.91</v>
      </c>
      <c r="U33" s="148">
        <v>4221.05</v>
      </c>
      <c r="V33" s="148">
        <v>5698.44</v>
      </c>
      <c r="W33" s="148">
        <v>13718.35</v>
      </c>
      <c r="X33" s="148">
        <v>9497.34</v>
      </c>
      <c r="Y33" s="148">
        <v>3376.82</v>
      </c>
      <c r="Z33" s="150">
        <v>0</v>
      </c>
      <c r="AA33" s="150">
        <v>0</v>
      </c>
      <c r="AB33" s="150">
        <f>SUM(U33:AA33)</f>
        <v>36512</v>
      </c>
      <c r="AC33" s="151">
        <f t="shared" si="27"/>
        <v>48328.99999999999</v>
      </c>
      <c r="AD33" s="152">
        <f t="shared" si="28"/>
        <v>0</v>
      </c>
      <c r="AE33" s="152">
        <f t="shared" si="29"/>
        <v>0</v>
      </c>
      <c r="AF33" s="152">
        <f>'[13]Т04-10'!$I$22+'[13]Т04-10'!$I$28+'[13]Т04-10'!$I$52+'[13]Т04-10'!$I$62+'[13]Т04-10'!$I$66+'[13]Т04-10'!$I$67+'[13]Т04-10'!$I$107+'[13]Т04-10'!$I$127</f>
        <v>10382.916140000001</v>
      </c>
      <c r="AG33" s="153">
        <f t="shared" si="30"/>
        <v>3626.52</v>
      </c>
      <c r="AH33" s="153">
        <f t="shared" si="31"/>
        <v>1208.84</v>
      </c>
      <c r="AI33" s="153">
        <f t="shared" si="32"/>
        <v>6044.2</v>
      </c>
      <c r="AJ33" s="153">
        <v>0</v>
      </c>
      <c r="AK33" s="153">
        <f t="shared" si="33"/>
        <v>5923.316</v>
      </c>
      <c r="AL33" s="153">
        <v>0</v>
      </c>
      <c r="AM33" s="153">
        <f t="shared" si="34"/>
        <v>13599.449999999999</v>
      </c>
      <c r="AN33" s="153">
        <v>0</v>
      </c>
      <c r="AO33" s="153"/>
      <c r="AP33" s="153"/>
      <c r="AQ33" s="154"/>
      <c r="AR33" s="154"/>
      <c r="AS33" s="155">
        <v>7881</v>
      </c>
      <c r="AT33" s="155">
        <f>500</f>
        <v>500</v>
      </c>
      <c r="AU33" s="155">
        <f>AT33*0</f>
        <v>0</v>
      </c>
      <c r="AV33" s="156"/>
      <c r="AW33" s="157">
        <v>1406</v>
      </c>
      <c r="AX33" s="153">
        <f t="shared" si="35"/>
        <v>1968.3999999999999</v>
      </c>
      <c r="AY33" s="121"/>
      <c r="AZ33" s="158"/>
      <c r="BA33" s="158">
        <f t="shared" si="36"/>
        <v>0</v>
      </c>
      <c r="BB33" s="158">
        <f t="shared" si="37"/>
        <v>40751.726</v>
      </c>
      <c r="BC33" s="159">
        <f>'[14]Т04-10'!$M$22+'[14]Т04-10'!$M$28+'[14]Т04-10'!$M$53+'[14]Т04-10'!$M$63+'[14]Т04-10'!$M$66+'[14]Т04-10'!$M$67+'[14]Т04-10'!$M$107+'[14]Т04-10'!$M$128</f>
        <v>3653.6780000000003</v>
      </c>
      <c r="BD33" s="14">
        <f t="shared" si="38"/>
        <v>14306.512139999992</v>
      </c>
      <c r="BE33" s="30">
        <f t="shared" si="39"/>
        <v>-3953.3300000000017</v>
      </c>
    </row>
    <row r="34" spans="1:57" ht="12.75">
      <c r="A34" s="11" t="s">
        <v>49</v>
      </c>
      <c r="B34" s="145">
        <v>6048.61</v>
      </c>
      <c r="C34" s="131">
        <f t="shared" si="23"/>
        <v>52320.4765</v>
      </c>
      <c r="D34" s="130">
        <f t="shared" si="24"/>
        <v>4927.826499999997</v>
      </c>
      <c r="E34" s="146">
        <v>4680.01</v>
      </c>
      <c r="F34" s="146">
        <v>790.62</v>
      </c>
      <c r="G34" s="146">
        <v>6337.41</v>
      </c>
      <c r="H34" s="146">
        <v>1071.72</v>
      </c>
      <c r="I34" s="146">
        <v>15229.67</v>
      </c>
      <c r="J34" s="146">
        <v>2573.85</v>
      </c>
      <c r="K34" s="146">
        <v>10549.61</v>
      </c>
      <c r="L34" s="146">
        <v>1783.25</v>
      </c>
      <c r="M34" s="146">
        <v>3744.05</v>
      </c>
      <c r="N34" s="146">
        <v>632.46</v>
      </c>
      <c r="O34" s="146">
        <v>0</v>
      </c>
      <c r="P34" s="147">
        <v>0</v>
      </c>
      <c r="Q34" s="147"/>
      <c r="R34" s="147"/>
      <c r="S34" s="148">
        <f t="shared" si="25"/>
        <v>40540.75</v>
      </c>
      <c r="T34" s="149">
        <f t="shared" si="26"/>
        <v>6851.9</v>
      </c>
      <c r="U34" s="139">
        <v>4948.88</v>
      </c>
      <c r="V34" s="139">
        <v>6701.81</v>
      </c>
      <c r="W34" s="139">
        <v>16104.93</v>
      </c>
      <c r="X34" s="139">
        <v>11155.99</v>
      </c>
      <c r="Y34" s="139">
        <v>3959.13</v>
      </c>
      <c r="Z34" s="140">
        <v>0</v>
      </c>
      <c r="AA34" s="140">
        <v>0</v>
      </c>
      <c r="AB34" s="150">
        <f aca="true" t="shared" si="40" ref="AB34:AB41">SUM(U34:AA34)</f>
        <v>42870.74</v>
      </c>
      <c r="AC34" s="151">
        <f t="shared" si="27"/>
        <v>54650.466499999995</v>
      </c>
      <c r="AD34" s="152">
        <f t="shared" si="28"/>
        <v>0</v>
      </c>
      <c r="AE34" s="152">
        <f t="shared" si="29"/>
        <v>0</v>
      </c>
      <c r="AF34" s="152">
        <f>'[14]Т05-10'!$I$22+'[14]Т05-10'!$I$28+'[14]Т05-10'!$I$52+'[14]Т05-10'!$I$62+'[14]Т05-10'!$I$66+'[14]Т05-10'!$I$67+'[14]Т05-10'!$I$107+'[14]Т05-10'!$I$128</f>
        <v>8474.67268</v>
      </c>
      <c r="AG34" s="153">
        <f t="shared" si="30"/>
        <v>3629.1659999999997</v>
      </c>
      <c r="AH34" s="153">
        <f t="shared" si="31"/>
        <v>1209.722</v>
      </c>
      <c r="AI34" s="153">
        <f t="shared" si="32"/>
        <v>6048.61</v>
      </c>
      <c r="AJ34" s="153">
        <v>0</v>
      </c>
      <c r="AK34" s="153">
        <f t="shared" si="33"/>
        <v>5927.6377999999995</v>
      </c>
      <c r="AL34" s="153">
        <v>0</v>
      </c>
      <c r="AM34" s="153">
        <f t="shared" si="34"/>
        <v>13609.3725</v>
      </c>
      <c r="AN34" s="153">
        <v>0</v>
      </c>
      <c r="AO34" s="153"/>
      <c r="AP34" s="153"/>
      <c r="AQ34" s="154"/>
      <c r="AR34" s="154"/>
      <c r="AS34" s="155"/>
      <c r="AT34" s="155"/>
      <c r="AU34" s="155">
        <f>385*0</f>
        <v>0</v>
      </c>
      <c r="AV34" s="156"/>
      <c r="AW34" s="157">
        <v>1335</v>
      </c>
      <c r="AX34" s="153">
        <f t="shared" si="35"/>
        <v>1868.9999999999998</v>
      </c>
      <c r="AY34" s="121"/>
      <c r="AZ34" s="158"/>
      <c r="BA34" s="158">
        <f t="shared" si="36"/>
        <v>0</v>
      </c>
      <c r="BB34" s="158">
        <f t="shared" si="37"/>
        <v>32293.5083</v>
      </c>
      <c r="BC34" s="159">
        <f>'[13]Т05-10'!$M$22+'[13]Т05-10'!$M$28+'[13]Т05-10'!$M$52+'[13]Т05-10'!$M$62+'[13]Т05-10'!$M$66+'[13]Т05-10'!$M$67+'[13]Т05-10'!$M$107+'[13]Т05-10'!$M$128</f>
        <v>3653.6780000000003</v>
      </c>
      <c r="BD34" s="14">
        <f t="shared" si="38"/>
        <v>27177.952879999997</v>
      </c>
      <c r="BE34" s="30">
        <f t="shared" si="39"/>
        <v>2329.989999999998</v>
      </c>
    </row>
    <row r="35" spans="1:57" ht="12.75">
      <c r="A35" s="11" t="s">
        <v>50</v>
      </c>
      <c r="B35" s="145">
        <v>6048.61</v>
      </c>
      <c r="C35" s="131">
        <f t="shared" si="23"/>
        <v>52320.4765</v>
      </c>
      <c r="D35" s="130">
        <f t="shared" si="24"/>
        <v>4962.5165000000015</v>
      </c>
      <c r="E35" s="146">
        <v>4675.95</v>
      </c>
      <c r="F35" s="146">
        <v>790.62</v>
      </c>
      <c r="G35" s="146">
        <v>6332.09</v>
      </c>
      <c r="H35" s="146">
        <v>1071.72</v>
      </c>
      <c r="I35" s="146">
        <v>15216.6</v>
      </c>
      <c r="J35" s="146">
        <v>2573.85</v>
      </c>
      <c r="K35" s="146">
        <v>10540.62</v>
      </c>
      <c r="L35" s="146">
        <v>1783.25</v>
      </c>
      <c r="M35" s="146">
        <v>3740.79</v>
      </c>
      <c r="N35" s="146">
        <v>632.47</v>
      </c>
      <c r="O35" s="146">
        <v>0</v>
      </c>
      <c r="P35" s="147">
        <v>0</v>
      </c>
      <c r="Q35" s="146">
        <v>0</v>
      </c>
      <c r="R35" s="147">
        <v>0</v>
      </c>
      <c r="S35" s="148">
        <f t="shared" si="25"/>
        <v>40506.05</v>
      </c>
      <c r="T35" s="149">
        <f t="shared" si="26"/>
        <v>6851.91</v>
      </c>
      <c r="U35" s="148">
        <v>4226.05</v>
      </c>
      <c r="V35" s="148">
        <v>5722.05</v>
      </c>
      <c r="W35" s="148">
        <v>13751.6</v>
      </c>
      <c r="X35" s="148">
        <v>9525.42</v>
      </c>
      <c r="Y35" s="148">
        <v>3380.85</v>
      </c>
      <c r="Z35" s="150">
        <v>0</v>
      </c>
      <c r="AA35" s="150">
        <v>0</v>
      </c>
      <c r="AB35" s="150">
        <f t="shared" si="40"/>
        <v>36605.97</v>
      </c>
      <c r="AC35" s="151">
        <f t="shared" si="27"/>
        <v>48420.3965</v>
      </c>
      <c r="AD35" s="152">
        <f t="shared" si="28"/>
        <v>0</v>
      </c>
      <c r="AE35" s="152">
        <f t="shared" si="29"/>
        <v>0</v>
      </c>
      <c r="AF35" s="152">
        <f>'[13]Т06-10'!$I$22+'[13]Т06-10'!$I$28+'[13]Т06-10'!$I$52+'[13]Т06-10'!$I$60+'[13]Т06-10'!$I$64+'[13]Т06-10'!$I$65+'[13]Т06-10'!$I$104+'[13]Т06-10'!$I$125</f>
        <v>8474.67268</v>
      </c>
      <c r="AG35" s="153">
        <f t="shared" si="30"/>
        <v>3629.1659999999997</v>
      </c>
      <c r="AH35" s="153">
        <f t="shared" si="31"/>
        <v>1209.722</v>
      </c>
      <c r="AI35" s="153">
        <f t="shared" si="32"/>
        <v>6048.61</v>
      </c>
      <c r="AJ35" s="153">
        <v>0</v>
      </c>
      <c r="AK35" s="153">
        <f t="shared" si="33"/>
        <v>5927.6377999999995</v>
      </c>
      <c r="AL35" s="153">
        <v>0</v>
      </c>
      <c r="AM35" s="153">
        <f t="shared" si="34"/>
        <v>13609.3725</v>
      </c>
      <c r="AN35" s="153">
        <v>0</v>
      </c>
      <c r="AO35" s="153"/>
      <c r="AP35" s="153"/>
      <c r="AQ35" s="154"/>
      <c r="AR35" s="154"/>
      <c r="AS35" s="155">
        <v>3378</v>
      </c>
      <c r="AT35" s="155"/>
      <c r="AU35" s="155">
        <f>AT35*0</f>
        <v>0</v>
      </c>
      <c r="AV35" s="156"/>
      <c r="AW35" s="157">
        <v>804</v>
      </c>
      <c r="AX35" s="153">
        <f t="shared" si="35"/>
        <v>1125.6</v>
      </c>
      <c r="AY35" s="121"/>
      <c r="AZ35" s="158"/>
      <c r="BA35" s="158">
        <f t="shared" si="36"/>
        <v>0</v>
      </c>
      <c r="BB35" s="158">
        <f t="shared" si="37"/>
        <v>34928.1083</v>
      </c>
      <c r="BC35" s="159">
        <f>'[13]Т06-10'!$M$22+'[13]Т06-10'!$M$28+'[13]Т06-10'!$M$52+'[13]Т06-10'!$M$60+'[13]Т06-10'!$M$64+'[13]Т06-10'!$M$65+'[13]Т06-10'!$M$104+'[13]Т06-10'!$M$125</f>
        <v>3653.6780000000003</v>
      </c>
      <c r="BD35" s="14">
        <f t="shared" si="38"/>
        <v>18313.282880000006</v>
      </c>
      <c r="BE35" s="30">
        <f t="shared" si="39"/>
        <v>-3900.0800000000017</v>
      </c>
    </row>
    <row r="36" spans="1:57" ht="12.75">
      <c r="A36" s="11" t="s">
        <v>51</v>
      </c>
      <c r="B36" s="145">
        <v>6048.61</v>
      </c>
      <c r="C36" s="131">
        <f t="shared" si="23"/>
        <v>52320.4765</v>
      </c>
      <c r="D36" s="130">
        <f t="shared" si="24"/>
        <v>4922.216500000003</v>
      </c>
      <c r="E36" s="184">
        <v>5471.32</v>
      </c>
      <c r="F36" s="146">
        <v>0</v>
      </c>
      <c r="G36" s="146">
        <v>7409.98</v>
      </c>
      <c r="H36" s="146">
        <v>0</v>
      </c>
      <c r="I36" s="146">
        <v>17776.3</v>
      </c>
      <c r="J36" s="146">
        <v>29.3</v>
      </c>
      <c r="K36" s="146">
        <v>12334.33</v>
      </c>
      <c r="L36" s="146">
        <v>0</v>
      </c>
      <c r="M36" s="146">
        <v>4377.03</v>
      </c>
      <c r="N36" s="146">
        <v>0</v>
      </c>
      <c r="O36" s="146">
        <v>0</v>
      </c>
      <c r="P36" s="147">
        <v>0</v>
      </c>
      <c r="Q36" s="147"/>
      <c r="R36" s="147"/>
      <c r="S36" s="148">
        <f t="shared" si="25"/>
        <v>47368.96</v>
      </c>
      <c r="T36" s="149">
        <f t="shared" si="26"/>
        <v>29.3</v>
      </c>
      <c r="U36" s="182">
        <v>4425.52</v>
      </c>
      <c r="V36" s="148">
        <v>5992.92</v>
      </c>
      <c r="W36" s="148">
        <v>14587.39</v>
      </c>
      <c r="X36" s="148">
        <v>9976.1</v>
      </c>
      <c r="Y36" s="148">
        <v>3540.48</v>
      </c>
      <c r="Z36" s="150">
        <v>0</v>
      </c>
      <c r="AA36" s="150">
        <v>0</v>
      </c>
      <c r="AB36" s="150">
        <f t="shared" si="40"/>
        <v>38522.41</v>
      </c>
      <c r="AC36" s="151">
        <f t="shared" si="27"/>
        <v>43473.92650000001</v>
      </c>
      <c r="AD36" s="152">
        <f t="shared" si="28"/>
        <v>0</v>
      </c>
      <c r="AE36" s="152">
        <f t="shared" si="29"/>
        <v>0</v>
      </c>
      <c r="AF36" s="152">
        <f>'[14]Т07-10'!$I$21+'[14]Т07-10'!$I$27+'[14]Т07-10'!$I$52+'[14]Т07-10'!$I$60+'[14]Т07-10'!$I$63+'[14]Т07-10'!$I$64+'[14]Т07-10'!$I$103+'[14]Т07-10'!$I$124</f>
        <v>8474.67268</v>
      </c>
      <c r="AG36" s="153">
        <f t="shared" si="30"/>
        <v>3629.1659999999997</v>
      </c>
      <c r="AH36" s="153">
        <f t="shared" si="31"/>
        <v>1209.722</v>
      </c>
      <c r="AI36" s="153">
        <f t="shared" si="32"/>
        <v>6048.61</v>
      </c>
      <c r="AJ36" s="153">
        <v>0</v>
      </c>
      <c r="AK36" s="153">
        <f t="shared" si="33"/>
        <v>5927.6377999999995</v>
      </c>
      <c r="AL36" s="153">
        <v>0</v>
      </c>
      <c r="AM36" s="153">
        <f t="shared" si="34"/>
        <v>13609.3725</v>
      </c>
      <c r="AN36" s="153">
        <v>0</v>
      </c>
      <c r="AO36" s="153"/>
      <c r="AP36" s="153"/>
      <c r="AQ36" s="154"/>
      <c r="AR36" s="154"/>
      <c r="AS36" s="155"/>
      <c r="AT36" s="155"/>
      <c r="AU36" s="155">
        <f>AT36*0.18</f>
        <v>0</v>
      </c>
      <c r="AV36" s="156"/>
      <c r="AW36" s="157">
        <v>1081</v>
      </c>
      <c r="AX36" s="153">
        <f t="shared" si="35"/>
        <v>1513.3999999999999</v>
      </c>
      <c r="AY36" s="121"/>
      <c r="AZ36" s="158"/>
      <c r="BA36" s="158">
        <f t="shared" si="36"/>
        <v>0</v>
      </c>
      <c r="BB36" s="158">
        <f t="shared" si="37"/>
        <v>31937.908300000003</v>
      </c>
      <c r="BC36" s="159">
        <f>'[14]Т07-10'!$M$21+'[14]Т07-10'!$M$27+'[14]Т07-10'!$M$52+'[14]Т07-10'!$M$60+'[14]Т07-10'!$M$63+'[14]Т07-10'!$M$64+'[14]Т07-10'!$M$103+'[14]Т07-10'!$M$124</f>
        <v>3653.6780000000003</v>
      </c>
      <c r="BD36" s="14">
        <f t="shared" si="38"/>
        <v>16357.012880000002</v>
      </c>
      <c r="BE36" s="30">
        <f t="shared" si="39"/>
        <v>-8846.549999999996</v>
      </c>
    </row>
    <row r="37" spans="1:57" ht="12.75">
      <c r="A37" s="11" t="s">
        <v>52</v>
      </c>
      <c r="B37" s="145">
        <v>6048.61</v>
      </c>
      <c r="C37" s="131">
        <f t="shared" si="23"/>
        <v>52320.4765</v>
      </c>
      <c r="D37" s="130">
        <f t="shared" si="24"/>
        <v>4849.076499999999</v>
      </c>
      <c r="E37" s="184">
        <v>5479.93</v>
      </c>
      <c r="F37" s="146">
        <v>0</v>
      </c>
      <c r="G37" s="146">
        <v>7421.17</v>
      </c>
      <c r="H37" s="146">
        <v>0</v>
      </c>
      <c r="I37" s="146">
        <v>17803.84</v>
      </c>
      <c r="J37" s="146">
        <v>29.3</v>
      </c>
      <c r="K37" s="146">
        <v>12353.24</v>
      </c>
      <c r="L37" s="146">
        <v>0</v>
      </c>
      <c r="M37" s="146">
        <v>4383.92</v>
      </c>
      <c r="N37" s="146">
        <v>0</v>
      </c>
      <c r="O37" s="146">
        <v>0</v>
      </c>
      <c r="P37" s="147">
        <v>0</v>
      </c>
      <c r="Q37" s="147"/>
      <c r="R37" s="147"/>
      <c r="S37" s="148">
        <f t="shared" si="25"/>
        <v>47442.1</v>
      </c>
      <c r="T37" s="149">
        <f t="shared" si="26"/>
        <v>29.3</v>
      </c>
      <c r="U37" s="139">
        <v>5515.8</v>
      </c>
      <c r="V37" s="139">
        <v>7468.88</v>
      </c>
      <c r="W37" s="139">
        <v>17855.2</v>
      </c>
      <c r="X37" s="139">
        <v>12433.42</v>
      </c>
      <c r="Y37" s="139">
        <v>4412.61</v>
      </c>
      <c r="Z37" s="140">
        <v>0</v>
      </c>
      <c r="AA37" s="140">
        <v>0</v>
      </c>
      <c r="AB37" s="150">
        <f t="shared" si="40"/>
        <v>47685.91</v>
      </c>
      <c r="AC37" s="151">
        <f t="shared" si="27"/>
        <v>52564.2865</v>
      </c>
      <c r="AD37" s="152">
        <f t="shared" si="28"/>
        <v>0</v>
      </c>
      <c r="AE37" s="152">
        <f t="shared" si="29"/>
        <v>0</v>
      </c>
      <c r="AF37" s="152">
        <f>'[14]Т07-10'!$I$21+'[14]Т07-10'!$I$27+'[14]Т07-10'!$I$52+'[14]Т07-10'!$I$60+'[14]Т07-10'!$I$63+'[14]Т07-10'!$I$64+'[14]Т07-10'!$I$103+'[14]Т07-10'!$I$124</f>
        <v>8474.67268</v>
      </c>
      <c r="AG37" s="153">
        <f t="shared" si="30"/>
        <v>3629.1659999999997</v>
      </c>
      <c r="AH37" s="153">
        <f t="shared" si="31"/>
        <v>1209.722</v>
      </c>
      <c r="AI37" s="153">
        <f t="shared" si="32"/>
        <v>6048.61</v>
      </c>
      <c r="AJ37" s="153">
        <v>0</v>
      </c>
      <c r="AK37" s="153">
        <f t="shared" si="33"/>
        <v>5927.6377999999995</v>
      </c>
      <c r="AL37" s="153">
        <v>0</v>
      </c>
      <c r="AM37" s="153">
        <f t="shared" si="34"/>
        <v>13609.3725</v>
      </c>
      <c r="AN37" s="153">
        <v>0</v>
      </c>
      <c r="AO37" s="153">
        <v>9636.84</v>
      </c>
      <c r="AP37" s="153"/>
      <c r="AQ37" s="154"/>
      <c r="AR37" s="154"/>
      <c r="AS37" s="155"/>
      <c r="AT37" s="155">
        <f>47.8+0.1+282</f>
        <v>329.9</v>
      </c>
      <c r="AU37" s="155">
        <f>0*0.18</f>
        <v>0</v>
      </c>
      <c r="AV37" s="156"/>
      <c r="AW37" s="157">
        <v>907</v>
      </c>
      <c r="AX37" s="153">
        <f t="shared" si="35"/>
        <v>1269.8</v>
      </c>
      <c r="AY37" s="121"/>
      <c r="AZ37" s="158"/>
      <c r="BA37" s="158">
        <f t="shared" si="36"/>
        <v>0</v>
      </c>
      <c r="BB37" s="158">
        <f t="shared" si="37"/>
        <v>41661.0483</v>
      </c>
      <c r="BC37" s="159">
        <f>'[13]Т06-10'!$M$22+'[13]Т06-10'!$M$28+'[13]Т06-10'!$M$52+'[13]Т06-10'!$M$60+'[13]Т06-10'!$M$64+'[13]Т06-10'!$M$65+'[13]Т06-10'!$M$104+'[13]Т06-10'!$M$125</f>
        <v>3653.6780000000003</v>
      </c>
      <c r="BD37" s="14">
        <f t="shared" si="38"/>
        <v>15724.232880000003</v>
      </c>
      <c r="BE37" s="30">
        <f t="shared" si="39"/>
        <v>243.81000000000495</v>
      </c>
    </row>
    <row r="38" spans="1:57" ht="12.75">
      <c r="A38" s="11" t="s">
        <v>53</v>
      </c>
      <c r="B38" s="141">
        <v>6048.61</v>
      </c>
      <c r="C38" s="131">
        <f t="shared" si="23"/>
        <v>52320.4765</v>
      </c>
      <c r="D38" s="130">
        <f t="shared" si="24"/>
        <v>4851.836500000001</v>
      </c>
      <c r="E38" s="146">
        <v>5479.6</v>
      </c>
      <c r="F38" s="146">
        <v>0</v>
      </c>
      <c r="G38" s="146">
        <v>7420.74</v>
      </c>
      <c r="H38" s="146">
        <v>0</v>
      </c>
      <c r="I38" s="146">
        <v>17802.8</v>
      </c>
      <c r="J38" s="146">
        <v>29.3</v>
      </c>
      <c r="K38" s="146">
        <v>12352.54</v>
      </c>
      <c r="L38" s="146">
        <v>0</v>
      </c>
      <c r="M38" s="146">
        <v>4383.66</v>
      </c>
      <c r="N38" s="146">
        <v>0</v>
      </c>
      <c r="O38" s="146">
        <v>0</v>
      </c>
      <c r="P38" s="147">
        <v>0</v>
      </c>
      <c r="Q38" s="147"/>
      <c r="R38" s="147"/>
      <c r="S38" s="148">
        <f t="shared" si="25"/>
        <v>47439.34</v>
      </c>
      <c r="T38" s="149">
        <f t="shared" si="26"/>
        <v>29.3</v>
      </c>
      <c r="U38" s="148">
        <v>5756.02</v>
      </c>
      <c r="V38" s="148">
        <v>7794.54</v>
      </c>
      <c r="W38" s="148">
        <v>18701.44</v>
      </c>
      <c r="X38" s="148">
        <v>12974.83</v>
      </c>
      <c r="Y38" s="148">
        <v>4604.73</v>
      </c>
      <c r="Z38" s="150">
        <v>0</v>
      </c>
      <c r="AA38" s="150">
        <v>0</v>
      </c>
      <c r="AB38" s="150">
        <f t="shared" si="40"/>
        <v>49831.56</v>
      </c>
      <c r="AC38" s="151">
        <f t="shared" si="27"/>
        <v>54712.6965</v>
      </c>
      <c r="AD38" s="152">
        <f t="shared" si="28"/>
        <v>0</v>
      </c>
      <c r="AE38" s="152">
        <f t="shared" si="29"/>
        <v>0</v>
      </c>
      <c r="AF38" s="152">
        <f>'[14]Т07-10'!$I$21+'[14]Т07-10'!$I$27+'[14]Т07-10'!$I$52+'[14]Т07-10'!$I$60+'[14]Т07-10'!$I$63+'[14]Т07-10'!$I$64+'[14]Т07-10'!$I$103+'[14]Т07-10'!$I$124</f>
        <v>8474.67268</v>
      </c>
      <c r="AG38" s="153">
        <f t="shared" si="30"/>
        <v>3629.1659999999997</v>
      </c>
      <c r="AH38" s="153">
        <f t="shared" si="31"/>
        <v>1209.722</v>
      </c>
      <c r="AI38" s="153">
        <f t="shared" si="32"/>
        <v>6048.61</v>
      </c>
      <c r="AJ38" s="153">
        <v>0</v>
      </c>
      <c r="AK38" s="153">
        <f t="shared" si="33"/>
        <v>5927.6377999999995</v>
      </c>
      <c r="AL38" s="153">
        <v>0</v>
      </c>
      <c r="AM38" s="153">
        <f t="shared" si="34"/>
        <v>13609.3725</v>
      </c>
      <c r="AN38" s="153">
        <v>0</v>
      </c>
      <c r="AO38" s="153"/>
      <c r="AP38" s="153"/>
      <c r="AQ38" s="154"/>
      <c r="AR38" s="154"/>
      <c r="AS38" s="155"/>
      <c r="AT38" s="155">
        <f>134+280+546.61+124700.04</f>
        <v>125660.65</v>
      </c>
      <c r="AU38" s="254">
        <f>(546.61)*0.18</f>
        <v>98.3898</v>
      </c>
      <c r="AV38" s="156"/>
      <c r="AW38" s="157">
        <v>1130</v>
      </c>
      <c r="AX38" s="153">
        <f t="shared" si="35"/>
        <v>1582</v>
      </c>
      <c r="AY38" s="121"/>
      <c r="AZ38" s="158"/>
      <c r="BA38" s="158">
        <f t="shared" si="36"/>
        <v>0</v>
      </c>
      <c r="BB38" s="158">
        <f t="shared" si="37"/>
        <v>157765.5481</v>
      </c>
      <c r="BC38" s="159">
        <f>'[13]Т06-10'!$M$22+'[13]Т06-10'!$M$28+'[13]Т06-10'!$M$52+'[13]Т06-10'!$M$60+'[13]Т06-10'!$M$64+'[13]Т06-10'!$M$65+'[13]Т06-10'!$M$104+'[13]Т06-10'!$M$125</f>
        <v>3653.6780000000003</v>
      </c>
      <c r="BD38" s="14">
        <f t="shared" si="38"/>
        <v>-98231.85692000002</v>
      </c>
      <c r="BE38" s="30">
        <f t="shared" si="39"/>
        <v>2392.220000000001</v>
      </c>
    </row>
    <row r="39" spans="1:57" ht="12.75">
      <c r="A39" s="11" t="s">
        <v>41</v>
      </c>
      <c r="B39" s="145">
        <v>6048.61</v>
      </c>
      <c r="C39" s="131">
        <f t="shared" si="23"/>
        <v>52320.4765</v>
      </c>
      <c r="D39" s="130">
        <f t="shared" si="24"/>
        <v>4792.986499999998</v>
      </c>
      <c r="E39" s="126">
        <v>5486.53</v>
      </c>
      <c r="F39" s="126">
        <v>0</v>
      </c>
      <c r="G39" s="126">
        <v>7429.75</v>
      </c>
      <c r="H39" s="126">
        <v>0</v>
      </c>
      <c r="I39" s="126">
        <v>17824.95</v>
      </c>
      <c r="J39" s="126">
        <v>29.3</v>
      </c>
      <c r="K39" s="126">
        <v>12367.77</v>
      </c>
      <c r="L39" s="126">
        <v>0</v>
      </c>
      <c r="M39" s="126">
        <v>4389.19</v>
      </c>
      <c r="N39" s="126">
        <v>0</v>
      </c>
      <c r="O39" s="126">
        <v>0</v>
      </c>
      <c r="P39" s="127">
        <v>0</v>
      </c>
      <c r="Q39" s="127"/>
      <c r="R39" s="127"/>
      <c r="S39" s="148">
        <f t="shared" si="25"/>
        <v>47498.19</v>
      </c>
      <c r="T39" s="149">
        <f t="shared" si="26"/>
        <v>29.3</v>
      </c>
      <c r="U39" s="148">
        <v>5802.25</v>
      </c>
      <c r="V39" s="148">
        <v>7857.11</v>
      </c>
      <c r="W39" s="148">
        <v>18620</v>
      </c>
      <c r="X39" s="148">
        <v>13079.52</v>
      </c>
      <c r="Y39" s="148">
        <v>4641.84</v>
      </c>
      <c r="Z39" s="150">
        <v>0</v>
      </c>
      <c r="AA39" s="150">
        <v>0</v>
      </c>
      <c r="AB39" s="150">
        <f t="shared" si="40"/>
        <v>50000.72</v>
      </c>
      <c r="AC39" s="151">
        <f t="shared" si="27"/>
        <v>54823.0065</v>
      </c>
      <c r="AD39" s="152">
        <f t="shared" si="28"/>
        <v>0</v>
      </c>
      <c r="AE39" s="152">
        <f t="shared" si="29"/>
        <v>0</v>
      </c>
      <c r="AF39" s="152">
        <f>'[14]Т10-10'!$I$21+'[14]Т10-10'!$I$27+'[14]Т10-10'!$I$52+'[14]Т10-10'!$I$60+'[14]Т10-10'!$I$63+'[14]Т10-10'!$I$64+'[14]Т10-10'!$I$104+'[14]Т10-10'!$I$125+150</f>
        <v>8624.67268</v>
      </c>
      <c r="AG39" s="153">
        <f t="shared" si="30"/>
        <v>3629.1659999999997</v>
      </c>
      <c r="AH39" s="153">
        <f t="shared" si="31"/>
        <v>1209.722</v>
      </c>
      <c r="AI39" s="153">
        <f t="shared" si="32"/>
        <v>6048.61</v>
      </c>
      <c r="AJ39" s="153">
        <v>0</v>
      </c>
      <c r="AK39" s="153">
        <f t="shared" si="33"/>
        <v>5927.6377999999995</v>
      </c>
      <c r="AL39" s="153">
        <v>0</v>
      </c>
      <c r="AM39" s="153">
        <f t="shared" si="34"/>
        <v>13609.3725</v>
      </c>
      <c r="AN39" s="153">
        <v>0</v>
      </c>
      <c r="AO39" s="153"/>
      <c r="AP39" s="153"/>
      <c r="AQ39" s="154"/>
      <c r="AR39" s="154"/>
      <c r="AS39" s="155">
        <v>4083</v>
      </c>
      <c r="AT39" s="155">
        <f>1300+84+240</f>
        <v>1624</v>
      </c>
      <c r="AU39" s="155">
        <f>0*0.18</f>
        <v>0</v>
      </c>
      <c r="AV39" s="156"/>
      <c r="AW39" s="157">
        <v>1124</v>
      </c>
      <c r="AX39" s="153">
        <f t="shared" si="35"/>
        <v>1573.6</v>
      </c>
      <c r="AY39" s="121"/>
      <c r="AZ39" s="158"/>
      <c r="BA39" s="158">
        <f>0</f>
        <v>0</v>
      </c>
      <c r="BB39" s="158">
        <f t="shared" si="37"/>
        <v>37705.1083</v>
      </c>
      <c r="BC39" s="159">
        <f>'[14]Т10-10'!$M$21+'[14]Т10-10'!$M$27+'[14]Т10-10'!$M$52+'[14]Т10-10'!$M$60+'[14]Т10-10'!$M$63+'[14]Т10-10'!$M$64+'[14]Т10-10'!$M$104+'[14]Т10-10'!$M$125+37.5</f>
        <v>3691.1780000000003</v>
      </c>
      <c r="BD39" s="14">
        <f t="shared" si="38"/>
        <v>22051.392880000007</v>
      </c>
      <c r="BE39" s="30">
        <f t="shared" si="39"/>
        <v>2502.529999999999</v>
      </c>
    </row>
    <row r="40" spans="1:57" ht="12.75">
      <c r="A40" s="11" t="s">
        <v>42</v>
      </c>
      <c r="B40" s="255">
        <v>6048.11</v>
      </c>
      <c r="C40" s="131">
        <f t="shared" si="23"/>
        <v>52316.1515</v>
      </c>
      <c r="D40" s="130">
        <f t="shared" si="24"/>
        <v>4848.531500000005</v>
      </c>
      <c r="E40" s="146">
        <v>5479.49</v>
      </c>
      <c r="F40" s="146">
        <v>0</v>
      </c>
      <c r="G40" s="146">
        <v>7420.57</v>
      </c>
      <c r="H40" s="146">
        <v>0</v>
      </c>
      <c r="I40" s="146">
        <v>17802.42</v>
      </c>
      <c r="J40" s="146">
        <v>29.3</v>
      </c>
      <c r="K40" s="146">
        <v>12352.27</v>
      </c>
      <c r="L40" s="146">
        <v>0</v>
      </c>
      <c r="M40" s="146">
        <v>4383.57</v>
      </c>
      <c r="N40" s="146">
        <v>0</v>
      </c>
      <c r="O40" s="146">
        <v>0</v>
      </c>
      <c r="P40" s="147">
        <v>0</v>
      </c>
      <c r="Q40" s="147"/>
      <c r="R40" s="147"/>
      <c r="S40" s="148">
        <f t="shared" si="25"/>
        <v>47438.32</v>
      </c>
      <c r="T40" s="149">
        <f t="shared" si="26"/>
        <v>29.3</v>
      </c>
      <c r="U40" s="182">
        <v>4516.02</v>
      </c>
      <c r="V40" s="148">
        <v>6116.46</v>
      </c>
      <c r="W40" s="148">
        <v>16347.72</v>
      </c>
      <c r="X40" s="148">
        <v>10180.87</v>
      </c>
      <c r="Y40" s="148">
        <v>3612.74</v>
      </c>
      <c r="Z40" s="150">
        <v>0</v>
      </c>
      <c r="AA40" s="150">
        <v>0</v>
      </c>
      <c r="AB40" s="150">
        <f t="shared" si="40"/>
        <v>40773.81</v>
      </c>
      <c r="AC40" s="151">
        <f t="shared" si="27"/>
        <v>45651.641500000005</v>
      </c>
      <c r="AD40" s="152">
        <f t="shared" si="28"/>
        <v>0</v>
      </c>
      <c r="AE40" s="152">
        <f t="shared" si="29"/>
        <v>0</v>
      </c>
      <c r="AF40" s="152">
        <f>'[14]Т11'!$I$21+'[14]Т11'!$I$27+'[14]Т11'!$I$52+'[14]Т11'!$I$60+'[14]Т11'!$I$63+'[14]Т11'!$I$64+'[14]Т11'!$I$103+'[14]Т11'!$I$124+150</f>
        <v>8624.67268</v>
      </c>
      <c r="AG40" s="153">
        <f t="shared" si="30"/>
        <v>3628.8659999999995</v>
      </c>
      <c r="AH40" s="153">
        <f t="shared" si="31"/>
        <v>1209.622</v>
      </c>
      <c r="AI40" s="153">
        <f t="shared" si="32"/>
        <v>6048.11</v>
      </c>
      <c r="AJ40" s="153">
        <v>0</v>
      </c>
      <c r="AK40" s="153">
        <f t="shared" si="33"/>
        <v>5927.1478</v>
      </c>
      <c r="AL40" s="153">
        <v>0</v>
      </c>
      <c r="AM40" s="153">
        <f t="shared" si="34"/>
        <v>13608.2475</v>
      </c>
      <c r="AN40" s="153">
        <v>0</v>
      </c>
      <c r="AO40" s="153"/>
      <c r="AP40" s="153"/>
      <c r="AQ40" s="154"/>
      <c r="AR40" s="154"/>
      <c r="AS40" s="155">
        <v>3223</v>
      </c>
      <c r="AT40" s="155"/>
      <c r="AU40" s="155">
        <f>0*0.18</f>
        <v>0</v>
      </c>
      <c r="AV40" s="156"/>
      <c r="AW40" s="157">
        <v>1554</v>
      </c>
      <c r="AX40" s="153">
        <f t="shared" si="35"/>
        <v>2175.6</v>
      </c>
      <c r="AY40" s="121"/>
      <c r="AZ40" s="158"/>
      <c r="BA40" s="158">
        <v>0</v>
      </c>
      <c r="BB40" s="158">
        <f t="shared" si="37"/>
        <v>35820.59329999999</v>
      </c>
      <c r="BC40" s="159">
        <f>'[14]Т11'!$M$21+'[14]Т11'!$M$27+'[14]Т11'!$M$52+'[14]Т11'!$M$60+'[14]Т11'!$M$63+'[14]Т11'!$M$64+'[14]Т11'!$M$103+'[14]Т11'!$M$124+37.5</f>
        <v>3691.1780000000003</v>
      </c>
      <c r="BD40" s="14">
        <f t="shared" si="38"/>
        <v>14764.542880000008</v>
      </c>
      <c r="BE40" s="30">
        <f t="shared" si="39"/>
        <v>-6664.510000000002</v>
      </c>
    </row>
    <row r="41" spans="1:57" ht="12.75">
      <c r="A41" s="11" t="s">
        <v>43</v>
      </c>
      <c r="B41" s="145">
        <v>6048.11</v>
      </c>
      <c r="C41" s="131">
        <f t="shared" si="23"/>
        <v>52316.1515</v>
      </c>
      <c r="D41" s="130">
        <f t="shared" si="24"/>
        <v>4771.7414999999955</v>
      </c>
      <c r="E41" s="146">
        <v>5488.55</v>
      </c>
      <c r="F41" s="146">
        <v>0</v>
      </c>
      <c r="G41" s="146">
        <v>7432.33</v>
      </c>
      <c r="H41" s="146">
        <v>0</v>
      </c>
      <c r="I41" s="146">
        <v>17831.34</v>
      </c>
      <c r="J41" s="146">
        <v>29.3</v>
      </c>
      <c r="K41" s="146">
        <v>12372.09</v>
      </c>
      <c r="L41" s="146">
        <v>0</v>
      </c>
      <c r="M41" s="146">
        <v>4390.8</v>
      </c>
      <c r="N41" s="146">
        <v>0</v>
      </c>
      <c r="O41" s="146">
        <v>0</v>
      </c>
      <c r="P41" s="147">
        <v>0</v>
      </c>
      <c r="Q41" s="147"/>
      <c r="R41" s="147"/>
      <c r="S41" s="148">
        <f t="shared" si="25"/>
        <v>47515.11</v>
      </c>
      <c r="T41" s="149">
        <f t="shared" si="26"/>
        <v>29.3</v>
      </c>
      <c r="U41" s="148">
        <v>6355.8</v>
      </c>
      <c r="V41" s="148">
        <v>8606.01</v>
      </c>
      <c r="W41" s="148">
        <v>20709.89</v>
      </c>
      <c r="X41" s="148">
        <v>14326.47</v>
      </c>
      <c r="Y41" s="148">
        <v>5084.61</v>
      </c>
      <c r="Z41" s="150">
        <v>0</v>
      </c>
      <c r="AA41" s="150">
        <v>0</v>
      </c>
      <c r="AB41" s="150">
        <f t="shared" si="40"/>
        <v>55082.78</v>
      </c>
      <c r="AC41" s="151">
        <f t="shared" si="27"/>
        <v>59883.82149999999</v>
      </c>
      <c r="AD41" s="152">
        <f t="shared" si="28"/>
        <v>0</v>
      </c>
      <c r="AE41" s="152">
        <f t="shared" si="29"/>
        <v>0</v>
      </c>
      <c r="AF41" s="152">
        <f>'[14]Т11'!$I$21+'[14]Т11'!$I$27+'[14]Т11'!$I$52+'[14]Т11'!$I$60+'[14]Т11'!$I$63+'[14]Т11'!$I$64+'[14]Т11'!$I$103+'[14]Т11'!$I$124+150</f>
        <v>8624.67268</v>
      </c>
      <c r="AG41" s="153">
        <f t="shared" si="30"/>
        <v>3628.8659999999995</v>
      </c>
      <c r="AH41" s="153">
        <f t="shared" si="31"/>
        <v>1209.622</v>
      </c>
      <c r="AI41" s="153">
        <f t="shared" si="32"/>
        <v>6048.11</v>
      </c>
      <c r="AJ41" s="153">
        <v>0</v>
      </c>
      <c r="AK41" s="153">
        <f t="shared" si="33"/>
        <v>5927.1478</v>
      </c>
      <c r="AL41" s="153">
        <v>0</v>
      </c>
      <c r="AM41" s="153">
        <f t="shared" si="34"/>
        <v>13608.2475</v>
      </c>
      <c r="AN41" s="153">
        <v>0</v>
      </c>
      <c r="AO41" s="153"/>
      <c r="AP41" s="153"/>
      <c r="AQ41" s="154"/>
      <c r="AR41" s="154"/>
      <c r="AS41" s="155">
        <v>6502</v>
      </c>
      <c r="AT41" s="155">
        <f>12000+12000+948+147.46+98.31+4491.53+3207.63+491.53+417.63-0.02</f>
        <v>33802.07</v>
      </c>
      <c r="AU41" s="155">
        <f>(147.46+98.31+4491.53+3207.63+491.53+417.63)*0.18+20791.12</f>
        <v>22384.8562</v>
      </c>
      <c r="AV41" s="156"/>
      <c r="AW41" s="157">
        <v>2101</v>
      </c>
      <c r="AX41" s="153">
        <f t="shared" si="35"/>
        <v>2941.3999999999996</v>
      </c>
      <c r="AY41" s="121"/>
      <c r="AZ41" s="158"/>
      <c r="BA41" s="158">
        <v>0</v>
      </c>
      <c r="BB41" s="158">
        <f t="shared" si="37"/>
        <v>96052.31949999998</v>
      </c>
      <c r="BC41" s="159">
        <f>'[14]Т11'!$M$21+'[14]Т11'!$M$27+'[14]Т11'!$M$52+'[14]Т11'!$M$60+'[14]Т11'!$M$63+'[14]Т11'!$M$64+'[14]Т11'!$M$103+'[14]Т11'!$M$124+37.5</f>
        <v>3691.1780000000003</v>
      </c>
      <c r="BD41" s="14">
        <f t="shared" si="38"/>
        <v>-31235.00331999999</v>
      </c>
      <c r="BE41" s="30">
        <f t="shared" si="39"/>
        <v>7567.669999999998</v>
      </c>
    </row>
    <row r="42" spans="1:57" s="20" customFormat="1" ht="12.75">
      <c r="A42" s="17" t="s">
        <v>5</v>
      </c>
      <c r="B42" s="60"/>
      <c r="C42" s="60">
        <f aca="true" t="shared" si="41" ref="C42:AU42">SUM(C30:C41)</f>
        <v>627684.482</v>
      </c>
      <c r="D42" s="60">
        <f t="shared" si="41"/>
        <v>60632.58200000001</v>
      </c>
      <c r="E42" s="57">
        <f t="shared" si="41"/>
        <v>60727.26</v>
      </c>
      <c r="F42" s="57">
        <f t="shared" si="41"/>
        <v>4729.66</v>
      </c>
      <c r="G42" s="57">
        <f t="shared" si="41"/>
        <v>82238.18000000001</v>
      </c>
      <c r="H42" s="57">
        <f t="shared" si="41"/>
        <v>6411.31</v>
      </c>
      <c r="I42" s="57">
        <f t="shared" si="41"/>
        <v>197445.24000000002</v>
      </c>
      <c r="J42" s="57">
        <f t="shared" si="41"/>
        <v>15573.229999999996</v>
      </c>
      <c r="K42" s="57">
        <f t="shared" si="41"/>
        <v>136893.99000000002</v>
      </c>
      <c r="L42" s="57">
        <f t="shared" si="41"/>
        <v>10667.86</v>
      </c>
      <c r="M42" s="57">
        <f t="shared" si="41"/>
        <v>48581.66000000001</v>
      </c>
      <c r="N42" s="57">
        <f t="shared" si="41"/>
        <v>3783.51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525886.33</v>
      </c>
      <c r="T42" s="57">
        <f t="shared" si="41"/>
        <v>41165.57000000002</v>
      </c>
      <c r="U42" s="61">
        <f t="shared" si="41"/>
        <v>60380.100000000006</v>
      </c>
      <c r="V42" s="61">
        <f t="shared" si="41"/>
        <v>81745.76999999999</v>
      </c>
      <c r="W42" s="61">
        <f t="shared" si="41"/>
        <v>198057.5</v>
      </c>
      <c r="X42" s="61">
        <f t="shared" si="41"/>
        <v>136088.91999999998</v>
      </c>
      <c r="Y42" s="61">
        <f t="shared" si="41"/>
        <v>48303.91999999999</v>
      </c>
      <c r="Z42" s="61">
        <f t="shared" si="41"/>
        <v>0</v>
      </c>
      <c r="AA42" s="61">
        <f t="shared" si="41"/>
        <v>0</v>
      </c>
      <c r="AB42" s="61">
        <f t="shared" si="41"/>
        <v>524576.21</v>
      </c>
      <c r="AC42" s="61">
        <f t="shared" si="41"/>
        <v>626374.362</v>
      </c>
      <c r="AD42" s="61">
        <f t="shared" si="41"/>
        <v>0</v>
      </c>
      <c r="AE42" s="100">
        <f t="shared" si="41"/>
        <v>0</v>
      </c>
      <c r="AF42" s="100">
        <f t="shared" si="41"/>
        <v>102146.08216000002</v>
      </c>
      <c r="AG42" s="18">
        <f t="shared" si="41"/>
        <v>43538.808000000005</v>
      </c>
      <c r="AH42" s="18">
        <f t="shared" si="41"/>
        <v>14512.935999999998</v>
      </c>
      <c r="AI42" s="18">
        <f t="shared" si="41"/>
        <v>72564.68</v>
      </c>
      <c r="AJ42" s="18">
        <f t="shared" si="41"/>
        <v>0</v>
      </c>
      <c r="AK42" s="18">
        <f t="shared" si="41"/>
        <v>71113.38639999999</v>
      </c>
      <c r="AL42" s="18">
        <f t="shared" si="41"/>
        <v>0</v>
      </c>
      <c r="AM42" s="18">
        <f t="shared" si="41"/>
        <v>163270.53</v>
      </c>
      <c r="AN42" s="18">
        <f t="shared" si="41"/>
        <v>0</v>
      </c>
      <c r="AO42" s="18">
        <f t="shared" si="41"/>
        <v>9636.84</v>
      </c>
      <c r="AP42" s="18">
        <f t="shared" si="41"/>
        <v>0</v>
      </c>
      <c r="AQ42" s="18">
        <f t="shared" si="41"/>
        <v>10628</v>
      </c>
      <c r="AR42" s="18">
        <f t="shared" si="41"/>
        <v>0</v>
      </c>
      <c r="AS42" s="18">
        <f t="shared" si="41"/>
        <v>27601</v>
      </c>
      <c r="AT42" s="18">
        <f t="shared" si="41"/>
        <v>161916.62</v>
      </c>
      <c r="AU42" s="18">
        <f t="shared" si="41"/>
        <v>22483.246</v>
      </c>
      <c r="AV42" s="18"/>
      <c r="AW42" s="18"/>
      <c r="AX42" s="18">
        <f aca="true" t="shared" si="42" ref="AX42:BE42">SUM(AX30:AX41)</f>
        <v>22815.799999999996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620081.8464</v>
      </c>
      <c r="BC42" s="18">
        <f t="shared" si="42"/>
        <v>43048.185000000005</v>
      </c>
      <c r="BD42" s="18">
        <f t="shared" si="42"/>
        <v>65390.41275999996</v>
      </c>
      <c r="BE42" s="19">
        <f t="shared" si="42"/>
        <v>-1310.1200000000026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1417177.767</v>
      </c>
      <c r="D44" s="23">
        <f t="shared" si="43"/>
        <v>165923.45975430007</v>
      </c>
      <c r="E44" s="50">
        <f t="shared" si="43"/>
        <v>129914.6</v>
      </c>
      <c r="F44" s="50">
        <f t="shared" si="43"/>
        <v>16187.34</v>
      </c>
      <c r="G44" s="50">
        <f t="shared" si="43"/>
        <v>172256.11000000002</v>
      </c>
      <c r="H44" s="50">
        <f t="shared" si="43"/>
        <v>21327.64</v>
      </c>
      <c r="I44" s="50">
        <f t="shared" si="43"/>
        <v>417491.70000000007</v>
      </c>
      <c r="J44" s="50">
        <f t="shared" si="43"/>
        <v>52034.38</v>
      </c>
      <c r="K44" s="50">
        <f t="shared" si="43"/>
        <v>289330.95</v>
      </c>
      <c r="L44" s="50">
        <f t="shared" si="43"/>
        <v>35920.979999999996</v>
      </c>
      <c r="M44" s="50">
        <f t="shared" si="43"/>
        <v>102725.73000000001</v>
      </c>
      <c r="N44" s="50">
        <f t="shared" si="43"/>
        <v>12749.819999999998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1111719.0899999999</v>
      </c>
      <c r="T44" s="50">
        <f t="shared" si="43"/>
        <v>138220.16000000003</v>
      </c>
      <c r="U44" s="53">
        <f t="shared" si="43"/>
        <v>122543.64000000001</v>
      </c>
      <c r="V44" s="53">
        <f t="shared" si="43"/>
        <v>165801.14</v>
      </c>
      <c r="W44" s="53">
        <f t="shared" si="43"/>
        <v>400222.65</v>
      </c>
      <c r="X44" s="53">
        <f t="shared" si="43"/>
        <v>276090.50999999995</v>
      </c>
      <c r="Y44" s="53">
        <f t="shared" si="43"/>
        <v>98034.76999999999</v>
      </c>
      <c r="Z44" s="53">
        <f t="shared" si="43"/>
        <v>0</v>
      </c>
      <c r="AA44" s="53">
        <f t="shared" si="43"/>
        <v>0</v>
      </c>
      <c r="AB44" s="53">
        <f t="shared" si="43"/>
        <v>1062692.71</v>
      </c>
      <c r="AC44" s="53">
        <f t="shared" si="43"/>
        <v>1366836.3297543</v>
      </c>
      <c r="AD44" s="53">
        <f t="shared" si="43"/>
        <v>0</v>
      </c>
      <c r="AE44" s="53">
        <f t="shared" si="43"/>
        <v>0</v>
      </c>
      <c r="AF44" s="53">
        <f t="shared" si="43"/>
        <v>171287.85872000002</v>
      </c>
      <c r="AG44" s="23">
        <f t="shared" si="43"/>
        <v>96840.906</v>
      </c>
      <c r="AH44" s="23">
        <f t="shared" si="43"/>
        <v>32451.138379199998</v>
      </c>
      <c r="AI44" s="23">
        <f t="shared" si="43"/>
        <v>147299.29724415</v>
      </c>
      <c r="AJ44" s="23">
        <f t="shared" si="43"/>
        <v>13452.231103946999</v>
      </c>
      <c r="AK44" s="23">
        <f t="shared" si="43"/>
        <v>146790.78063773998</v>
      </c>
      <c r="AL44" s="23">
        <f t="shared" si="43"/>
        <v>13621.9309627932</v>
      </c>
      <c r="AM44" s="23">
        <f t="shared" si="43"/>
        <v>328889.25103959395</v>
      </c>
      <c r="AN44" s="23">
        <f t="shared" si="43"/>
        <v>29811.36978712691</v>
      </c>
      <c r="AO44" s="23">
        <f t="shared" si="43"/>
        <v>9636.84</v>
      </c>
      <c r="AP44" s="23">
        <f t="shared" si="43"/>
        <v>0</v>
      </c>
      <c r="AQ44" s="23">
        <f t="shared" si="43"/>
        <v>33479.032999999996</v>
      </c>
      <c r="AR44" s="23">
        <f t="shared" si="43"/>
        <v>4113.185939999999</v>
      </c>
      <c r="AS44" s="23">
        <f t="shared" si="43"/>
        <v>107485.01000000001</v>
      </c>
      <c r="AT44" s="23">
        <f t="shared" si="43"/>
        <v>171515.02</v>
      </c>
      <c r="AU44" s="23">
        <f t="shared" si="43"/>
        <v>38590.0898</v>
      </c>
      <c r="AV44" s="23"/>
      <c r="AW44" s="23"/>
      <c r="AX44" s="23">
        <f aca="true" t="shared" si="44" ref="AX44:BE44">AX28+AX42</f>
        <v>46391.826799999995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1220367.9106945512</v>
      </c>
      <c r="BC44" s="23">
        <f t="shared" si="44"/>
        <v>71229.27099840101</v>
      </c>
      <c r="BD44" s="23">
        <f t="shared" si="44"/>
        <v>246527.00678134803</v>
      </c>
      <c r="BE44" s="24">
        <f t="shared" si="44"/>
        <v>-49026.38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C10">
      <selection activeCell="G57" sqref="G57"/>
    </sheetView>
  </sheetViews>
  <sheetFormatPr defaultColWidth="9.00390625" defaultRowHeight="12.75"/>
  <cols>
    <col min="1" max="1" width="10.00390625" style="2" customWidth="1"/>
    <col min="2" max="2" width="9.875" style="2" customWidth="1"/>
    <col min="3" max="3" width="12.125" style="2" customWidth="1"/>
    <col min="4" max="4" width="10.00390625" style="2" customWidth="1"/>
    <col min="5" max="5" width="11.875" style="2" customWidth="1"/>
    <col min="6" max="6" width="9.875" style="2" customWidth="1"/>
    <col min="7" max="7" width="11.375" style="2" customWidth="1"/>
    <col min="8" max="8" width="11.75390625" style="2" customWidth="1"/>
    <col min="9" max="9" width="9.87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2.00390625" style="2" customWidth="1"/>
    <col min="16" max="16" width="10.25390625" style="2" customWidth="1"/>
    <col min="17" max="17" width="10.75390625" style="2" customWidth="1"/>
    <col min="18" max="18" width="10.875" style="2" customWidth="1"/>
    <col min="19" max="16384" width="9.125" style="2" customWidth="1"/>
  </cols>
  <sheetData>
    <row r="1" spans="2:8" ht="20.25" customHeight="1">
      <c r="B1" s="351" t="s">
        <v>55</v>
      </c>
      <c r="C1" s="351"/>
      <c r="D1" s="351"/>
      <c r="E1" s="351"/>
      <c r="F1" s="351"/>
      <c r="G1" s="351"/>
      <c r="H1" s="351"/>
    </row>
    <row r="2" spans="2:8" ht="21" customHeight="1">
      <c r="B2" s="351" t="s">
        <v>56</v>
      </c>
      <c r="C2" s="351"/>
      <c r="D2" s="351"/>
      <c r="E2" s="351"/>
      <c r="F2" s="351"/>
      <c r="G2" s="351"/>
      <c r="H2" s="351"/>
    </row>
    <row r="5" spans="1:17" ht="12.75">
      <c r="A5" s="353" t="s">
        <v>90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</row>
    <row r="6" spans="1:17" ht="12.75">
      <c r="A6" s="354" t="s">
        <v>93</v>
      </c>
      <c r="B6" s="354"/>
      <c r="C6" s="354"/>
      <c r="D6" s="354"/>
      <c r="E6" s="354"/>
      <c r="F6" s="354"/>
      <c r="G6" s="354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352" t="s">
        <v>57</v>
      </c>
      <c r="B8" s="352"/>
      <c r="C8" s="352"/>
      <c r="D8" s="352"/>
      <c r="E8" s="352">
        <v>8.65</v>
      </c>
      <c r="F8" s="352"/>
    </row>
    <row r="9" spans="1:18" ht="12.75" customHeight="1">
      <c r="A9" s="303" t="s">
        <v>58</v>
      </c>
      <c r="B9" s="328" t="s">
        <v>1</v>
      </c>
      <c r="C9" s="345" t="s">
        <v>59</v>
      </c>
      <c r="D9" s="348" t="s">
        <v>3</v>
      </c>
      <c r="E9" s="337" t="s">
        <v>60</v>
      </c>
      <c r="F9" s="338"/>
      <c r="G9" s="341" t="s">
        <v>61</v>
      </c>
      <c r="H9" s="342"/>
      <c r="I9" s="317" t="str">
        <f>Лист1!AF3</f>
        <v>Доходы по нежил.помещениям</v>
      </c>
      <c r="J9" s="320" t="s">
        <v>10</v>
      </c>
      <c r="K9" s="283"/>
      <c r="L9" s="283"/>
      <c r="M9" s="283"/>
      <c r="N9" s="283"/>
      <c r="O9" s="321"/>
      <c r="P9" s="299" t="s">
        <v>76</v>
      </c>
      <c r="Q9" s="324" t="s">
        <v>62</v>
      </c>
      <c r="R9" s="324" t="s">
        <v>12</v>
      </c>
    </row>
    <row r="10" spans="1:18" ht="12.75">
      <c r="A10" s="304"/>
      <c r="B10" s="329"/>
      <c r="C10" s="346"/>
      <c r="D10" s="349"/>
      <c r="E10" s="339"/>
      <c r="F10" s="340"/>
      <c r="G10" s="343"/>
      <c r="H10" s="344"/>
      <c r="I10" s="318"/>
      <c r="J10" s="322"/>
      <c r="K10" s="266"/>
      <c r="L10" s="266"/>
      <c r="M10" s="266"/>
      <c r="N10" s="266"/>
      <c r="O10" s="323"/>
      <c r="P10" s="300"/>
      <c r="Q10" s="325"/>
      <c r="R10" s="325"/>
    </row>
    <row r="11" spans="1:18" ht="26.25" customHeight="1">
      <c r="A11" s="304"/>
      <c r="B11" s="329"/>
      <c r="C11" s="346"/>
      <c r="D11" s="349"/>
      <c r="E11" s="331" t="s">
        <v>63</v>
      </c>
      <c r="F11" s="332"/>
      <c r="G11" s="89" t="s">
        <v>64</v>
      </c>
      <c r="H11" s="312" t="s">
        <v>7</v>
      </c>
      <c r="I11" s="318"/>
      <c r="J11" s="333" t="s">
        <v>65</v>
      </c>
      <c r="K11" s="335" t="s">
        <v>32</v>
      </c>
      <c r="L11" s="335" t="s">
        <v>66</v>
      </c>
      <c r="M11" s="335" t="s">
        <v>37</v>
      </c>
      <c r="N11" s="335" t="s">
        <v>67</v>
      </c>
      <c r="O11" s="312" t="s">
        <v>39</v>
      </c>
      <c r="P11" s="300"/>
      <c r="Q11" s="325"/>
      <c r="R11" s="325"/>
    </row>
    <row r="12" spans="1:18" ht="66.75" customHeight="1" thickBot="1">
      <c r="A12" s="327"/>
      <c r="B12" s="330"/>
      <c r="C12" s="347"/>
      <c r="D12" s="350"/>
      <c r="E12" s="63" t="s">
        <v>68</v>
      </c>
      <c r="F12" s="67" t="s">
        <v>21</v>
      </c>
      <c r="G12" s="82" t="s">
        <v>69</v>
      </c>
      <c r="H12" s="313"/>
      <c r="I12" s="319"/>
      <c r="J12" s="334"/>
      <c r="K12" s="336"/>
      <c r="L12" s="336"/>
      <c r="M12" s="336"/>
      <c r="N12" s="336"/>
      <c r="O12" s="313"/>
      <c r="P12" s="301"/>
      <c r="Q12" s="326"/>
      <c r="R12" s="326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6086.2</v>
      </c>
      <c r="C15" s="27">
        <f>B15*8.65</f>
        <v>52645.63</v>
      </c>
      <c r="D15" s="28">
        <f>Лист1!D9</f>
        <v>12681.2793544</v>
      </c>
      <c r="E15" s="14">
        <f>Лист1!S9</f>
        <v>37988.08</v>
      </c>
      <c r="F15" s="30">
        <f>Лист1!T9</f>
        <v>6192.330000000001</v>
      </c>
      <c r="G15" s="29">
        <f>Лист1!AB9</f>
        <v>379.01000000000005</v>
      </c>
      <c r="H15" s="30">
        <f>Лист1!AC9</f>
        <v>19252.619354399998</v>
      </c>
      <c r="I15" s="87">
        <f>Лист1!AD9</f>
        <v>0</v>
      </c>
      <c r="J15" s="29">
        <f>Лист1!AG9</f>
        <v>3651.72</v>
      </c>
      <c r="K15" s="14">
        <f>Лист1!AI9+Лист1!AJ9</f>
        <v>6117.3738888</v>
      </c>
      <c r="L15" s="14">
        <f>Лист1!AH9+Лист1!AK9+Лист1!AL9+Лист1!AM9+Лист1!AN9+Лист1!AO9+Лист1!AP9</f>
        <v>21480.59228522</v>
      </c>
      <c r="M15" s="31">
        <f>Лист1!AS9+Лист1!AU9</f>
        <v>5618.629</v>
      </c>
      <c r="N15" s="31">
        <f>Лист1!AX9</f>
        <v>0</v>
      </c>
      <c r="O15" s="30">
        <f>Лист1!BB9</f>
        <v>36868.31517401999</v>
      </c>
      <c r="P15" s="90">
        <f>Лист1!BC9</f>
        <v>0</v>
      </c>
      <c r="Q15" s="75">
        <f>Лист1!BD9</f>
        <v>-17615.695819619992</v>
      </c>
      <c r="R15" s="75">
        <f>Лист1!BE9</f>
        <v>-37609.07</v>
      </c>
    </row>
    <row r="16" spans="1:18" ht="12.75" hidden="1">
      <c r="A16" s="11" t="s">
        <v>42</v>
      </c>
      <c r="B16" s="84">
        <f>Лист1!B10</f>
        <v>6086.2</v>
      </c>
      <c r="C16" s="27">
        <f aca="true" t="shared" si="0" ref="C16:C31">B16*8.65</f>
        <v>52645.63</v>
      </c>
      <c r="D16" s="28">
        <f>Лист1!D10</f>
        <v>12681.2793544</v>
      </c>
      <c r="E16" s="14">
        <f>Лист1!S10</f>
        <v>35878.82</v>
      </c>
      <c r="F16" s="30">
        <f>Лист1!T10</f>
        <v>5893.289999999999</v>
      </c>
      <c r="G16" s="29">
        <f>Лист1!AB10</f>
        <v>30676.41</v>
      </c>
      <c r="H16" s="30">
        <f>Лист1!AC10</f>
        <v>49250.9793544</v>
      </c>
      <c r="I16" s="87">
        <f>Лист1!AD10</f>
        <v>0</v>
      </c>
      <c r="J16" s="29">
        <f>Лист1!AG10</f>
        <v>3651.72</v>
      </c>
      <c r="K16" s="14">
        <f>Лист1!AI10+Лист1!AJ10</f>
        <v>6117.3738888</v>
      </c>
      <c r="L16" s="14">
        <f>Лист1!AH10+Лист1!AK10+Лист1!AL10+Лист1!AM10+Лист1!AN10+Лист1!AO10+Лист1!AP10</f>
        <v>21416.762082819998</v>
      </c>
      <c r="M16" s="31">
        <f>Лист1!AS10+Лист1!AU10</f>
        <v>22989.94</v>
      </c>
      <c r="N16" s="31">
        <f>Лист1!AX10</f>
        <v>0</v>
      </c>
      <c r="O16" s="30">
        <f>Лист1!BB10</f>
        <v>54175.79597162</v>
      </c>
      <c r="P16" s="90">
        <f>Лист1!BC10</f>
        <v>0</v>
      </c>
      <c r="Q16" s="75">
        <f>Лист1!BD10</f>
        <v>-4924.81661722</v>
      </c>
      <c r="R16" s="75">
        <f>Лист1!BE10</f>
        <v>-5202.41</v>
      </c>
    </row>
    <row r="17" spans="1:20" ht="13.5" hidden="1" thickBot="1">
      <c r="A17" s="32" t="s">
        <v>43</v>
      </c>
      <c r="B17" s="84">
        <f>Лист1!B11</f>
        <v>6086.2</v>
      </c>
      <c r="C17" s="33">
        <f t="shared" si="0"/>
        <v>52645.63</v>
      </c>
      <c r="D17" s="28">
        <f>Лист1!D11</f>
        <v>12653.3771705</v>
      </c>
      <c r="E17" s="14">
        <f>Лист1!S11</f>
        <v>36940.71</v>
      </c>
      <c r="F17" s="30">
        <f>Лист1!T11</f>
        <v>5950.570000000001</v>
      </c>
      <c r="G17" s="29">
        <f>Лист1!AB11</f>
        <v>42215.1</v>
      </c>
      <c r="H17" s="30">
        <f>Лист1!AC11</f>
        <v>60819.047170499995</v>
      </c>
      <c r="I17" s="87">
        <f>Лист1!AD11</f>
        <v>0</v>
      </c>
      <c r="J17" s="29">
        <f>Лист1!AG11</f>
        <v>3651.72</v>
      </c>
      <c r="K17" s="14">
        <f>Лист1!AI11+Лист1!AJ11</f>
        <v>6099.575033119999</v>
      </c>
      <c r="L17" s="14">
        <f>Лист1!AH11+Лист1!AK11+Лист1!AL11+Лист1!AM11+Лист1!AN11+Лист1!AO11+Лист1!AP11</f>
        <v>21381.585628126002</v>
      </c>
      <c r="M17" s="31">
        <f>Лист1!AS11+Лист1!AU11</f>
        <v>15328.2</v>
      </c>
      <c r="N17" s="31">
        <f>Лист1!AX11</f>
        <v>0</v>
      </c>
      <c r="O17" s="30">
        <f>Лист1!BB11</f>
        <v>46461.080661246</v>
      </c>
      <c r="P17" s="90">
        <f>Лист1!BC11</f>
        <v>0</v>
      </c>
      <c r="Q17" s="75">
        <f>Лист1!BD11</f>
        <v>14357.966509253994</v>
      </c>
      <c r="R17" s="75">
        <f>Лист1!BE11</f>
        <v>5274.389999999999</v>
      </c>
      <c r="S17" s="1"/>
      <c r="T17" s="1"/>
    </row>
    <row r="18" spans="1:20" s="20" customFormat="1" ht="16.5" customHeight="1" hidden="1" thickBot="1">
      <c r="A18" s="34" t="s">
        <v>5</v>
      </c>
      <c r="B18" s="35"/>
      <c r="C18" s="36">
        <f>SUM(C15:C17)</f>
        <v>157936.88999999998</v>
      </c>
      <c r="D18" s="68">
        <f aca="true" t="shared" si="1" ref="D18:J18">SUM(D15:D17)</f>
        <v>38015.9358793</v>
      </c>
      <c r="E18" s="36">
        <f t="shared" si="1"/>
        <v>110807.60999999999</v>
      </c>
      <c r="F18" s="69">
        <f t="shared" si="1"/>
        <v>18036.19</v>
      </c>
      <c r="G18" s="68">
        <f t="shared" si="1"/>
        <v>73270.51999999999</v>
      </c>
      <c r="H18" s="69">
        <f t="shared" si="1"/>
        <v>129322.64587929999</v>
      </c>
      <c r="I18" s="69">
        <f t="shared" si="1"/>
        <v>0</v>
      </c>
      <c r="J18" s="68">
        <f t="shared" si="1"/>
        <v>10955.16</v>
      </c>
      <c r="K18" s="36">
        <f aca="true" t="shared" si="2" ref="K18:R18">SUM(K15:K17)</f>
        <v>18334.322810719998</v>
      </c>
      <c r="L18" s="36">
        <f t="shared" si="2"/>
        <v>64278.939996165995</v>
      </c>
      <c r="M18" s="36">
        <f t="shared" si="2"/>
        <v>43936.769</v>
      </c>
      <c r="N18" s="36">
        <f t="shared" si="2"/>
        <v>0</v>
      </c>
      <c r="O18" s="69">
        <f t="shared" si="2"/>
        <v>137505.191806886</v>
      </c>
      <c r="P18" s="69">
        <f t="shared" si="2"/>
        <v>0</v>
      </c>
      <c r="Q18" s="76">
        <f t="shared" si="2"/>
        <v>-8182.545927585998</v>
      </c>
      <c r="R18" s="76">
        <f t="shared" si="2"/>
        <v>-37537.09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6085.4</v>
      </c>
      <c r="C20" s="27">
        <f t="shared" si="0"/>
        <v>52638.71</v>
      </c>
      <c r="D20" s="28">
        <f>Лист1!D14</f>
        <v>6579.83875</v>
      </c>
      <c r="E20" s="14">
        <f>Лист1!S14</f>
        <v>37539.11</v>
      </c>
      <c r="F20" s="30">
        <f>Лист1!T14</f>
        <v>5974.959999999999</v>
      </c>
      <c r="G20" s="29">
        <f>Лист1!AB14</f>
        <v>26901.22</v>
      </c>
      <c r="H20" s="30">
        <f>Лист1!AC14</f>
        <v>39456.01875</v>
      </c>
      <c r="I20" s="87">
        <f>Лист1!AF14</f>
        <v>4451.5441</v>
      </c>
      <c r="J20" s="29">
        <f>Лист1!AG14</f>
        <v>3286.116</v>
      </c>
      <c r="K20" s="14">
        <f>Лист1!AI14+Лист1!AJ14</f>
        <v>5291.846325399999</v>
      </c>
      <c r="L20" s="14">
        <f>Лист1!AH14+Лист1!AK14+Лист1!AL14+Лист1!AM14+Лист1!AN14+Лист1!AO14+Лист1!AP14+Лист1!AQ14+Лист1!AR14</f>
        <v>18174.397132208</v>
      </c>
      <c r="M20" s="31">
        <f>Лист1!AS14+Лист1!AT14+Лист1!AU14+Лист1!AZ14+Лист1!BA14</f>
        <v>1117.47</v>
      </c>
      <c r="N20" s="31">
        <f>Лист1!AX14</f>
        <v>0</v>
      </c>
      <c r="O20" s="30">
        <f>Лист1!BB14</f>
        <v>27869.829457608</v>
      </c>
      <c r="P20" s="90">
        <f>Лист1!BC14</f>
        <v>1753.8156321000004</v>
      </c>
      <c r="Q20" s="75">
        <f>Лист1!BD14</f>
        <v>14283.917760292</v>
      </c>
      <c r="R20" s="75">
        <f>Лист1!BE14</f>
        <v>-10637.89</v>
      </c>
      <c r="S20" s="1"/>
      <c r="T20" s="1"/>
    </row>
    <row r="21" spans="1:20" ht="12.75" hidden="1">
      <c r="A21" s="11" t="s">
        <v>46</v>
      </c>
      <c r="B21" s="84">
        <f>Лист1!B15</f>
        <v>6085.1</v>
      </c>
      <c r="C21" s="27">
        <f t="shared" si="0"/>
        <v>52636.115000000005</v>
      </c>
      <c r="D21" s="28">
        <f>Лист1!D15</f>
        <v>6579.514375000001</v>
      </c>
      <c r="E21" s="14">
        <f>Лист1!S15</f>
        <v>37256.71</v>
      </c>
      <c r="F21" s="30">
        <f>Лист1!T15</f>
        <v>6233.64</v>
      </c>
      <c r="G21" s="29">
        <f>Лист1!AB15</f>
        <v>33351.4</v>
      </c>
      <c r="H21" s="30">
        <f>Лист1!AC15</f>
        <v>46164.55437500001</v>
      </c>
      <c r="I21" s="87">
        <f>Лист1!AF15</f>
        <v>4451.5441</v>
      </c>
      <c r="J21" s="29">
        <f>Лист1!AG15</f>
        <v>3285.954</v>
      </c>
      <c r="K21" s="14">
        <f>Лист1!AI15+Лист1!AJ15</f>
        <v>5285.5056898</v>
      </c>
      <c r="L21" s="14">
        <f>Лист1!AH15+Лист1!AK15+Лист1!AL15+Лист1!AM15+Лист1!AN15+Лист1!AO15+Лист1!AP15+Лист1!AQ15+Лист1!AR15</f>
        <v>18199.139881888</v>
      </c>
      <c r="M21" s="31">
        <f>Лист1!AS15+Лист1!AT15+Лист1!AU15+Лист1!AZ15+Лист1!BA15</f>
        <v>12002.96</v>
      </c>
      <c r="N21" s="31">
        <f>Лист1!AX15</f>
        <v>0</v>
      </c>
      <c r="O21" s="30">
        <f>Лист1!BB15</f>
        <v>38773.559571688</v>
      </c>
      <c r="P21" s="90">
        <f>Лист1!BC15</f>
        <v>1756.4520176</v>
      </c>
      <c r="Q21" s="75">
        <f>Лист1!BD15</f>
        <v>10086.086885712008</v>
      </c>
      <c r="R21" s="75">
        <f>Лист1!BE15</f>
        <v>-3905.3099999999977</v>
      </c>
      <c r="S21" s="1"/>
      <c r="T21" s="1"/>
    </row>
    <row r="22" spans="1:20" ht="12.75" hidden="1">
      <c r="A22" s="11" t="s">
        <v>47</v>
      </c>
      <c r="B22" s="84">
        <f>Лист1!B16</f>
        <v>6085.1</v>
      </c>
      <c r="C22" s="27">
        <f t="shared" si="0"/>
        <v>52636.115000000005</v>
      </c>
      <c r="D22" s="28">
        <f>Лист1!D16</f>
        <v>6579.514375000001</v>
      </c>
      <c r="E22" s="14">
        <f>Лист1!S16</f>
        <v>37379.55</v>
      </c>
      <c r="F22" s="30">
        <f>Лист1!T16</f>
        <v>6187.4</v>
      </c>
      <c r="G22" s="29">
        <f>Лист1!AB16</f>
        <v>37222.11</v>
      </c>
      <c r="H22" s="30">
        <f>Лист1!AC16</f>
        <v>49989.024375</v>
      </c>
      <c r="I22" s="87">
        <f>Лист1!AF16</f>
        <v>4451.5441</v>
      </c>
      <c r="J22" s="29">
        <f>Лист1!AG16</f>
        <v>3285.954</v>
      </c>
      <c r="K22" s="14">
        <f>Лист1!AI16+Лист1!AJ16</f>
        <v>5294.67252275</v>
      </c>
      <c r="L22" s="14">
        <f>Лист1!AH16+Лист1!AK16+Лист1!AL16+Лист1!AM16+Лист1!AN16+Лист1!AO16+Лист1!AP16+Лист1!AQ16+Лист1!AR16</f>
        <v>17592.38894216</v>
      </c>
      <c r="M22" s="31">
        <f>Лист1!AS16+Лист1!AT16+Лист1!AU16+Лист1!AZ16+Лист1!BA16</f>
        <v>8412.22</v>
      </c>
      <c r="N22" s="31">
        <f>Лист1!AX16</f>
        <v>0</v>
      </c>
      <c r="O22" s="30">
        <f>Лист1!BB16</f>
        <v>34585.23546491</v>
      </c>
      <c r="P22" s="90">
        <f>Лист1!BC16</f>
        <v>1719.61129955</v>
      </c>
      <c r="Q22" s="75">
        <f>Лист1!BD16</f>
        <v>18135.721710539998</v>
      </c>
      <c r="R22" s="75">
        <f>Лист1!BE16</f>
        <v>-157.44000000000233</v>
      </c>
      <c r="S22" s="1"/>
      <c r="T22" s="1"/>
    </row>
    <row r="23" spans="1:20" ht="12.75" hidden="1">
      <c r="A23" s="11" t="s">
        <v>48</v>
      </c>
      <c r="B23" s="84">
        <f>Лист1!B17</f>
        <v>6085.1</v>
      </c>
      <c r="C23" s="27">
        <f t="shared" si="0"/>
        <v>52636.115000000005</v>
      </c>
      <c r="D23" s="28">
        <f>Лист1!D17</f>
        <v>6579.514375000001</v>
      </c>
      <c r="E23" s="14">
        <f>Лист1!S17</f>
        <v>37249.43</v>
      </c>
      <c r="F23" s="30">
        <f>Лист1!T17</f>
        <v>6169.97</v>
      </c>
      <c r="G23" s="29">
        <f>Лист1!AB17</f>
        <v>36512</v>
      </c>
      <c r="H23" s="30">
        <f>Лист1!AC17</f>
        <v>49261.484375</v>
      </c>
      <c r="I23" s="87">
        <f>Лист1!AF17</f>
        <v>4451.5441</v>
      </c>
      <c r="J23" s="29">
        <f>Лист1!AG17</f>
        <v>3285.954</v>
      </c>
      <c r="K23" s="14">
        <f>Лист1!AI17+Лист1!AJ17</f>
        <v>5452.7376250199995</v>
      </c>
      <c r="L23" s="14">
        <f>Лист1!AH17+Лист1!AK17+Лист1!AL17+Лист1!AM17+Лист1!AN17+Лист1!AO17+Лист1!AP17+Лист1!AQ17+Лист1!AR17</f>
        <v>19718.043060936</v>
      </c>
      <c r="M23" s="31">
        <f>Лист1!AS17+Лист1!AT17+Лист1!AU17+Лист1!AY17+Лист1!AZ17</f>
        <v>3052.9668</v>
      </c>
      <c r="N23" s="31">
        <f>Лист1!AX17-N20-N21-N22</f>
        <v>10263.55</v>
      </c>
      <c r="O23" s="30">
        <f>Лист1!BB17</f>
        <v>41773.251485956</v>
      </c>
      <c r="P23" s="90">
        <f>Лист1!BC17</f>
        <v>1768.6724398000001</v>
      </c>
      <c r="Q23" s="75">
        <f>Лист1!BD17</f>
        <v>10171.104549243995</v>
      </c>
      <c r="R23" s="75">
        <f>Лист1!BE17</f>
        <v>-737.4300000000003</v>
      </c>
      <c r="S23" s="1"/>
      <c r="T23" s="1"/>
    </row>
    <row r="24" spans="1:20" ht="12.75" hidden="1">
      <c r="A24" s="11" t="s">
        <v>49</v>
      </c>
      <c r="B24" s="84">
        <f>Лист1!B18</f>
        <v>6085.1</v>
      </c>
      <c r="C24" s="27">
        <f t="shared" si="0"/>
        <v>52636.115000000005</v>
      </c>
      <c r="D24" s="28">
        <f>Лист1!D18</f>
        <v>4997.465000000015</v>
      </c>
      <c r="E24" s="14">
        <f>Лист1!S18</f>
        <v>40767.45</v>
      </c>
      <c r="F24" s="30">
        <f>Лист1!T18</f>
        <v>6871.200000000001</v>
      </c>
      <c r="G24" s="29">
        <f>Лист1!AB18</f>
        <v>32039.579999999998</v>
      </c>
      <c r="H24" s="30">
        <f>Лист1!AC18</f>
        <v>43908.24500000001</v>
      </c>
      <c r="I24" s="87">
        <f>Лист1!AF18</f>
        <v>4451.5441</v>
      </c>
      <c r="J24" s="29">
        <f>Лист1!AG18</f>
        <v>3651.06</v>
      </c>
      <c r="K24" s="14">
        <f>Лист1!AI18+Лист1!AJ18</f>
        <v>6103.3553</v>
      </c>
      <c r="L24" s="14">
        <f>Лист1!AH18+Лист1!AK18+Лист1!AL18+Лист1!AM18+Лист1!AN18+Лист1!AO18+Лист1!AP18+Лист1!AQ18+Лист1!AR18</f>
        <v>20903.52372</v>
      </c>
      <c r="M24" s="31">
        <f>Лист1!AS18+Лист1!AT18+Лист1!AU18+Лист1!AZ18+Лист1!BA18</f>
        <v>1683.0929999999998</v>
      </c>
      <c r="N24" s="31">
        <f>Лист1!AX18</f>
        <v>1476.2272</v>
      </c>
      <c r="O24" s="30">
        <f>Лист1!BB18</f>
        <v>33817.25922</v>
      </c>
      <c r="P24" s="90">
        <f>Лист1!BC18</f>
        <v>1974.38007393</v>
      </c>
      <c r="Q24" s="75">
        <f>Лист1!BD18</f>
        <v>12568.149806070009</v>
      </c>
      <c r="R24" s="75">
        <f>Лист1!BE18</f>
        <v>-8727.869999999999</v>
      </c>
      <c r="S24" s="1"/>
      <c r="T24" s="1"/>
    </row>
    <row r="25" spans="1:20" ht="12.75" hidden="1">
      <c r="A25" s="11" t="s">
        <v>50</v>
      </c>
      <c r="B25" s="84">
        <f>Лист1!B19</f>
        <v>6085.1</v>
      </c>
      <c r="C25" s="27">
        <f t="shared" si="0"/>
        <v>52636.115000000005</v>
      </c>
      <c r="D25" s="28">
        <f>Лист1!D19</f>
        <v>5006.2050000000145</v>
      </c>
      <c r="E25" s="14">
        <f>Лист1!S19</f>
        <v>40758.71000000001</v>
      </c>
      <c r="F25" s="30">
        <f>Лист1!T19</f>
        <v>6871.200000000001</v>
      </c>
      <c r="G25" s="29">
        <f>Лист1!AB19</f>
        <v>36014.13</v>
      </c>
      <c r="H25" s="30">
        <f>Лист1!AC19</f>
        <v>47891.53500000001</v>
      </c>
      <c r="I25" s="87">
        <f>Лист1!AF19</f>
        <v>4094.935032</v>
      </c>
      <c r="J25" s="29">
        <f>Лист1!AG19</f>
        <v>3651.06</v>
      </c>
      <c r="K25" s="14">
        <f>Лист1!AI19+Лист1!AJ19</f>
        <v>6103.3671</v>
      </c>
      <c r="L25" s="14">
        <f>Лист1!AH19+Лист1!AK19+Лист1!AL19+Лист1!AM19+Лист1!AN19+Лист1!AO19+Лист1!AP19+Лист1!AQ19+Лист1!AR19</f>
        <v>45993.303979000004</v>
      </c>
      <c r="M25" s="31">
        <f>Лист1!AS19+Лист1!AT19+Лист1!AU19+Лист1!AZ19+Лист1!BA19</f>
        <v>10119.9396</v>
      </c>
      <c r="N25" s="31">
        <f>Лист1!AX19</f>
        <v>1502.6592</v>
      </c>
      <c r="O25" s="30">
        <f>Лист1!BB19</f>
        <v>67370.329879</v>
      </c>
      <c r="P25" s="90">
        <f>Лист1!BC19</f>
        <v>1796.2260480000002</v>
      </c>
      <c r="Q25" s="75">
        <f>Лист1!BD19</f>
        <v>-17180.085894999986</v>
      </c>
      <c r="R25" s="75">
        <f>Лист1!BE19</f>
        <v>-4744.580000000009</v>
      </c>
      <c r="S25" s="1"/>
      <c r="T25" s="1"/>
    </row>
    <row r="26" spans="1:20" ht="12.75" hidden="1">
      <c r="A26" s="11" t="s">
        <v>51</v>
      </c>
      <c r="B26" s="84">
        <f>Лист1!B20</f>
        <v>6085.1</v>
      </c>
      <c r="C26" s="27">
        <f t="shared" si="0"/>
        <v>52636.115000000005</v>
      </c>
      <c r="D26" s="28">
        <f>Лист1!D20</f>
        <v>5492.885000000013</v>
      </c>
      <c r="E26" s="14">
        <f>Лист1!S20</f>
        <v>40272.03</v>
      </c>
      <c r="F26" s="30">
        <f>Лист1!T20</f>
        <v>6871.200000000001</v>
      </c>
      <c r="G26" s="29">
        <f>Лист1!AB20</f>
        <v>51299.899999999994</v>
      </c>
      <c r="H26" s="30">
        <f>Лист1!AC20</f>
        <v>63663.98500000001</v>
      </c>
      <c r="I26" s="87">
        <f>Лист1!AF20</f>
        <v>6009.993168000001</v>
      </c>
      <c r="J26" s="29">
        <f>Лист1!AG20</f>
        <v>3651.06</v>
      </c>
      <c r="K26" s="14">
        <f>Лист1!AI20+Лист1!AJ20</f>
        <v>6016.07731921</v>
      </c>
      <c r="L26" s="14">
        <f>Лист1!AH20+Лист1!AK20+Лист1!AL20+Лист1!AM20+Лист1!AN20+Лист1!AO20+Лист1!AP20+Лист1!AQ20+Лист1!AR20</f>
        <v>20696.089714622</v>
      </c>
      <c r="M26" s="31">
        <f>Лист1!AS20+Лист1!AT20+Лист1!AU20+Лист1!AZ20+Лист1!BA20</f>
        <v>319.4968</v>
      </c>
      <c r="N26" s="31">
        <f>Лист1!AX20</f>
        <v>1054.6368</v>
      </c>
      <c r="O26" s="30">
        <f>Лист1!BB20</f>
        <v>31737.360633832</v>
      </c>
      <c r="P26" s="90">
        <f>Лист1!BC20</f>
        <v>2621.470855296</v>
      </c>
      <c r="Q26" s="75">
        <f>Лист1!BD20</f>
        <v>35315.146678872006</v>
      </c>
      <c r="R26" s="75">
        <f>Лист1!BE20</f>
        <v>11027.869999999995</v>
      </c>
      <c r="S26" s="1"/>
      <c r="T26" s="1"/>
    </row>
    <row r="27" spans="1:20" ht="12.75" hidden="1">
      <c r="A27" s="11" t="s">
        <v>52</v>
      </c>
      <c r="B27" s="84">
        <f>Лист1!B21</f>
        <v>6085.1</v>
      </c>
      <c r="C27" s="27">
        <f t="shared" si="0"/>
        <v>52636.115000000005</v>
      </c>
      <c r="D27" s="28">
        <f>Лист1!D21</f>
        <v>5006.515000000007</v>
      </c>
      <c r="E27" s="14">
        <f>Лист1!S21</f>
        <v>40777.770000000004</v>
      </c>
      <c r="F27" s="30">
        <f>Лист1!T21</f>
        <v>6851.83</v>
      </c>
      <c r="G27" s="29">
        <f>Лист1!AB21</f>
        <v>37308.67</v>
      </c>
      <c r="H27" s="30">
        <f>Лист1!AC21</f>
        <v>49167.01500000001</v>
      </c>
      <c r="I27" s="87">
        <f>Лист1!AF21</f>
        <v>5653.3841</v>
      </c>
      <c r="J27" s="29">
        <f>Лист1!AG21</f>
        <v>3651.06</v>
      </c>
      <c r="K27" s="14">
        <f>Лист1!AI21+Лист1!AJ21</f>
        <v>6013.330809325</v>
      </c>
      <c r="L27" s="14">
        <f>Лист1!AH21+Лист1!AK21+Лист1!AL21+Лист1!AM21+Лист1!AN21+Лист1!AO21+Лист1!AP21+Лист1!AQ21+Лист1!AR21</f>
        <v>20691.741302162</v>
      </c>
      <c r="M27" s="31">
        <f>Лист1!AS21+Лист1!AT21+Лист1!AU21+Лист1!AZ21+Лист1!BA21</f>
        <v>2794.24</v>
      </c>
      <c r="N27" s="31">
        <f>Лист1!AX21</f>
        <v>1114.1088</v>
      </c>
      <c r="O27" s="30">
        <f>Лист1!BB21</f>
        <v>34264.48091148701</v>
      </c>
      <c r="P27" s="90">
        <f>Лист1!BC21</f>
        <v>2451.84208605</v>
      </c>
      <c r="Q27" s="75">
        <f>Лист1!BD21</f>
        <v>18104.076102463</v>
      </c>
      <c r="R27" s="75">
        <f>Лист1!BE21</f>
        <v>-3469.100000000006</v>
      </c>
      <c r="S27" s="1"/>
      <c r="T27" s="1"/>
    </row>
    <row r="28" spans="1:20" ht="12.75" hidden="1">
      <c r="A28" s="11" t="s">
        <v>53</v>
      </c>
      <c r="B28" s="84">
        <f>Лист1!B22</f>
        <v>6082.8</v>
      </c>
      <c r="C28" s="27">
        <f t="shared" si="0"/>
        <v>52616.22</v>
      </c>
      <c r="D28" s="28">
        <f>Лист1!D22</f>
        <v>4992.239999999996</v>
      </c>
      <c r="E28" s="14">
        <f>Лист1!S22</f>
        <v>40804.63999999999</v>
      </c>
      <c r="F28" s="30">
        <f>Лист1!T22</f>
        <v>6819.340000000001</v>
      </c>
      <c r="G28" s="29">
        <f>Лист1!AB22</f>
        <v>37477.16</v>
      </c>
      <c r="H28" s="30">
        <f>Лист1!AC22</f>
        <v>49288.740000000005</v>
      </c>
      <c r="I28" s="87">
        <f>Лист1!AF22</f>
        <v>5653.3841</v>
      </c>
      <c r="J28" s="29">
        <f>Лист1!AG22</f>
        <v>3649.68</v>
      </c>
      <c r="K28" s="14">
        <f>Лист1!AI22+Лист1!AJ22</f>
        <v>6010.020757871999</v>
      </c>
      <c r="L28" s="14">
        <f>Лист1!AH22+Лист1!AK22+Лист1!AL22+Лист1!AM22+Лист1!AN22+Лист1!AO22+Лист1!AP22+Лист1!AQ22+Лист1!AR22</f>
        <v>20756.977377312</v>
      </c>
      <c r="M28" s="31">
        <f>Лист1!AS22+Лист1!AT22+Лист1!AU22+Лист1!AZ22+Лист1!BA22</f>
        <v>0</v>
      </c>
      <c r="N28" s="31">
        <f>Лист1!AX22</f>
        <v>1645.392</v>
      </c>
      <c r="O28" s="30">
        <f>Лист1!BB22</f>
        <v>32062.070135183996</v>
      </c>
      <c r="P28" s="90">
        <f>Лист1!BC22</f>
        <v>2466.9439900750003</v>
      </c>
      <c r="Q28" s="75">
        <f>Лист1!BD22</f>
        <v>20413.10997474101</v>
      </c>
      <c r="R28" s="75">
        <f>Лист1!BE22</f>
        <v>-3327.4799999999886</v>
      </c>
      <c r="S28" s="1"/>
      <c r="T28" s="1"/>
    </row>
    <row r="29" spans="1:20" ht="12.75" hidden="1">
      <c r="A29" s="11" t="s">
        <v>41</v>
      </c>
      <c r="B29" s="84">
        <f>Лист1!B23</f>
        <v>6082.8</v>
      </c>
      <c r="C29" s="27">
        <f>B29*8.65</f>
        <v>52616.22</v>
      </c>
      <c r="D29" s="28">
        <f>Лист1!D23</f>
        <v>4992.060000000009</v>
      </c>
      <c r="E29" s="14">
        <f>Лист1!S23</f>
        <v>40906.380000000005</v>
      </c>
      <c r="F29" s="30">
        <f>Лист1!T23</f>
        <v>6717.78</v>
      </c>
      <c r="G29" s="29">
        <f>Лист1!AB23</f>
        <v>43327.69</v>
      </c>
      <c r="H29" s="30">
        <f>Лист1!AC23</f>
        <v>55037.53000000001</v>
      </c>
      <c r="I29" s="87">
        <f>Лист1!AF23</f>
        <v>9795.169939999998</v>
      </c>
      <c r="J29" s="29">
        <f>Лист1!AG23</f>
        <v>3649.68</v>
      </c>
      <c r="K29" s="14">
        <f>Лист1!AI23+Лист1!AJ23</f>
        <v>6079.515288</v>
      </c>
      <c r="L29" s="14">
        <f>Лист1!AH23+Лист1!AK23+Лист1!AL23+Лист1!AM23+Лист1!AN23+Лист1!AO23+Лист1!AP23+Лист1!AQ23+Лист1!AR23</f>
        <v>20860.354320000002</v>
      </c>
      <c r="M29" s="31">
        <f>Лист1!AS23+Лист1!AT23+Лист1!AU23+Лист1!AZ23+Лист1!BA23</f>
        <v>5386.5466</v>
      </c>
      <c r="N29" s="31">
        <f>Лист1!AX23</f>
        <v>2078.8768</v>
      </c>
      <c r="O29" s="30">
        <f>Лист1!BB23</f>
        <v>38054.973008</v>
      </c>
      <c r="P29" s="90">
        <f>Лист1!BC23</f>
        <v>3162.004876</v>
      </c>
      <c r="Q29" s="75">
        <f>Лист1!BD23</f>
        <v>23615.722056000013</v>
      </c>
      <c r="R29" s="75">
        <f>Лист1!BE23</f>
        <v>2421.3099999999977</v>
      </c>
      <c r="S29" s="1"/>
      <c r="T29" s="1"/>
    </row>
    <row r="30" spans="1:20" ht="12.75" hidden="1">
      <c r="A30" s="11" t="s">
        <v>42</v>
      </c>
      <c r="B30" s="84">
        <f>Лист1!B24</f>
        <v>6082.8</v>
      </c>
      <c r="C30" s="27">
        <f t="shared" si="0"/>
        <v>52616.22</v>
      </c>
      <c r="D30" s="28">
        <f>Лист1!D24</f>
        <v>4982.610000000008</v>
      </c>
      <c r="E30" s="14">
        <f>Лист1!S24</f>
        <v>40918.61</v>
      </c>
      <c r="F30" s="30">
        <f>Лист1!T24</f>
        <v>6715</v>
      </c>
      <c r="G30" s="29">
        <f>Лист1!AB24</f>
        <v>41935.62</v>
      </c>
      <c r="H30" s="30">
        <f>Лист1!AC24</f>
        <v>53633.23000000001</v>
      </c>
      <c r="I30" s="87">
        <f>Лист1!AF24</f>
        <v>7838.59486</v>
      </c>
      <c r="J30" s="29">
        <f>Лист1!AG24</f>
        <v>3649.68</v>
      </c>
      <c r="K30" s="14">
        <f>Лист1!AI24+Лист1!AJ24</f>
        <v>6101.0484</v>
      </c>
      <c r="L30" s="14">
        <f>Лист1!AH24+Лист1!AK24+Лист1!AL24+Лист1!AM24+Лист1!AN24+Лист1!AO24+Лист1!AP24+Лист1!AQ24+Лист1!AR24</f>
        <v>20883.46896</v>
      </c>
      <c r="M30" s="31">
        <f>Лист1!AS24+Лист1!AT24+Лист1!AU24+Лист1!AZ24+Лист1!BA24</f>
        <v>9647.68</v>
      </c>
      <c r="N30" s="31">
        <f>Лист1!AX24</f>
        <v>2143.6352</v>
      </c>
      <c r="O30" s="30">
        <f>Лист1!BB24</f>
        <v>42425.512559999996</v>
      </c>
      <c r="P30" s="90">
        <f>Лист1!BC24</f>
        <v>3354.83334</v>
      </c>
      <c r="Q30" s="75">
        <f>Лист1!BD24</f>
        <v>15691.478960000011</v>
      </c>
      <c r="R30" s="75">
        <f>Лист1!BE24</f>
        <v>1017.010000000002</v>
      </c>
      <c r="S30" s="1"/>
      <c r="T30" s="1"/>
    </row>
    <row r="31" spans="1:20" ht="13.5" hidden="1" thickBot="1">
      <c r="A31" s="32" t="s">
        <v>43</v>
      </c>
      <c r="B31" s="84">
        <f>Лист1!B25</f>
        <v>6082.8</v>
      </c>
      <c r="C31" s="33">
        <f t="shared" si="0"/>
        <v>52616.22</v>
      </c>
      <c r="D31" s="28">
        <f>Лист1!D25</f>
        <v>5486.580000000005</v>
      </c>
      <c r="E31" s="14">
        <f>Лист1!S25</f>
        <v>40394.759999999995</v>
      </c>
      <c r="F31" s="30">
        <f>Лист1!T25</f>
        <v>6734.88</v>
      </c>
      <c r="G31" s="29">
        <f>Лист1!AB25</f>
        <v>51456.50000000001</v>
      </c>
      <c r="H31" s="30">
        <f>Лист1!AC25</f>
        <v>63677.960000000014</v>
      </c>
      <c r="I31" s="87">
        <f>Лист1!AF25</f>
        <v>7838.59486</v>
      </c>
      <c r="J31" s="29">
        <f>Лист1!AG25</f>
        <v>3649.68</v>
      </c>
      <c r="K31" s="14">
        <f>Лист1!AI25+Лист1!AJ25</f>
        <v>6101.0484</v>
      </c>
      <c r="L31" s="14">
        <f>Лист1!AH25+Лист1!AK25+Лист1!AL25+Лист1!AM25+Лист1!AN25+Лист1!AO25+Лист1!AP25+Лист1!AQ25+Лист1!AR25</f>
        <v>20883.46896</v>
      </c>
      <c r="M31" s="31">
        <f>Лист1!AS25+Лист1!AT25+Лист1!AU25+Лист1!AZ25+Лист1!BA25</f>
        <v>7115.871999999999</v>
      </c>
      <c r="N31" s="31">
        <f>Лист1!AX25</f>
        <v>2296.9408000000003</v>
      </c>
      <c r="O31" s="30">
        <f>Лист1!BB25</f>
        <v>40047.010160000005</v>
      </c>
      <c r="P31" s="90">
        <f>Лист1!BC25</f>
        <v>3354.83334</v>
      </c>
      <c r="Q31" s="75">
        <f>Лист1!BD25</f>
        <v>28114.711360000012</v>
      </c>
      <c r="R31" s="75">
        <f>Лист1!BE25</f>
        <v>11061.740000000013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631556.3949999999</v>
      </c>
      <c r="D32" s="68">
        <f t="shared" si="3"/>
        <v>67274.94187500008</v>
      </c>
      <c r="E32" s="36">
        <f t="shared" si="3"/>
        <v>475025.15</v>
      </c>
      <c r="F32" s="69">
        <f t="shared" si="3"/>
        <v>79018.40000000002</v>
      </c>
      <c r="G32" s="68">
        <f t="shared" si="3"/>
        <v>464845.98000000004</v>
      </c>
      <c r="H32" s="69">
        <f t="shared" si="3"/>
        <v>611139.321875</v>
      </c>
      <c r="I32" s="69">
        <f t="shared" si="3"/>
        <v>69141.77656</v>
      </c>
      <c r="J32" s="68">
        <f t="shared" si="3"/>
        <v>42346.938</v>
      </c>
      <c r="K32" s="36">
        <f t="shared" si="3"/>
        <v>69852.525537377</v>
      </c>
      <c r="L32" s="36">
        <f t="shared" si="3"/>
        <v>265352.897350288</v>
      </c>
      <c r="M32" s="36">
        <f>SUM(M20:M31)</f>
        <v>61652.48479999999</v>
      </c>
      <c r="N32" s="36">
        <f t="shared" si="3"/>
        <v>23576.0268</v>
      </c>
      <c r="O32" s="69">
        <f t="shared" si="3"/>
        <v>462780.87248766504</v>
      </c>
      <c r="P32" s="69">
        <f t="shared" si="3"/>
        <v>28181.085998401002</v>
      </c>
      <c r="Q32" s="76">
        <f>SUM(Q20:Q31)</f>
        <v>189319.13994893405</v>
      </c>
      <c r="R32" s="76">
        <f t="shared" si="3"/>
        <v>-10179.169999999995</v>
      </c>
      <c r="S32" s="72"/>
      <c r="T32" s="72"/>
    </row>
    <row r="33" spans="1:20" ht="13.5" thickBot="1">
      <c r="A33" s="314" t="s">
        <v>94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789493.2849999999</v>
      </c>
      <c r="D34" s="37">
        <f aca="true" t="shared" si="4" ref="D34:R34">D18+D32</f>
        <v>105290.87775430008</v>
      </c>
      <c r="E34" s="38">
        <f t="shared" si="4"/>
        <v>585832.76</v>
      </c>
      <c r="F34" s="39">
        <f t="shared" si="4"/>
        <v>97054.59000000003</v>
      </c>
      <c r="G34" s="37">
        <f t="shared" si="4"/>
        <v>538116.5</v>
      </c>
      <c r="H34" s="39">
        <f t="shared" si="4"/>
        <v>740461.9677543</v>
      </c>
      <c r="I34" s="39">
        <f t="shared" si="4"/>
        <v>69141.77656</v>
      </c>
      <c r="J34" s="37">
        <f t="shared" si="4"/>
        <v>53302.098</v>
      </c>
      <c r="K34" s="38">
        <f t="shared" si="4"/>
        <v>88186.848348097</v>
      </c>
      <c r="L34" s="38">
        <f t="shared" si="4"/>
        <v>329631.837346454</v>
      </c>
      <c r="M34" s="38">
        <f t="shared" si="4"/>
        <v>105589.25379999999</v>
      </c>
      <c r="N34" s="38">
        <f t="shared" si="4"/>
        <v>23576.0268</v>
      </c>
      <c r="O34" s="79">
        <f t="shared" si="4"/>
        <v>600286.064294551</v>
      </c>
      <c r="P34" s="79">
        <f>P18+P32</f>
        <v>28181.085998401002</v>
      </c>
      <c r="Q34" s="78">
        <f>Q18+Q32</f>
        <v>181136.59402134805</v>
      </c>
      <c r="R34" s="78">
        <f t="shared" si="4"/>
        <v>-47716.259999999995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6044.2</v>
      </c>
      <c r="C36" s="27">
        <f aca="true" t="shared" si="5" ref="C36:C47">B36*8.65</f>
        <v>52282.33</v>
      </c>
      <c r="D36" s="28">
        <f>Лист1!D30</f>
        <v>6855.630000000007</v>
      </c>
      <c r="E36" s="14">
        <f>Лист1!S30</f>
        <v>38691.82</v>
      </c>
      <c r="F36" s="30">
        <f>Лист1!T30</f>
        <v>6734.88</v>
      </c>
      <c r="G36" s="29">
        <f>Лист1!AB30</f>
        <v>32432.6</v>
      </c>
      <c r="H36" s="30">
        <f>Лист1!AC30</f>
        <v>46023.11000000001</v>
      </c>
      <c r="I36" s="87">
        <f>Лист1!AF30</f>
        <v>7838.59486</v>
      </c>
      <c r="J36" s="29">
        <f>Лист1!AG30</f>
        <v>3626.52</v>
      </c>
      <c r="K36" s="14">
        <f>Лист1!AI30+Лист1!AJ30</f>
        <v>6044.2</v>
      </c>
      <c r="L36" s="14">
        <f>Лист1!AH30+Лист1!AK30+Лист1!AL30+Лист1!AM30+Лист1!AN30+Лист1!AO30+Лист1!AP30+Лист1!AQ30+Лист1!AR30</f>
        <v>20731.606</v>
      </c>
      <c r="M36" s="31">
        <f>Лист1!AS30+Лист1!AT30+Лист1!AU30+Лист1!AZ30+Лист1!BA30</f>
        <v>154</v>
      </c>
      <c r="N36" s="31">
        <f>Лист1!AX30</f>
        <v>2473.7999999999997</v>
      </c>
      <c r="O36" s="30">
        <f>Лист1!BB30</f>
        <v>33030.126000000004</v>
      </c>
      <c r="P36" s="90">
        <f>Лист1!BC30</f>
        <v>3350.8610000000003</v>
      </c>
      <c r="Q36" s="75">
        <f>Лист1!BD30</f>
        <v>17480.71786</v>
      </c>
      <c r="R36" s="75">
        <f>Лист1!BE30</f>
        <v>-6259.220000000001</v>
      </c>
      <c r="S36" s="1"/>
      <c r="T36" s="1"/>
    </row>
    <row r="37" spans="1:20" ht="12.75">
      <c r="A37" s="11" t="s">
        <v>46</v>
      </c>
      <c r="B37" s="84">
        <f>Лист1!B31</f>
        <v>6044.2</v>
      </c>
      <c r="C37" s="27">
        <f t="shared" si="5"/>
        <v>52282.33</v>
      </c>
      <c r="D37" s="28">
        <f>Лист1!D31</f>
        <v>4952.430000000002</v>
      </c>
      <c r="E37" s="14">
        <f>Лист1!S31</f>
        <v>40595.020000000004</v>
      </c>
      <c r="F37" s="30">
        <f>Лист1!T31</f>
        <v>6734.88</v>
      </c>
      <c r="G37" s="29">
        <f>Лист1!AB31</f>
        <v>48956.619999999995</v>
      </c>
      <c r="H37" s="30">
        <f>Лист1!AC31</f>
        <v>60643.92999999999</v>
      </c>
      <c r="I37" s="87">
        <f>Лист1!AF31</f>
        <v>7838.59486</v>
      </c>
      <c r="J37" s="29">
        <f>Лист1!AG31</f>
        <v>3626.52</v>
      </c>
      <c r="K37" s="14">
        <f>Лист1!AI31+Лист1!AJ31</f>
        <v>6044.2</v>
      </c>
      <c r="L37" s="14">
        <f>Лист1!AH31+Лист1!AK31+Лист1!AL31+Лист1!AM31+Лист1!AN31+Лист1!AO31+Лист1!AP31+Лист1!AQ31+Лист1!AR31</f>
        <v>20731.606</v>
      </c>
      <c r="M37" s="31">
        <f>Лист1!AS31+Лист1!AT31+Лист1!AU31+Лист1!AZ31+Лист1!BA31</f>
        <v>1705</v>
      </c>
      <c r="N37" s="31">
        <f>Лист1!AX31</f>
        <v>2357.6</v>
      </c>
      <c r="O37" s="30">
        <f>Лист1!BB31</f>
        <v>34464.926</v>
      </c>
      <c r="P37" s="90">
        <f>Лист1!BC31</f>
        <v>3350.8610000000003</v>
      </c>
      <c r="Q37" s="75">
        <f>Лист1!BD31</f>
        <v>30666.73785999999</v>
      </c>
      <c r="R37" s="75">
        <f>Лист1!BE31</f>
        <v>8361.599999999991</v>
      </c>
      <c r="S37" s="1"/>
      <c r="T37" s="1"/>
    </row>
    <row r="38" spans="1:20" ht="12.75">
      <c r="A38" s="11" t="s">
        <v>47</v>
      </c>
      <c r="B38" s="84">
        <f>Лист1!B32</f>
        <v>6044.2</v>
      </c>
      <c r="C38" s="27">
        <f t="shared" si="5"/>
        <v>52282.33</v>
      </c>
      <c r="D38" s="28">
        <f>Лист1!D32</f>
        <v>4959.699999999994</v>
      </c>
      <c r="E38" s="14">
        <f>Лист1!S32</f>
        <v>40385.34</v>
      </c>
      <c r="F38" s="30">
        <f>Лист1!T32</f>
        <v>6937.29</v>
      </c>
      <c r="G38" s="29">
        <f>Лист1!AB32</f>
        <v>45301.090000000004</v>
      </c>
      <c r="H38" s="30">
        <f>Лист1!AC32</f>
        <v>57198.08</v>
      </c>
      <c r="I38" s="87">
        <f>Лист1!AF32</f>
        <v>7838.59486</v>
      </c>
      <c r="J38" s="29">
        <f>Лист1!AG32</f>
        <v>3626.52</v>
      </c>
      <c r="K38" s="14">
        <f>Лист1!AI32+Лист1!AJ32</f>
        <v>6044.2</v>
      </c>
      <c r="L38" s="14">
        <f>Лист1!AH32+Лист1!AK32+Лист1!AL32+Лист1!AM32+Лист1!AN32+Лист1!AO32+Лист1!AP32+Лист1!AQ32+Лист1!AR32</f>
        <v>31359.606</v>
      </c>
      <c r="M38" s="31">
        <f>Лист1!AS32+Лист1!AT32+Лист1!AU32+Лист1!AZ32+Лист1!BA32</f>
        <v>675</v>
      </c>
      <c r="N38" s="31">
        <f>Лист1!AX32</f>
        <v>1965.6</v>
      </c>
      <c r="O38" s="30">
        <f>Лист1!BB32</f>
        <v>43670.926</v>
      </c>
      <c r="P38" s="90">
        <f>Лист1!BC32</f>
        <v>3350.8610000000003</v>
      </c>
      <c r="Q38" s="75">
        <f>Лист1!BD32</f>
        <v>18014.88786</v>
      </c>
      <c r="R38" s="75">
        <f>Лист1!BE32</f>
        <v>4915.750000000007</v>
      </c>
      <c r="S38" s="1"/>
      <c r="T38" s="1"/>
    </row>
    <row r="39" spans="1:20" ht="12.75">
      <c r="A39" s="11" t="s">
        <v>48</v>
      </c>
      <c r="B39" s="84">
        <f>Лист1!B33</f>
        <v>6044.2</v>
      </c>
      <c r="C39" s="27">
        <f t="shared" si="5"/>
        <v>52282.33</v>
      </c>
      <c r="D39" s="28">
        <f>Лист1!D33</f>
        <v>4938.089999999994</v>
      </c>
      <c r="E39" s="14">
        <f>Лист1!S33</f>
        <v>40465.33</v>
      </c>
      <c r="F39" s="30">
        <f>Лист1!T33</f>
        <v>6878.91</v>
      </c>
      <c r="G39" s="29">
        <f>Лист1!AB33</f>
        <v>36512</v>
      </c>
      <c r="H39" s="30">
        <f>Лист1!AC33</f>
        <v>48328.99999999999</v>
      </c>
      <c r="I39" s="87">
        <f>Лист1!AF33</f>
        <v>10382.916140000001</v>
      </c>
      <c r="J39" s="29">
        <f>Лист1!AG33</f>
        <v>3626.52</v>
      </c>
      <c r="K39" s="14">
        <f>Лист1!AI33+Лист1!AJ33</f>
        <v>6044.2</v>
      </c>
      <c r="L39" s="14">
        <f>Лист1!AH33+Лист1!AK33+Лист1!AL33+Лист1!AM33+Лист1!AN33+Лист1!AO33+Лист1!AP33+Лист1!AQ33+Лист1!AR33</f>
        <v>20731.606</v>
      </c>
      <c r="M39" s="31">
        <f>Лист1!AS33+Лист1!AT33+Лист1!AU33+Лист1!AY33+Лист1!AZ33</f>
        <v>8381</v>
      </c>
      <c r="N39" s="31">
        <f>Лист1!AX33</f>
        <v>1968.3999999999999</v>
      </c>
      <c r="O39" s="30">
        <f>Лист1!BB33</f>
        <v>40751.726</v>
      </c>
      <c r="P39" s="90">
        <f>Лист1!BC33</f>
        <v>3653.6780000000003</v>
      </c>
      <c r="Q39" s="75">
        <f>Лист1!BD33</f>
        <v>14306.512139999992</v>
      </c>
      <c r="R39" s="75">
        <f>Лист1!BE33</f>
        <v>-3953.3300000000017</v>
      </c>
      <c r="S39" s="1"/>
      <c r="T39" s="1"/>
    </row>
    <row r="40" spans="1:20" ht="12.75">
      <c r="A40" s="11" t="s">
        <v>49</v>
      </c>
      <c r="B40" s="84">
        <f>Лист1!B34</f>
        <v>6048.61</v>
      </c>
      <c r="C40" s="27">
        <f t="shared" si="5"/>
        <v>52320.4765</v>
      </c>
      <c r="D40" s="28">
        <f>Лист1!D34</f>
        <v>4927.826499999997</v>
      </c>
      <c r="E40" s="14">
        <f>Лист1!S34</f>
        <v>40540.75</v>
      </c>
      <c r="F40" s="30">
        <f>Лист1!T34</f>
        <v>6851.9</v>
      </c>
      <c r="G40" s="29">
        <f>Лист1!AB34</f>
        <v>42870.74</v>
      </c>
      <c r="H40" s="30">
        <f>Лист1!AC34</f>
        <v>54650.466499999995</v>
      </c>
      <c r="I40" s="87">
        <f>Лист1!AF34</f>
        <v>8474.67268</v>
      </c>
      <c r="J40" s="29">
        <f>Лист1!AG34</f>
        <v>3629.1659999999997</v>
      </c>
      <c r="K40" s="14">
        <f>Лист1!AI34+Лист1!AJ34</f>
        <v>6048.61</v>
      </c>
      <c r="L40" s="14">
        <f>Лист1!AH34+Лист1!AK34+Лист1!AL34+Лист1!AM34+Лист1!AN34+Лист1!AO34+Лист1!AP34+Лист1!AQ34+Лист1!AR34</f>
        <v>20746.7323</v>
      </c>
      <c r="M40" s="31">
        <f>Лист1!AS34+Лист1!AT34+Лист1!AU34+Лист1!AZ34+Лист1!BA34</f>
        <v>0</v>
      </c>
      <c r="N40" s="31">
        <f>Лист1!AX34</f>
        <v>1868.9999999999998</v>
      </c>
      <c r="O40" s="30">
        <f>Лист1!BB34</f>
        <v>32293.5083</v>
      </c>
      <c r="P40" s="90">
        <f>Лист1!BC34</f>
        <v>3653.6780000000003</v>
      </c>
      <c r="Q40" s="75">
        <f>Лист1!BD34</f>
        <v>27177.952879999997</v>
      </c>
      <c r="R40" s="75">
        <f>Лист1!BE34</f>
        <v>2329.989999999998</v>
      </c>
      <c r="S40" s="1"/>
      <c r="T40" s="1"/>
    </row>
    <row r="41" spans="1:20" ht="12.75">
      <c r="A41" s="11" t="s">
        <v>50</v>
      </c>
      <c r="B41" s="84">
        <f>Лист1!B35</f>
        <v>6048.61</v>
      </c>
      <c r="C41" s="27">
        <f t="shared" si="5"/>
        <v>52320.4765</v>
      </c>
      <c r="D41" s="28">
        <f>Лист1!D35</f>
        <v>4962.5165000000015</v>
      </c>
      <c r="E41" s="14">
        <f>Лист1!S35</f>
        <v>40506.05</v>
      </c>
      <c r="F41" s="30">
        <f>Лист1!T35</f>
        <v>6851.91</v>
      </c>
      <c r="G41" s="29">
        <f>Лист1!AB35</f>
        <v>36605.97</v>
      </c>
      <c r="H41" s="30">
        <f>Лист1!AC35</f>
        <v>48420.3965</v>
      </c>
      <c r="I41" s="87">
        <f>Лист1!AF35</f>
        <v>8474.67268</v>
      </c>
      <c r="J41" s="29">
        <f>Лист1!AG35</f>
        <v>3629.1659999999997</v>
      </c>
      <c r="K41" s="14">
        <f>Лист1!AI35+Лист1!AJ35</f>
        <v>6048.61</v>
      </c>
      <c r="L41" s="14">
        <f>Лист1!AH35+Лист1!AK35+Лист1!AL35+Лист1!AM35+Лист1!AN35+Лист1!AO35+Лист1!AP35+Лист1!AQ35+Лист1!AR35</f>
        <v>20746.7323</v>
      </c>
      <c r="M41" s="31">
        <f>Лист1!AS35+Лист1!AT35+Лист1!AU35+Лист1!AZ35+Лист1!BA35</f>
        <v>3378</v>
      </c>
      <c r="N41" s="31">
        <f>Лист1!AX35</f>
        <v>1125.6</v>
      </c>
      <c r="O41" s="30">
        <f>Лист1!BB35</f>
        <v>34928.1083</v>
      </c>
      <c r="P41" s="90">
        <f>Лист1!BC35</f>
        <v>3653.6780000000003</v>
      </c>
      <c r="Q41" s="75">
        <f>Лист1!BD35</f>
        <v>18313.282880000006</v>
      </c>
      <c r="R41" s="75">
        <f>Лист1!BE35</f>
        <v>-3900.0800000000017</v>
      </c>
      <c r="S41" s="1"/>
      <c r="T41" s="1"/>
    </row>
    <row r="42" spans="1:20" ht="12.75">
      <c r="A42" s="11" t="s">
        <v>51</v>
      </c>
      <c r="B42" s="84">
        <f>Лист1!B36</f>
        <v>6048.61</v>
      </c>
      <c r="C42" s="27">
        <f t="shared" si="5"/>
        <v>52320.4765</v>
      </c>
      <c r="D42" s="28">
        <f>Лист1!D36</f>
        <v>4922.216500000003</v>
      </c>
      <c r="E42" s="14">
        <f>Лист1!S36</f>
        <v>47368.96</v>
      </c>
      <c r="F42" s="30">
        <f>Лист1!T36</f>
        <v>29.3</v>
      </c>
      <c r="G42" s="29">
        <f>Лист1!AB36</f>
        <v>38522.41</v>
      </c>
      <c r="H42" s="30">
        <f>Лист1!AC36</f>
        <v>43473.92650000001</v>
      </c>
      <c r="I42" s="87">
        <f>Лист1!AF36</f>
        <v>8474.67268</v>
      </c>
      <c r="J42" s="29">
        <f>Лист1!AG36</f>
        <v>3629.1659999999997</v>
      </c>
      <c r="K42" s="14">
        <f>Лист1!AI36+Лист1!AJ36</f>
        <v>6048.61</v>
      </c>
      <c r="L42" s="14">
        <f>Лист1!AH36+Лист1!AK36+Лист1!AL36+Лист1!AM36+Лист1!AN36+Лист1!AO36+Лист1!AP36+Лист1!AQ36+Лист1!AR36</f>
        <v>20746.7323</v>
      </c>
      <c r="M42" s="31">
        <f>Лист1!AS36+Лист1!AT36+Лист1!AU36+Лист1!AZ36+Лист1!BA36</f>
        <v>0</v>
      </c>
      <c r="N42" s="31">
        <f>Лист1!AX36</f>
        <v>1513.3999999999999</v>
      </c>
      <c r="O42" s="30">
        <f>Лист1!BB36</f>
        <v>31937.908300000003</v>
      </c>
      <c r="P42" s="90">
        <f>Лист1!BC36</f>
        <v>3653.6780000000003</v>
      </c>
      <c r="Q42" s="75">
        <f>Лист1!BD36</f>
        <v>16357.012880000002</v>
      </c>
      <c r="R42" s="75">
        <f>Лист1!BE36</f>
        <v>-8846.549999999996</v>
      </c>
      <c r="S42" s="1"/>
      <c r="T42" s="1"/>
    </row>
    <row r="43" spans="1:20" ht="12.75">
      <c r="A43" s="11" t="s">
        <v>52</v>
      </c>
      <c r="B43" s="84">
        <f>Лист1!B37</f>
        <v>6048.61</v>
      </c>
      <c r="C43" s="27">
        <f t="shared" si="5"/>
        <v>52320.4765</v>
      </c>
      <c r="D43" s="28">
        <f>Лист1!D37</f>
        <v>4849.076499999999</v>
      </c>
      <c r="E43" s="14">
        <f>Лист1!S37</f>
        <v>47442.1</v>
      </c>
      <c r="F43" s="30">
        <f>Лист1!T37</f>
        <v>29.3</v>
      </c>
      <c r="G43" s="29">
        <f>Лист1!AB37</f>
        <v>47685.91</v>
      </c>
      <c r="H43" s="30">
        <f>Лист1!AC37</f>
        <v>52564.2865</v>
      </c>
      <c r="I43" s="87">
        <f>Лист1!AF37</f>
        <v>8474.67268</v>
      </c>
      <c r="J43" s="29">
        <f>Лист1!AG37</f>
        <v>3629.1659999999997</v>
      </c>
      <c r="K43" s="14">
        <f>Лист1!AI37+Лист1!AJ37</f>
        <v>6048.61</v>
      </c>
      <c r="L43" s="14">
        <f>Лист1!AH37+Лист1!AK37+Лист1!AL37+Лист1!AM37+Лист1!AN37+Лист1!AO37+Лист1!AP37+Лист1!AQ37+Лист1!AR37</f>
        <v>30383.5723</v>
      </c>
      <c r="M43" s="31">
        <f>Лист1!AS37+Лист1!AT37+Лист1!AU37+Лист1!AZ37+Лист1!BA37</f>
        <v>329.9</v>
      </c>
      <c r="N43" s="31">
        <f>Лист1!AX37</f>
        <v>1269.8</v>
      </c>
      <c r="O43" s="30">
        <f>Лист1!BB37</f>
        <v>41661.0483</v>
      </c>
      <c r="P43" s="90">
        <f>Лист1!BC37</f>
        <v>3653.6780000000003</v>
      </c>
      <c r="Q43" s="75">
        <f>Лист1!BD37</f>
        <v>15724.232880000003</v>
      </c>
      <c r="R43" s="75">
        <f>Лист1!BE37</f>
        <v>243.81000000000495</v>
      </c>
      <c r="S43" s="1"/>
      <c r="T43" s="1"/>
    </row>
    <row r="44" spans="1:20" ht="12.75">
      <c r="A44" s="11" t="s">
        <v>53</v>
      </c>
      <c r="B44" s="84">
        <f>Лист1!B38</f>
        <v>6048.61</v>
      </c>
      <c r="C44" s="27">
        <f t="shared" si="5"/>
        <v>52320.4765</v>
      </c>
      <c r="D44" s="28">
        <f>Лист1!D38</f>
        <v>4851.836500000001</v>
      </c>
      <c r="E44" s="14">
        <f>Лист1!S38</f>
        <v>47439.34</v>
      </c>
      <c r="F44" s="30">
        <f>Лист1!T38</f>
        <v>29.3</v>
      </c>
      <c r="G44" s="29">
        <f>Лист1!AB38</f>
        <v>49831.56</v>
      </c>
      <c r="H44" s="30">
        <f>Лист1!AC38</f>
        <v>54712.6965</v>
      </c>
      <c r="I44" s="87">
        <f>Лист1!AF38</f>
        <v>8474.67268</v>
      </c>
      <c r="J44" s="29">
        <f>Лист1!AG38</f>
        <v>3629.1659999999997</v>
      </c>
      <c r="K44" s="14">
        <f>Лист1!AI38+Лист1!AJ38</f>
        <v>6048.61</v>
      </c>
      <c r="L44" s="14">
        <f>Лист1!AH38+Лист1!AK38+Лист1!AL38+Лист1!AM38+Лист1!AN38+Лист1!AO38+Лист1!AP38+Лист1!AQ38+Лист1!AR38</f>
        <v>20746.7323</v>
      </c>
      <c r="M44" s="31">
        <f>Лист1!AS38+Лист1!AT38+Лист1!AU38+Лист1!AZ38+Лист1!BA38</f>
        <v>125759.0398</v>
      </c>
      <c r="N44" s="31">
        <f>Лист1!AX38</f>
        <v>1582</v>
      </c>
      <c r="O44" s="30">
        <f>Лист1!BB38</f>
        <v>157765.5481</v>
      </c>
      <c r="P44" s="90">
        <f>Лист1!BC38</f>
        <v>3653.6780000000003</v>
      </c>
      <c r="Q44" s="75">
        <f>Лист1!BD38</f>
        <v>-98231.85692000002</v>
      </c>
      <c r="R44" s="75">
        <f>Лист1!BE38</f>
        <v>2392.220000000001</v>
      </c>
      <c r="S44" s="1"/>
      <c r="T44" s="1"/>
    </row>
    <row r="45" spans="1:20" ht="12.75">
      <c r="A45" s="11" t="s">
        <v>41</v>
      </c>
      <c r="B45" s="84">
        <f>Лист1!B39</f>
        <v>6048.61</v>
      </c>
      <c r="C45" s="27">
        <f>B45*8.65</f>
        <v>52320.4765</v>
      </c>
      <c r="D45" s="28">
        <f>Лист1!D39</f>
        <v>4792.986499999998</v>
      </c>
      <c r="E45" s="14">
        <f>Лист1!S39</f>
        <v>47498.19</v>
      </c>
      <c r="F45" s="30">
        <f>Лист1!T39</f>
        <v>29.3</v>
      </c>
      <c r="G45" s="29">
        <f>Лист1!AB39</f>
        <v>50000.72</v>
      </c>
      <c r="H45" s="30">
        <f>Лист1!AC39</f>
        <v>54823.0065</v>
      </c>
      <c r="I45" s="87">
        <f>Лист1!AF39</f>
        <v>8624.67268</v>
      </c>
      <c r="J45" s="29">
        <f>Лист1!AG39</f>
        <v>3629.1659999999997</v>
      </c>
      <c r="K45" s="14">
        <f>Лист1!AI39+Лист1!AJ39</f>
        <v>6048.61</v>
      </c>
      <c r="L45" s="14">
        <f>Лист1!AH39+Лист1!AK39+Лист1!AL39+Лист1!AM39+Лист1!AN39+Лист1!AO39+Лист1!AP39+Лист1!AQ39+Лист1!AR39</f>
        <v>20746.7323</v>
      </c>
      <c r="M45" s="31">
        <f>Лист1!AS39+Лист1!AT39+Лист1!AU39+Лист1!AZ39+Лист1!BA39</f>
        <v>5707</v>
      </c>
      <c r="N45" s="31">
        <f>Лист1!AX39</f>
        <v>1573.6</v>
      </c>
      <c r="O45" s="30">
        <f>Лист1!BB39</f>
        <v>37705.1083</v>
      </c>
      <c r="P45" s="90">
        <f>Лист1!BC39</f>
        <v>3691.1780000000003</v>
      </c>
      <c r="Q45" s="75">
        <f>Лист1!BD39</f>
        <v>22051.392880000007</v>
      </c>
      <c r="R45" s="75">
        <f>Лист1!BE39</f>
        <v>2502.529999999999</v>
      </c>
      <c r="S45" s="1"/>
      <c r="T45" s="1"/>
    </row>
    <row r="46" spans="1:20" ht="12.75">
      <c r="A46" s="11" t="s">
        <v>42</v>
      </c>
      <c r="B46" s="84">
        <f>Лист1!B40</f>
        <v>6048.11</v>
      </c>
      <c r="C46" s="27">
        <f t="shared" si="5"/>
        <v>52316.1515</v>
      </c>
      <c r="D46" s="28">
        <f>Лист1!D40</f>
        <v>4848.531500000005</v>
      </c>
      <c r="E46" s="14">
        <f>Лист1!S40</f>
        <v>47438.32</v>
      </c>
      <c r="F46" s="30">
        <f>Лист1!T40</f>
        <v>29.3</v>
      </c>
      <c r="G46" s="29">
        <f>Лист1!AB40</f>
        <v>40773.81</v>
      </c>
      <c r="H46" s="30">
        <f>Лист1!AC40</f>
        <v>45651.641500000005</v>
      </c>
      <c r="I46" s="87">
        <f>Лист1!AF40</f>
        <v>8624.67268</v>
      </c>
      <c r="J46" s="29">
        <f>Лист1!AG40</f>
        <v>3628.8659999999995</v>
      </c>
      <c r="K46" s="14">
        <f>Лист1!AI40+Лист1!AJ40</f>
        <v>6048.11</v>
      </c>
      <c r="L46" s="14">
        <f>Лист1!AH40+Лист1!AK40+Лист1!AL40+Лист1!AM40+Лист1!AN40+Лист1!AO40+Лист1!AP40+Лист1!AQ40+Лист1!AR40</f>
        <v>20745.0173</v>
      </c>
      <c r="M46" s="31">
        <f>Лист1!AS40+Лист1!AT40+Лист1!AU40+Лист1!AZ40+Лист1!BA40</f>
        <v>3223</v>
      </c>
      <c r="N46" s="31">
        <f>Лист1!AX40</f>
        <v>2175.6</v>
      </c>
      <c r="O46" s="30">
        <f>Лист1!BB40</f>
        <v>35820.59329999999</v>
      </c>
      <c r="P46" s="90">
        <f>Лист1!BC40</f>
        <v>3691.1780000000003</v>
      </c>
      <c r="Q46" s="75">
        <f>Лист1!BD40</f>
        <v>14764.542880000008</v>
      </c>
      <c r="R46" s="75">
        <f>Лист1!BE40</f>
        <v>-6664.510000000002</v>
      </c>
      <c r="S46" s="1"/>
      <c r="T46" s="1"/>
    </row>
    <row r="47" spans="1:20" ht="13.5" thickBot="1">
      <c r="A47" s="32" t="s">
        <v>43</v>
      </c>
      <c r="B47" s="84">
        <f>Лист1!B41</f>
        <v>6048.11</v>
      </c>
      <c r="C47" s="33">
        <f t="shared" si="5"/>
        <v>52316.1515</v>
      </c>
      <c r="D47" s="28">
        <f>Лист1!D41</f>
        <v>4771.7414999999955</v>
      </c>
      <c r="E47" s="14">
        <f>Лист1!S41</f>
        <v>47515.11</v>
      </c>
      <c r="F47" s="30">
        <f>Лист1!T41</f>
        <v>29.3</v>
      </c>
      <c r="G47" s="29">
        <f>Лист1!AB41</f>
        <v>55082.78</v>
      </c>
      <c r="H47" s="30">
        <f>Лист1!AC41</f>
        <v>59883.82149999999</v>
      </c>
      <c r="I47" s="87">
        <f>Лист1!AF41</f>
        <v>8624.67268</v>
      </c>
      <c r="J47" s="29">
        <f>Лист1!AG41</f>
        <v>3628.8659999999995</v>
      </c>
      <c r="K47" s="14">
        <f>Лист1!AI41+Лист1!AJ41</f>
        <v>6048.11</v>
      </c>
      <c r="L47" s="14">
        <f>Лист1!AH41+Лист1!AK41+Лист1!AL41+Лист1!AM41+Лист1!AN41+Лист1!AO41+Лист1!AP41+Лист1!AQ41+Лист1!AR41</f>
        <v>20745.0173</v>
      </c>
      <c r="M47" s="31">
        <f>Лист1!AS41+Лист1!AT41+Лист1!AU41+Лист1!AZ41+Лист1!BA41</f>
        <v>62688.9262</v>
      </c>
      <c r="N47" s="31">
        <f>Лист1!AX41</f>
        <v>2941.3999999999996</v>
      </c>
      <c r="O47" s="30">
        <f>Лист1!BB41</f>
        <v>96052.31949999998</v>
      </c>
      <c r="P47" s="90">
        <f>Лист1!BC41</f>
        <v>3691.1780000000003</v>
      </c>
      <c r="Q47" s="75">
        <f>Лист1!BD41</f>
        <v>-31235.00331999999</v>
      </c>
      <c r="R47" s="75">
        <f>Лист1!BE41</f>
        <v>7567.669999999998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627684.482</v>
      </c>
      <c r="D48" s="68">
        <f t="shared" si="6"/>
        <v>60632.58200000001</v>
      </c>
      <c r="E48" s="36">
        <f t="shared" si="6"/>
        <v>525886.33</v>
      </c>
      <c r="F48" s="69">
        <f t="shared" si="6"/>
        <v>41165.57000000002</v>
      </c>
      <c r="G48" s="68">
        <f t="shared" si="6"/>
        <v>524576.21</v>
      </c>
      <c r="H48" s="69">
        <f t="shared" si="6"/>
        <v>626374.362</v>
      </c>
      <c r="I48" s="69">
        <f t="shared" si="6"/>
        <v>102146.08216000002</v>
      </c>
      <c r="J48" s="68">
        <f t="shared" si="6"/>
        <v>43538.808000000005</v>
      </c>
      <c r="K48" s="36">
        <f t="shared" si="6"/>
        <v>72564.68</v>
      </c>
      <c r="L48" s="36">
        <f t="shared" si="6"/>
        <v>269161.6924</v>
      </c>
      <c r="M48" s="36">
        <f t="shared" si="6"/>
        <v>212000.86599999998</v>
      </c>
      <c r="N48" s="36">
        <f t="shared" si="6"/>
        <v>22815.799999999996</v>
      </c>
      <c r="O48" s="69">
        <f t="shared" si="6"/>
        <v>620081.8464</v>
      </c>
      <c r="P48" s="69">
        <f t="shared" si="6"/>
        <v>43048.185000000005</v>
      </c>
      <c r="Q48" s="76">
        <f t="shared" si="6"/>
        <v>65390.41275999996</v>
      </c>
      <c r="R48" s="76">
        <f t="shared" si="6"/>
        <v>-1310.1200000000026</v>
      </c>
      <c r="S48" s="72"/>
      <c r="T48" s="72"/>
    </row>
    <row r="49" spans="1:20" ht="13.5" thickBot="1">
      <c r="A49" s="314" t="s">
        <v>70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1417177.767</v>
      </c>
      <c r="D50" s="37">
        <f aca="true" t="shared" si="7" ref="D50:O50">D34+D48</f>
        <v>165923.45975430007</v>
      </c>
      <c r="E50" s="38">
        <f t="shared" si="7"/>
        <v>1111719.0899999999</v>
      </c>
      <c r="F50" s="39">
        <f t="shared" si="7"/>
        <v>138220.16000000003</v>
      </c>
      <c r="G50" s="37">
        <f t="shared" si="7"/>
        <v>1062692.71</v>
      </c>
      <c r="H50" s="39">
        <f t="shared" si="7"/>
        <v>1366836.3297543</v>
      </c>
      <c r="I50" s="39">
        <f t="shared" si="7"/>
        <v>171287.85872000002</v>
      </c>
      <c r="J50" s="37">
        <f t="shared" si="7"/>
        <v>96840.906</v>
      </c>
      <c r="K50" s="38">
        <f t="shared" si="7"/>
        <v>160751.528348097</v>
      </c>
      <c r="L50" s="38">
        <f t="shared" si="7"/>
        <v>598793.529746454</v>
      </c>
      <c r="M50" s="38">
        <f t="shared" si="7"/>
        <v>317590.1198</v>
      </c>
      <c r="N50" s="38">
        <f t="shared" si="7"/>
        <v>46391.826799999995</v>
      </c>
      <c r="O50" s="79">
        <f t="shared" si="7"/>
        <v>1220367.9106945512</v>
      </c>
      <c r="P50" s="79">
        <f>P34+P48</f>
        <v>71229.27099840101</v>
      </c>
      <c r="Q50" s="78">
        <f>Q34+Q48</f>
        <v>246527.00678134803</v>
      </c>
      <c r="R50" s="78">
        <f>R34+R48</f>
        <v>-49026.38</v>
      </c>
      <c r="S50" s="73"/>
      <c r="T50" s="72"/>
    </row>
    <row r="51" spans="1:20" ht="12.75">
      <c r="A51" s="20" t="s">
        <v>71</v>
      </c>
      <c r="D51" s="85" t="s">
        <v>92</v>
      </c>
      <c r="S51" s="1"/>
      <c r="T51" s="1"/>
    </row>
    <row r="52" spans="1:20" ht="12.75">
      <c r="A52" s="21" t="s">
        <v>72</v>
      </c>
      <c r="B52" s="21" t="s">
        <v>73</v>
      </c>
      <c r="C52" s="316" t="s">
        <v>74</v>
      </c>
      <c r="D52" s="316"/>
      <c r="S52" s="1"/>
      <c r="T52" s="1"/>
    </row>
    <row r="53" spans="1:20" ht="12.75">
      <c r="A53" s="133">
        <v>377490.26</v>
      </c>
      <c r="B53" s="133">
        <v>290839.81</v>
      </c>
      <c r="C53" s="310">
        <f>A53-B53</f>
        <v>86650.45000000001</v>
      </c>
      <c r="D53" s="311"/>
      <c r="S53" s="1"/>
      <c r="T53" s="1"/>
    </row>
    <row r="54" spans="1:20" ht="12.75">
      <c r="A54" s="46"/>
      <c r="S54" s="1"/>
      <c r="T54" s="1"/>
    </row>
    <row r="55" spans="1:20" ht="12.75">
      <c r="A55" s="2" t="s">
        <v>77</v>
      </c>
      <c r="G55" s="2" t="s">
        <v>78</v>
      </c>
      <c r="S55" s="1"/>
      <c r="T55" s="1"/>
    </row>
    <row r="56" ht="12.75">
      <c r="A56" s="1"/>
    </row>
    <row r="57" ht="12.75">
      <c r="A57" s="1"/>
    </row>
    <row r="58" ht="12.75">
      <c r="A58" s="2" t="s">
        <v>88</v>
      </c>
    </row>
    <row r="59" ht="12.75">
      <c r="A59" s="2" t="s">
        <v>79</v>
      </c>
    </row>
  </sheetData>
  <sheetProtection/>
  <mergeCells count="29">
    <mergeCell ref="A49:Q49"/>
    <mergeCell ref="C9:C12"/>
    <mergeCell ref="D9:D12"/>
    <mergeCell ref="B1:H1"/>
    <mergeCell ref="B2:H2"/>
    <mergeCell ref="A8:D8"/>
    <mergeCell ref="E8:F8"/>
    <mergeCell ref="A5:Q5"/>
    <mergeCell ref="A6:G6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53:D53"/>
    <mergeCell ref="O11:O12"/>
    <mergeCell ref="A33:Q33"/>
    <mergeCell ref="C52:D52"/>
    <mergeCell ref="I9:I12"/>
    <mergeCell ref="P9:P12"/>
    <mergeCell ref="J9:O10"/>
    <mergeCell ref="Q9:Q12"/>
    <mergeCell ref="A9:A12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J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BC22:BG22"/>
    </sheetView>
  </sheetViews>
  <sheetFormatPr defaultColWidth="9.00390625" defaultRowHeight="12.75"/>
  <cols>
    <col min="1" max="1" width="8.75390625" style="161" bestFit="1" customWidth="1"/>
    <col min="2" max="2" width="9.125" style="161" customWidth="1"/>
    <col min="3" max="3" width="11.375" style="161" customWidth="1"/>
    <col min="4" max="4" width="10.375" style="161" customWidth="1"/>
    <col min="5" max="5" width="10.125" style="161" bestFit="1" customWidth="1"/>
    <col min="6" max="6" width="9.125" style="161" customWidth="1"/>
    <col min="7" max="7" width="10.25390625" style="161" customWidth="1"/>
    <col min="8" max="8" width="9.125" style="161" customWidth="1"/>
    <col min="9" max="9" width="9.875" style="161" customWidth="1"/>
    <col min="10" max="10" width="9.125" style="161" customWidth="1"/>
    <col min="11" max="11" width="10.375" style="161" customWidth="1"/>
    <col min="12" max="12" width="9.125" style="161" customWidth="1"/>
    <col min="13" max="13" width="10.125" style="161" bestFit="1" customWidth="1"/>
    <col min="14" max="14" width="9.125" style="161" customWidth="1"/>
    <col min="15" max="15" width="10.125" style="161" bestFit="1" customWidth="1"/>
    <col min="16" max="18" width="9.125" style="161" customWidth="1"/>
    <col min="19" max="19" width="10.125" style="161" bestFit="1" customWidth="1"/>
    <col min="20" max="20" width="10.125" style="161" customWidth="1"/>
    <col min="21" max="21" width="11.75390625" style="161" bestFit="1" customWidth="1"/>
    <col min="22" max="22" width="10.25390625" style="161" customWidth="1"/>
    <col min="23" max="23" width="10.625" style="161" customWidth="1"/>
    <col min="24" max="24" width="10.125" style="161" customWidth="1"/>
    <col min="25" max="28" width="10.125" style="161" bestFit="1" customWidth="1"/>
    <col min="29" max="30" width="11.375" style="161" customWidth="1"/>
    <col min="31" max="31" width="9.25390625" style="161" bestFit="1" customWidth="1"/>
    <col min="32" max="32" width="11.75390625" style="161" bestFit="1" customWidth="1"/>
    <col min="33" max="33" width="10.25390625" style="161" customWidth="1"/>
    <col min="34" max="35" width="9.25390625" style="161" bestFit="1" customWidth="1"/>
    <col min="36" max="36" width="10.875" style="161" customWidth="1"/>
    <col min="37" max="38" width="9.25390625" style="161" bestFit="1" customWidth="1"/>
    <col min="39" max="39" width="10.125" style="161" bestFit="1" customWidth="1"/>
    <col min="40" max="40" width="9.25390625" style="161" bestFit="1" customWidth="1"/>
    <col min="41" max="42" width="10.125" style="161" bestFit="1" customWidth="1"/>
    <col min="43" max="44" width="9.25390625" style="161" customWidth="1"/>
    <col min="45" max="45" width="10.125" style="161" bestFit="1" customWidth="1"/>
    <col min="46" max="46" width="11.625" style="161" customWidth="1"/>
    <col min="47" max="47" width="10.875" style="161" customWidth="1"/>
    <col min="48" max="48" width="10.625" style="161" customWidth="1"/>
    <col min="49" max="49" width="10.25390625" style="161" customWidth="1"/>
    <col min="50" max="50" width="10.625" style="161" customWidth="1"/>
    <col min="51" max="51" width="9.25390625" style="161" bestFit="1" customWidth="1"/>
    <col min="52" max="53" width="10.125" style="161" bestFit="1" customWidth="1"/>
    <col min="54" max="54" width="11.625" style="161" customWidth="1"/>
    <col min="55" max="55" width="11.75390625" style="161" customWidth="1"/>
    <col min="56" max="56" width="11.375" style="161" customWidth="1"/>
    <col min="57" max="57" width="14.00390625" style="161" customWidth="1"/>
    <col min="58" max="58" width="11.00390625" style="161" customWidth="1"/>
    <col min="59" max="59" width="10.625" style="161" customWidth="1"/>
    <col min="60" max="16384" width="9.125" style="161" customWidth="1"/>
  </cols>
  <sheetData>
    <row r="1" spans="1:18" ht="21" customHeight="1">
      <c r="A1" s="302" t="s">
        <v>89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160"/>
      <c r="P1" s="160"/>
      <c r="Q1" s="160"/>
      <c r="R1" s="160"/>
    </row>
    <row r="2" spans="1:18" ht="13.5" thickBot="1">
      <c r="A2" s="160"/>
      <c r="B2" s="162"/>
      <c r="C2" s="163"/>
      <c r="D2" s="163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59" ht="29.25" customHeight="1" thickBot="1">
      <c r="A3" s="391" t="s">
        <v>0</v>
      </c>
      <c r="B3" s="416" t="s">
        <v>1</v>
      </c>
      <c r="C3" s="418" t="s">
        <v>2</v>
      </c>
      <c r="D3" s="420" t="s">
        <v>3</v>
      </c>
      <c r="E3" s="391" t="s">
        <v>95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38"/>
      <c r="S3" s="391"/>
      <c r="T3" s="392"/>
      <c r="U3" s="391" t="s">
        <v>5</v>
      </c>
      <c r="V3" s="392"/>
      <c r="W3" s="395" t="s">
        <v>6</v>
      </c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7"/>
      <c r="AJ3" s="401" t="s">
        <v>75</v>
      </c>
      <c r="AK3" s="404" t="s">
        <v>10</v>
      </c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6"/>
      <c r="BF3" s="410" t="s">
        <v>11</v>
      </c>
      <c r="BG3" s="379" t="s">
        <v>12</v>
      </c>
    </row>
    <row r="4" spans="1:59" ht="51.75" customHeight="1" hidden="1" thickBot="1">
      <c r="A4" s="415"/>
      <c r="B4" s="417"/>
      <c r="C4" s="419"/>
      <c r="D4" s="421"/>
      <c r="E4" s="415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332"/>
      <c r="S4" s="393"/>
      <c r="T4" s="394"/>
      <c r="U4" s="393"/>
      <c r="V4" s="394"/>
      <c r="W4" s="398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400"/>
      <c r="AJ4" s="402"/>
      <c r="AK4" s="407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9"/>
      <c r="BF4" s="411"/>
      <c r="BG4" s="380"/>
    </row>
    <row r="5" spans="1:59" ht="19.5" customHeight="1">
      <c r="A5" s="415"/>
      <c r="B5" s="417"/>
      <c r="C5" s="419"/>
      <c r="D5" s="421"/>
      <c r="E5" s="382" t="s">
        <v>13</v>
      </c>
      <c r="F5" s="383"/>
      <c r="G5" s="382" t="s">
        <v>96</v>
      </c>
      <c r="H5" s="383"/>
      <c r="I5" s="382" t="s">
        <v>14</v>
      </c>
      <c r="J5" s="383"/>
      <c r="K5" s="382" t="s">
        <v>16</v>
      </c>
      <c r="L5" s="383"/>
      <c r="M5" s="382" t="s">
        <v>15</v>
      </c>
      <c r="N5" s="383"/>
      <c r="O5" s="386" t="s">
        <v>17</v>
      </c>
      <c r="P5" s="386"/>
      <c r="Q5" s="382" t="s">
        <v>97</v>
      </c>
      <c r="R5" s="383"/>
      <c r="S5" s="386" t="s">
        <v>98</v>
      </c>
      <c r="T5" s="383"/>
      <c r="U5" s="389" t="s">
        <v>20</v>
      </c>
      <c r="V5" s="413" t="s">
        <v>21</v>
      </c>
      <c r="W5" s="375" t="s">
        <v>22</v>
      </c>
      <c r="X5" s="375" t="s">
        <v>99</v>
      </c>
      <c r="Y5" s="375" t="s">
        <v>23</v>
      </c>
      <c r="Z5" s="375" t="s">
        <v>25</v>
      </c>
      <c r="AA5" s="375" t="s">
        <v>24</v>
      </c>
      <c r="AB5" s="375" t="s">
        <v>26</v>
      </c>
      <c r="AC5" s="375" t="s">
        <v>27</v>
      </c>
      <c r="AD5" s="377" t="s">
        <v>28</v>
      </c>
      <c r="AE5" s="377" t="s">
        <v>100</v>
      </c>
      <c r="AF5" s="365" t="s">
        <v>29</v>
      </c>
      <c r="AG5" s="367" t="s">
        <v>87</v>
      </c>
      <c r="AH5" s="369" t="s">
        <v>8</v>
      </c>
      <c r="AI5" s="371" t="s">
        <v>9</v>
      </c>
      <c r="AJ5" s="402"/>
      <c r="AK5" s="373" t="s">
        <v>101</v>
      </c>
      <c r="AL5" s="363" t="s">
        <v>102</v>
      </c>
      <c r="AM5" s="363" t="s">
        <v>103</v>
      </c>
      <c r="AN5" s="357" t="s">
        <v>104</v>
      </c>
      <c r="AO5" s="363" t="s">
        <v>105</v>
      </c>
      <c r="AP5" s="357" t="s">
        <v>106</v>
      </c>
      <c r="AQ5" s="357" t="s">
        <v>107</v>
      </c>
      <c r="AR5" s="357" t="s">
        <v>108</v>
      </c>
      <c r="AS5" s="357" t="s">
        <v>109</v>
      </c>
      <c r="AT5" s="357" t="s">
        <v>36</v>
      </c>
      <c r="AU5" s="297" t="s">
        <v>110</v>
      </c>
      <c r="AV5" s="276" t="s">
        <v>111</v>
      </c>
      <c r="AW5" s="297" t="s">
        <v>112</v>
      </c>
      <c r="AX5" s="278" t="s">
        <v>113</v>
      </c>
      <c r="AY5" s="142"/>
      <c r="AZ5" s="355" t="s">
        <v>19</v>
      </c>
      <c r="BA5" s="357" t="s">
        <v>38</v>
      </c>
      <c r="BB5" s="357" t="s">
        <v>33</v>
      </c>
      <c r="BC5" s="359" t="s">
        <v>39</v>
      </c>
      <c r="BD5" s="361" t="s">
        <v>76</v>
      </c>
      <c r="BE5" s="357" t="s">
        <v>114</v>
      </c>
      <c r="BF5" s="411"/>
      <c r="BG5" s="380"/>
    </row>
    <row r="6" spans="1:59" ht="56.25" customHeight="1" thickBot="1">
      <c r="A6" s="415"/>
      <c r="B6" s="417"/>
      <c r="C6" s="419"/>
      <c r="D6" s="421"/>
      <c r="E6" s="384"/>
      <c r="F6" s="385"/>
      <c r="G6" s="384"/>
      <c r="H6" s="385"/>
      <c r="I6" s="384"/>
      <c r="J6" s="385"/>
      <c r="K6" s="384"/>
      <c r="L6" s="385"/>
      <c r="M6" s="384"/>
      <c r="N6" s="385"/>
      <c r="O6" s="387"/>
      <c r="P6" s="387"/>
      <c r="Q6" s="384"/>
      <c r="R6" s="385"/>
      <c r="S6" s="388"/>
      <c r="T6" s="385"/>
      <c r="U6" s="390"/>
      <c r="V6" s="414"/>
      <c r="W6" s="376"/>
      <c r="X6" s="376"/>
      <c r="Y6" s="376"/>
      <c r="Z6" s="376"/>
      <c r="AA6" s="376"/>
      <c r="AB6" s="376"/>
      <c r="AC6" s="376"/>
      <c r="AD6" s="378"/>
      <c r="AE6" s="378"/>
      <c r="AF6" s="366"/>
      <c r="AG6" s="368"/>
      <c r="AH6" s="370"/>
      <c r="AI6" s="372"/>
      <c r="AJ6" s="403"/>
      <c r="AK6" s="374"/>
      <c r="AL6" s="364"/>
      <c r="AM6" s="364"/>
      <c r="AN6" s="358"/>
      <c r="AO6" s="364"/>
      <c r="AP6" s="358"/>
      <c r="AQ6" s="358"/>
      <c r="AR6" s="358"/>
      <c r="AS6" s="358"/>
      <c r="AT6" s="358"/>
      <c r="AU6" s="298"/>
      <c r="AV6" s="277"/>
      <c r="AW6" s="298"/>
      <c r="AX6" s="279"/>
      <c r="AY6" s="143" t="s">
        <v>115</v>
      </c>
      <c r="AZ6" s="356"/>
      <c r="BA6" s="358"/>
      <c r="BB6" s="358"/>
      <c r="BC6" s="360"/>
      <c r="BD6" s="362"/>
      <c r="BE6" s="358"/>
      <c r="BF6" s="412"/>
      <c r="BG6" s="381"/>
    </row>
    <row r="7" spans="1:59" ht="19.5" customHeight="1" thickBot="1">
      <c r="A7" s="164">
        <v>1</v>
      </c>
      <c r="B7" s="165">
        <v>2</v>
      </c>
      <c r="C7" s="165">
        <v>3</v>
      </c>
      <c r="D7" s="164">
        <v>4</v>
      </c>
      <c r="E7" s="165">
        <v>5</v>
      </c>
      <c r="F7" s="165">
        <v>6</v>
      </c>
      <c r="G7" s="164">
        <v>7</v>
      </c>
      <c r="H7" s="165">
        <v>8</v>
      </c>
      <c r="I7" s="165">
        <v>9</v>
      </c>
      <c r="J7" s="164">
        <v>10</v>
      </c>
      <c r="K7" s="165">
        <v>11</v>
      </c>
      <c r="L7" s="165">
        <v>12</v>
      </c>
      <c r="M7" s="164">
        <v>13</v>
      </c>
      <c r="N7" s="165">
        <v>14</v>
      </c>
      <c r="O7" s="165">
        <v>15</v>
      </c>
      <c r="P7" s="164">
        <v>16</v>
      </c>
      <c r="Q7" s="165">
        <v>17</v>
      </c>
      <c r="R7" s="165">
        <v>18</v>
      </c>
      <c r="S7" s="164">
        <v>19</v>
      </c>
      <c r="T7" s="165">
        <v>20</v>
      </c>
      <c r="U7" s="165">
        <v>21</v>
      </c>
      <c r="V7" s="164">
        <v>22</v>
      </c>
      <c r="W7" s="165">
        <v>23</v>
      </c>
      <c r="X7" s="164">
        <v>24</v>
      </c>
      <c r="Y7" s="165">
        <v>25</v>
      </c>
      <c r="Z7" s="164">
        <v>26</v>
      </c>
      <c r="AA7" s="165">
        <v>27</v>
      </c>
      <c r="AB7" s="164">
        <v>28</v>
      </c>
      <c r="AC7" s="165">
        <v>29</v>
      </c>
      <c r="AD7" s="164">
        <v>30</v>
      </c>
      <c r="AE7" s="164">
        <v>31</v>
      </c>
      <c r="AF7" s="165">
        <v>32</v>
      </c>
      <c r="AG7" s="164">
        <v>33</v>
      </c>
      <c r="AH7" s="165">
        <v>34</v>
      </c>
      <c r="AI7" s="164">
        <v>35</v>
      </c>
      <c r="AJ7" s="165">
        <v>36</v>
      </c>
      <c r="AK7" s="164">
        <v>37</v>
      </c>
      <c r="AL7" s="165">
        <v>38</v>
      </c>
      <c r="AM7" s="164">
        <v>39</v>
      </c>
      <c r="AN7" s="164">
        <v>40</v>
      </c>
      <c r="AO7" s="165">
        <v>41</v>
      </c>
      <c r="AP7" s="164">
        <v>42</v>
      </c>
      <c r="AQ7" s="165">
        <v>43</v>
      </c>
      <c r="AR7" s="164"/>
      <c r="AS7" s="164">
        <v>44</v>
      </c>
      <c r="AT7" s="165">
        <v>45</v>
      </c>
      <c r="AU7" s="164">
        <v>46</v>
      </c>
      <c r="AV7" s="165">
        <v>47</v>
      </c>
      <c r="AW7" s="164">
        <v>48</v>
      </c>
      <c r="AX7" s="164">
        <v>49</v>
      </c>
      <c r="AY7" s="165"/>
      <c r="AZ7" s="165">
        <v>50</v>
      </c>
      <c r="BA7" s="165">
        <v>51</v>
      </c>
      <c r="BB7" s="165">
        <v>52</v>
      </c>
      <c r="BC7" s="165">
        <v>53</v>
      </c>
      <c r="BD7" s="165">
        <v>54</v>
      </c>
      <c r="BE7" s="165"/>
      <c r="BF7" s="165">
        <v>55</v>
      </c>
      <c r="BG7" s="165">
        <v>56</v>
      </c>
    </row>
    <row r="8" spans="1:59" s="20" customFormat="1" ht="13.5" thickBot="1">
      <c r="A8" s="22" t="s">
        <v>54</v>
      </c>
      <c r="B8" s="166"/>
      <c r="C8" s="166">
        <f>Лист1!C44</f>
        <v>1417177.767</v>
      </c>
      <c r="D8" s="166">
        <f>Лист1!D44</f>
        <v>165923.45975430007</v>
      </c>
      <c r="E8" s="166">
        <f>Лист1!E44</f>
        <v>129914.6</v>
      </c>
      <c r="F8" s="166">
        <f>Лист1!F44</f>
        <v>16187.34</v>
      </c>
      <c r="G8" s="166">
        <f>0</f>
        <v>0</v>
      </c>
      <c r="H8" s="166">
        <f>0</f>
        <v>0</v>
      </c>
      <c r="I8" s="166">
        <f>Лист1!G44</f>
        <v>172256.11000000002</v>
      </c>
      <c r="J8" s="166">
        <f>Лист1!H44</f>
        <v>21327.64</v>
      </c>
      <c r="K8" s="166">
        <f>Лист1!K44</f>
        <v>289330.95</v>
      </c>
      <c r="L8" s="166">
        <f>Лист1!L44</f>
        <v>35920.979999999996</v>
      </c>
      <c r="M8" s="166">
        <f>Лист1!I44</f>
        <v>417491.70000000007</v>
      </c>
      <c r="N8" s="166">
        <f>Лист1!J44</f>
        <v>52034.38</v>
      </c>
      <c r="O8" s="166">
        <f>Лист1!M44</f>
        <v>102725.73000000001</v>
      </c>
      <c r="P8" s="166">
        <f>Лист1!N44</f>
        <v>12749.819999999998</v>
      </c>
      <c r="Q8" s="166">
        <f>'[8]Лист1'!O44</f>
        <v>0</v>
      </c>
      <c r="R8" s="166">
        <f>'[8]Лист1'!P44</f>
        <v>0</v>
      </c>
      <c r="S8" s="166">
        <f>'[8]Лист1'!Q44</f>
        <v>0</v>
      </c>
      <c r="T8" s="166">
        <f>'[8]Лист1'!R44</f>
        <v>0</v>
      </c>
      <c r="U8" s="166">
        <f>Лист1!S44</f>
        <v>1111719.0899999999</v>
      </c>
      <c r="V8" s="166">
        <f>Лист1!T44</f>
        <v>138220.16000000003</v>
      </c>
      <c r="W8" s="166">
        <f>Лист1!U44</f>
        <v>122543.64000000001</v>
      </c>
      <c r="X8" s="166">
        <v>0</v>
      </c>
      <c r="Y8" s="166">
        <f>Лист1!V44</f>
        <v>165801.14</v>
      </c>
      <c r="Z8" s="166">
        <f>Лист1!X44</f>
        <v>276090.50999999995</v>
      </c>
      <c r="AA8" s="166">
        <f>Лист1!W44</f>
        <v>400222.65</v>
      </c>
      <c r="AB8" s="166">
        <f>Лист1!Y44</f>
        <v>98034.76999999999</v>
      </c>
      <c r="AC8" s="166">
        <f>'[7]Лист1'!Z42</f>
        <v>0</v>
      </c>
      <c r="AD8" s="166">
        <f>'[7]Лист1'!AA42</f>
        <v>0</v>
      </c>
      <c r="AE8" s="166">
        <f>0</f>
        <v>0</v>
      </c>
      <c r="AF8" s="166">
        <f>Лист1!AB44</f>
        <v>1062692.71</v>
      </c>
      <c r="AG8" s="166">
        <f>Лист1!AC44</f>
        <v>1366836.3297543</v>
      </c>
      <c r="AH8" s="166">
        <f>'[7]Лист1'!AD42</f>
        <v>0</v>
      </c>
      <c r="AI8" s="166">
        <f>'[7]Лист1'!AE42</f>
        <v>0</v>
      </c>
      <c r="AJ8" s="166">
        <f>Лист1!AF44</f>
        <v>171287.85872000002</v>
      </c>
      <c r="AK8" s="166">
        <f>Лист1!AG44</f>
        <v>96840.906</v>
      </c>
      <c r="AL8" s="166">
        <f>Лист1!AH44</f>
        <v>32451.138379199998</v>
      </c>
      <c r="AM8" s="166">
        <f>Лист1!AI44+Лист1!AJ44</f>
        <v>160751.528348097</v>
      </c>
      <c r="AN8" s="166">
        <v>0</v>
      </c>
      <c r="AO8" s="166">
        <f>Лист1!AK44+Лист1!AL44</f>
        <v>160412.7116005332</v>
      </c>
      <c r="AP8" s="166">
        <f>Лист1!AM44+Лист1!AN44</f>
        <v>358700.62082672084</v>
      </c>
      <c r="AQ8" s="166">
        <v>0</v>
      </c>
      <c r="AR8" s="166">
        <v>0</v>
      </c>
      <c r="AS8" s="166">
        <v>0</v>
      </c>
      <c r="AT8" s="166">
        <f>Лист1!AO44</f>
        <v>9636.84</v>
      </c>
      <c r="AU8" s="166">
        <f>Лист1!AS44</f>
        <v>107485.01000000001</v>
      </c>
      <c r="AV8" s="166">
        <v>0</v>
      </c>
      <c r="AW8" s="166">
        <f>Лист1!AT44+Лист1!AU44</f>
        <v>210105.10979999998</v>
      </c>
      <c r="AX8" s="166">
        <f>Лист1!AQ44+Лист1!AR44</f>
        <v>37592.21893999999</v>
      </c>
      <c r="AY8" s="167">
        <f>+Лист1!AX44</f>
        <v>46391.826799999995</v>
      </c>
      <c r="AZ8" s="167">
        <f>'[8]Лист1'!AY44</f>
        <v>0</v>
      </c>
      <c r="BA8" s="167">
        <v>0</v>
      </c>
      <c r="BB8" s="167">
        <v>0</v>
      </c>
      <c r="BC8" s="167">
        <f>Лист1!BB44</f>
        <v>1220367.9106945512</v>
      </c>
      <c r="BD8" s="166">
        <f>Лист1!BC44</f>
        <v>71229.27099840101</v>
      </c>
      <c r="BE8" s="168">
        <f>Лист1!BB44+Лист1!BC44</f>
        <v>1291597.1816929523</v>
      </c>
      <c r="BF8" s="169">
        <f>Лист1!BD44</f>
        <v>246527.00678134803</v>
      </c>
      <c r="BG8" s="170">
        <f>Лист1!BE44</f>
        <v>-49026.38</v>
      </c>
    </row>
    <row r="9" spans="1:59" ht="12.75">
      <c r="A9" s="5" t="s">
        <v>116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69"/>
      <c r="BG9" s="170"/>
    </row>
    <row r="10" spans="1:59" ht="12.75">
      <c r="A10" s="173" t="s">
        <v>45</v>
      </c>
      <c r="B10" s="145">
        <v>6048.11</v>
      </c>
      <c r="C10" s="131">
        <f aca="true" t="shared" si="0" ref="C10:C21">B10*8.55</f>
        <v>51711.3405</v>
      </c>
      <c r="D10" s="106">
        <v>820.2534</v>
      </c>
      <c r="E10" s="146">
        <v>0.67</v>
      </c>
      <c r="F10" s="147">
        <v>0</v>
      </c>
      <c r="G10" s="146">
        <v>32013.04</v>
      </c>
      <c r="H10" s="146">
        <v>0</v>
      </c>
      <c r="I10" s="146">
        <v>0.86</v>
      </c>
      <c r="J10" s="146">
        <v>0</v>
      </c>
      <c r="K10" s="146">
        <v>1.46</v>
      </c>
      <c r="L10" s="146">
        <v>0</v>
      </c>
      <c r="M10" s="146">
        <v>15261.93</v>
      </c>
      <c r="N10" s="146">
        <v>25.1</v>
      </c>
      <c r="O10" s="146">
        <v>5302.24</v>
      </c>
      <c r="P10" s="147">
        <v>0</v>
      </c>
      <c r="Q10" s="185">
        <v>0</v>
      </c>
      <c r="R10" s="175">
        <v>0</v>
      </c>
      <c r="S10" s="174">
        <v>0</v>
      </c>
      <c r="T10" s="175">
        <v>0</v>
      </c>
      <c r="U10" s="176">
        <f aca="true" t="shared" si="1" ref="U10:V21">E10+G10+I10+K10+M10+O10+Q10+S10</f>
        <v>52580.2</v>
      </c>
      <c r="V10" s="177">
        <f t="shared" si="1"/>
        <v>25.1</v>
      </c>
      <c r="W10" s="148">
        <v>4233.96</v>
      </c>
      <c r="X10" s="148"/>
      <c r="Y10" s="148">
        <v>5733.57</v>
      </c>
      <c r="Z10" s="148">
        <v>9544.17</v>
      </c>
      <c r="AA10" s="148">
        <v>13767.2</v>
      </c>
      <c r="AB10" s="148">
        <v>3387.15</v>
      </c>
      <c r="AC10" s="150">
        <v>0</v>
      </c>
      <c r="AD10" s="150">
        <v>0</v>
      </c>
      <c r="AE10" s="178">
        <v>0</v>
      </c>
      <c r="AF10" s="178">
        <f>SUM(W10:AE10)</f>
        <v>36666.049999999996</v>
      </c>
      <c r="AG10" s="179">
        <f>AF10+V10+D10</f>
        <v>37511.403399999996</v>
      </c>
      <c r="AH10" s="180">
        <f aca="true" t="shared" si="2" ref="AH10:AI21">AC10</f>
        <v>0</v>
      </c>
      <c r="AI10" s="180">
        <f t="shared" si="2"/>
        <v>0</v>
      </c>
      <c r="AJ10" s="152">
        <f>'[9]Т01'!$I$21+'[9]Т01'!$I$27+'[9]Т01'!$I$52+'[9]Т01'!$I$60+'[9]Т01'!$I$63+'[9]Т01'!$I$64+'[9]Т01'!$I$103+'[9]Т01'!$I$124+'[9]Т01'!$I$192</f>
        <v>8582.228000000001</v>
      </c>
      <c r="AK10" s="153">
        <f aca="true" t="shared" si="3" ref="AK10:AK21">0.67*B10</f>
        <v>4052.2337</v>
      </c>
      <c r="AL10" s="153">
        <f aca="true" t="shared" si="4" ref="AL10:AL21">B10*0.2</f>
        <v>1209.622</v>
      </c>
      <c r="AM10" s="153">
        <f aca="true" t="shared" si="5" ref="AM10:AM21">B10*1</f>
        <v>6048.11</v>
      </c>
      <c r="AN10" s="153">
        <f aca="true" t="shared" si="6" ref="AN10:AN21">B10*0.21</f>
        <v>1270.1030999999998</v>
      </c>
      <c r="AO10" s="153">
        <f aca="true" t="shared" si="7" ref="AO10:AO21">2.02*B10</f>
        <v>12217.1822</v>
      </c>
      <c r="AP10" s="153">
        <f aca="true" t="shared" si="8" ref="AP10:AP21">B10*1.03</f>
        <v>6229.5533</v>
      </c>
      <c r="AQ10" s="153">
        <f aca="true" t="shared" si="9" ref="AQ10:AQ21">B10*0.75</f>
        <v>4536.0824999999995</v>
      </c>
      <c r="AR10" s="153">
        <f aca="true" t="shared" si="10" ref="AR10:AR21">B10*0.75</f>
        <v>4536.0824999999995</v>
      </c>
      <c r="AS10" s="153">
        <f>B10*1.15</f>
        <v>6955.326499999999</v>
      </c>
      <c r="AT10" s="153">
        <f>1784.6*0.45</f>
        <v>803.0699999999999</v>
      </c>
      <c r="AU10" s="155">
        <v>2093</v>
      </c>
      <c r="AV10" s="154">
        <v>353</v>
      </c>
      <c r="AW10" s="155">
        <v>244</v>
      </c>
      <c r="AX10" s="155">
        <f>1549.6</f>
        <v>1549.6</v>
      </c>
      <c r="AY10" s="155"/>
      <c r="AZ10" s="121"/>
      <c r="BA10" s="137"/>
      <c r="BB10" s="158">
        <f>BA10*0.18</f>
        <v>0</v>
      </c>
      <c r="BC10" s="158">
        <f>SUM(AK10:BB10)</f>
        <v>52096.96579999999</v>
      </c>
      <c r="BD10" s="159">
        <f>'[9]Т01'!$R$21+'[9]Т01'!$R$27+'[9]Т01'!$R$52+'[9]Т01'!$R$60+'[9]Т01'!$R$63+'[9]Т01'!$R$64+'[9]Т01'!$R$103+'[9]Т01'!$R$124+'[9]Т01'!$R$192</f>
        <v>5554.4259999999995</v>
      </c>
      <c r="BE10" s="159">
        <f>BC10+BD10</f>
        <v>57651.39179999999</v>
      </c>
      <c r="BF10" s="159">
        <f>AG10+AJ10-BE10</f>
        <v>-11557.760399999992</v>
      </c>
      <c r="BG10" s="159">
        <f>AF10-U10</f>
        <v>-15914.150000000001</v>
      </c>
    </row>
    <row r="11" spans="1:59" ht="12.75">
      <c r="A11" s="173" t="s">
        <v>46</v>
      </c>
      <c r="B11" s="145">
        <v>6048.11</v>
      </c>
      <c r="C11" s="131">
        <f t="shared" si="0"/>
        <v>51711.3405</v>
      </c>
      <c r="D11" s="106">
        <v>820.2534</v>
      </c>
      <c r="E11" s="146">
        <v>0</v>
      </c>
      <c r="F11" s="147">
        <v>0</v>
      </c>
      <c r="G11" s="146">
        <v>30832.71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15259.83</v>
      </c>
      <c r="N11" s="146">
        <v>0</v>
      </c>
      <c r="O11" s="146">
        <v>5301.71</v>
      </c>
      <c r="P11" s="146">
        <v>0</v>
      </c>
      <c r="Q11" s="147">
        <v>0</v>
      </c>
      <c r="R11" s="147">
        <v>0</v>
      </c>
      <c r="S11" s="150">
        <v>0</v>
      </c>
      <c r="T11" s="148">
        <v>0</v>
      </c>
      <c r="U11" s="181">
        <f t="shared" si="1"/>
        <v>51394.25</v>
      </c>
      <c r="V11" s="177">
        <f t="shared" si="1"/>
        <v>0</v>
      </c>
      <c r="W11" s="148">
        <v>1082.19</v>
      </c>
      <c r="X11" s="150">
        <v>27813.38</v>
      </c>
      <c r="Y11" s="148">
        <v>1466.41</v>
      </c>
      <c r="Z11" s="148">
        <v>2440.74</v>
      </c>
      <c r="AA11" s="148">
        <v>16639.59</v>
      </c>
      <c r="AB11" s="148">
        <v>5519.31</v>
      </c>
      <c r="AC11" s="150">
        <v>0</v>
      </c>
      <c r="AD11" s="150">
        <v>0</v>
      </c>
      <c r="AE11" s="150">
        <v>0</v>
      </c>
      <c r="AF11" s="178">
        <f>SUM(W11:AE11)</f>
        <v>54961.619999999995</v>
      </c>
      <c r="AG11" s="179">
        <f>AF11+V11+D11</f>
        <v>55781.8734</v>
      </c>
      <c r="AH11" s="180">
        <f t="shared" si="2"/>
        <v>0</v>
      </c>
      <c r="AI11" s="180">
        <f t="shared" si="2"/>
        <v>0</v>
      </c>
      <c r="AJ11" s="152">
        <f>'[9]Т02'!$J$21+'[9]Т02'!$J$27+'[9]Т02'!$J$52+'[9]Т02'!$J$60+'[9]Т02'!$J$63+'[9]Т02'!$J$64+'[9]Т02'!$J$103+'[9]Т02'!$J$124+'[9]Т02'!$J$194</f>
        <v>8582.228000000001</v>
      </c>
      <c r="AK11" s="153">
        <f t="shared" si="3"/>
        <v>4052.2337</v>
      </c>
      <c r="AL11" s="153">
        <f t="shared" si="4"/>
        <v>1209.622</v>
      </c>
      <c r="AM11" s="153">
        <f t="shared" si="5"/>
        <v>6048.11</v>
      </c>
      <c r="AN11" s="153">
        <f t="shared" si="6"/>
        <v>1270.1030999999998</v>
      </c>
      <c r="AO11" s="153">
        <f t="shared" si="7"/>
        <v>12217.1822</v>
      </c>
      <c r="AP11" s="153">
        <f t="shared" si="8"/>
        <v>6229.5533</v>
      </c>
      <c r="AQ11" s="153">
        <f t="shared" si="9"/>
        <v>4536.0824999999995</v>
      </c>
      <c r="AR11" s="153">
        <f t="shared" si="10"/>
        <v>4536.0824999999995</v>
      </c>
      <c r="AS11" s="153">
        <f>B11*1.15</f>
        <v>6955.326499999999</v>
      </c>
      <c r="AT11" s="153">
        <f>1784.6*0.45</f>
        <v>803.0699999999999</v>
      </c>
      <c r="AU11" s="155">
        <v>2182</v>
      </c>
      <c r="AV11" s="154">
        <v>4171</v>
      </c>
      <c r="AW11" s="155"/>
      <c r="AX11" s="155">
        <f>33.84+16</f>
        <v>49.84</v>
      </c>
      <c r="AY11" s="155"/>
      <c r="AZ11" s="121"/>
      <c r="BA11" s="137"/>
      <c r="BB11" s="158">
        <f>BA11*0.18</f>
        <v>0</v>
      </c>
      <c r="BC11" s="158">
        <f aca="true" t="shared" si="11" ref="BC11:BC21">SUM(AK11:BB11)</f>
        <v>54260.20579999999</v>
      </c>
      <c r="BD11" s="159">
        <f>'[9]Т02'!$S$21+'[9]Т02'!$S$27+'[9]Т02'!$S$52+'[9]Т02'!$S$60+'[9]Т02'!$S$63+'[9]Т02'!$S$64+'[9]Т02'!$S$103+'[9]Т02'!$S$124+'[9]Т02'!$S$193</f>
        <v>5554.4259999999995</v>
      </c>
      <c r="BE11" s="159">
        <f aca="true" t="shared" si="12" ref="BE11:BE21">BC11+BD11</f>
        <v>59814.63179999999</v>
      </c>
      <c r="BF11" s="159">
        <f aca="true" t="shared" si="13" ref="BF11:BF21">AG11+AJ11-BE11</f>
        <v>4549.469600000011</v>
      </c>
      <c r="BG11" s="159">
        <f aca="true" t="shared" si="14" ref="BG11:BG21">AF11-U11</f>
        <v>3567.3699999999953</v>
      </c>
    </row>
    <row r="12" spans="1:59" ht="12.75">
      <c r="A12" s="173" t="s">
        <v>47</v>
      </c>
      <c r="B12" s="145">
        <v>6048.11</v>
      </c>
      <c r="C12" s="131">
        <f t="shared" si="0"/>
        <v>51711.3405</v>
      </c>
      <c r="D12" s="106">
        <v>820.2534</v>
      </c>
      <c r="E12" s="146">
        <v>0</v>
      </c>
      <c r="F12" s="147">
        <v>0</v>
      </c>
      <c r="G12" s="146">
        <v>31398.39</v>
      </c>
      <c r="H12" s="146">
        <v>51.7</v>
      </c>
      <c r="I12" s="146">
        <v>0</v>
      </c>
      <c r="J12" s="146">
        <v>0</v>
      </c>
      <c r="K12" s="146">
        <v>0</v>
      </c>
      <c r="L12" s="146">
        <v>0</v>
      </c>
      <c r="M12" s="146">
        <v>15247.8</v>
      </c>
      <c r="N12" s="146">
        <v>25.1</v>
      </c>
      <c r="O12" s="146">
        <v>5897.41</v>
      </c>
      <c r="P12" s="146">
        <v>0</v>
      </c>
      <c r="Q12" s="146">
        <v>0</v>
      </c>
      <c r="R12" s="146">
        <v>0</v>
      </c>
      <c r="S12" s="146">
        <v>600</v>
      </c>
      <c r="T12" s="148">
        <v>0</v>
      </c>
      <c r="U12" s="148">
        <f t="shared" si="1"/>
        <v>53143.600000000006</v>
      </c>
      <c r="V12" s="149">
        <f t="shared" si="1"/>
        <v>76.80000000000001</v>
      </c>
      <c r="W12" s="182">
        <v>661.63</v>
      </c>
      <c r="X12" s="150">
        <v>29762.18</v>
      </c>
      <c r="Y12" s="148">
        <v>896.69</v>
      </c>
      <c r="Z12" s="148">
        <v>1492.24</v>
      </c>
      <c r="AA12" s="148">
        <v>16041.46</v>
      </c>
      <c r="AB12" s="148">
        <v>5397.75</v>
      </c>
      <c r="AC12" s="150">
        <v>0</v>
      </c>
      <c r="AD12" s="150">
        <v>0</v>
      </c>
      <c r="AE12" s="148">
        <v>0</v>
      </c>
      <c r="AF12" s="183">
        <f>SUM(W12:AE12)</f>
        <v>54251.95</v>
      </c>
      <c r="AG12" s="179">
        <f>AF12+V12+D12</f>
        <v>55149.0034</v>
      </c>
      <c r="AH12" s="180">
        <f t="shared" si="2"/>
        <v>0</v>
      </c>
      <c r="AI12" s="180">
        <f t="shared" si="2"/>
        <v>0</v>
      </c>
      <c r="AJ12" s="152">
        <f>'[9]Т03'!$J$21+'[9]Т03'!$J$27+'[9]Т03'!$J$52+'[9]Т03'!$J$60+'[9]Т03'!$J$63+'[9]Т03'!$J$64+'[9]Т03'!$J$103+'[9]Т03'!$J$124+'[9]Т03'!$J$194</f>
        <v>8582.228000000001</v>
      </c>
      <c r="AK12" s="153">
        <f t="shared" si="3"/>
        <v>4052.2337</v>
      </c>
      <c r="AL12" s="153">
        <f t="shared" si="4"/>
        <v>1209.622</v>
      </c>
      <c r="AM12" s="153">
        <f t="shared" si="5"/>
        <v>6048.11</v>
      </c>
      <c r="AN12" s="153">
        <f t="shared" si="6"/>
        <v>1270.1030999999998</v>
      </c>
      <c r="AO12" s="153">
        <f t="shared" si="7"/>
        <v>12217.1822</v>
      </c>
      <c r="AP12" s="153">
        <f t="shared" si="8"/>
        <v>6229.5533</v>
      </c>
      <c r="AQ12" s="153">
        <f t="shared" si="9"/>
        <v>4536.0824999999995</v>
      </c>
      <c r="AR12" s="153">
        <f t="shared" si="10"/>
        <v>4536.0824999999995</v>
      </c>
      <c r="AS12" s="153">
        <f>B12*1.15</f>
        <v>6955.326499999999</v>
      </c>
      <c r="AT12" s="153">
        <f>1784.6*0.45</f>
        <v>803.0699999999999</v>
      </c>
      <c r="AU12" s="155">
        <v>10342</v>
      </c>
      <c r="AV12" s="154">
        <v>2878</v>
      </c>
      <c r="AW12" s="155"/>
      <c r="AX12" s="155">
        <f>'[15]март 2011'!$F$165+26400</f>
        <v>26579</v>
      </c>
      <c r="AY12" s="155"/>
      <c r="AZ12" s="121"/>
      <c r="BA12" s="137"/>
      <c r="BB12" s="158">
        <f>BA12*0.18</f>
        <v>0</v>
      </c>
      <c r="BC12" s="158">
        <f t="shared" si="11"/>
        <v>87656.3658</v>
      </c>
      <c r="BD12" s="159">
        <f>'[9]Т03'!$S$21+'[9]Т03'!$S$27+'[9]Т03'!$S$52+'[9]Т03'!$S$60+'[9]Т03'!$S$63+'[9]Т03'!$S$64+'[9]Т03'!$S$103+'[9]Т03'!$S$124+'[9]Т03'!$S$194</f>
        <v>5554.4259999999995</v>
      </c>
      <c r="BE12" s="159">
        <f t="shared" si="12"/>
        <v>93210.7918</v>
      </c>
      <c r="BF12" s="159">
        <f t="shared" si="13"/>
        <v>-29479.560400000002</v>
      </c>
      <c r="BG12" s="159">
        <f t="shared" si="14"/>
        <v>1108.3499999999913</v>
      </c>
    </row>
    <row r="13" spans="1:59" ht="12.75">
      <c r="A13" s="173" t="s">
        <v>48</v>
      </c>
      <c r="B13" s="255">
        <v>6046.81</v>
      </c>
      <c r="C13" s="131">
        <f t="shared" si="0"/>
        <v>51700.22550000001</v>
      </c>
      <c r="D13" s="106">
        <v>820.2534</v>
      </c>
      <c r="E13" s="174">
        <v>0</v>
      </c>
      <c r="F13" s="147">
        <v>0</v>
      </c>
      <c r="G13" s="184">
        <v>31388.02</v>
      </c>
      <c r="H13" s="146">
        <v>51.7</v>
      </c>
      <c r="I13" s="146">
        <v>0</v>
      </c>
      <c r="J13" s="146">
        <v>0</v>
      </c>
      <c r="K13" s="146">
        <v>0</v>
      </c>
      <c r="L13" s="146">
        <v>0</v>
      </c>
      <c r="M13" s="146">
        <v>15242.73</v>
      </c>
      <c r="N13" s="146">
        <v>25.1</v>
      </c>
      <c r="O13" s="146">
        <v>5915.64</v>
      </c>
      <c r="P13" s="146">
        <v>0</v>
      </c>
      <c r="Q13" s="147">
        <v>0</v>
      </c>
      <c r="R13" s="147">
        <v>0</v>
      </c>
      <c r="S13" s="185">
        <v>620</v>
      </c>
      <c r="T13" s="186">
        <v>0</v>
      </c>
      <c r="U13" s="181">
        <f t="shared" si="1"/>
        <v>53166.39</v>
      </c>
      <c r="V13" s="149">
        <f t="shared" si="1"/>
        <v>76.80000000000001</v>
      </c>
      <c r="W13" s="148">
        <v>132.22</v>
      </c>
      <c r="X13" s="150">
        <v>30221.89</v>
      </c>
      <c r="Y13" s="148">
        <v>179.16</v>
      </c>
      <c r="Z13" s="148">
        <v>298.18</v>
      </c>
      <c r="AA13" s="148">
        <v>15043.09</v>
      </c>
      <c r="AB13" s="150">
        <v>5188.89</v>
      </c>
      <c r="AC13" s="148">
        <v>0</v>
      </c>
      <c r="AD13" s="150">
        <v>0</v>
      </c>
      <c r="AE13" s="150">
        <v>739.93</v>
      </c>
      <c r="AF13" s="178">
        <f>SUM(W13:AE13)</f>
        <v>51803.36</v>
      </c>
      <c r="AG13" s="187">
        <f>AF13+V13+D13</f>
        <v>52700.413400000005</v>
      </c>
      <c r="AH13" s="188">
        <f t="shared" si="2"/>
        <v>0</v>
      </c>
      <c r="AI13" s="188">
        <f t="shared" si="2"/>
        <v>0</v>
      </c>
      <c r="AJ13" s="189">
        <f>'[10]Т04'!$J$21+'[10]Т04'!$J$27+'[10]Т04'!$J$52+'[10]Т04'!$J$60+'[10]Т04'!$J$63+'[10]Т04'!$J$64+'[10]Т04'!$J$104+'[10]Т04'!$J$125+'[10]Т04'!$J$196</f>
        <v>8582.228000000001</v>
      </c>
      <c r="AK13" s="153">
        <f t="shared" si="3"/>
        <v>4051.3627000000006</v>
      </c>
      <c r="AL13" s="153">
        <f t="shared" si="4"/>
        <v>1209.362</v>
      </c>
      <c r="AM13" s="153">
        <f t="shared" si="5"/>
        <v>6046.81</v>
      </c>
      <c r="AN13" s="153">
        <f t="shared" si="6"/>
        <v>1269.8301000000001</v>
      </c>
      <c r="AO13" s="153">
        <f t="shared" si="7"/>
        <v>12214.5562</v>
      </c>
      <c r="AP13" s="153">
        <f t="shared" si="8"/>
        <v>6228.214300000001</v>
      </c>
      <c r="AQ13" s="153">
        <f t="shared" si="9"/>
        <v>4535.1075</v>
      </c>
      <c r="AR13" s="153">
        <f t="shared" si="10"/>
        <v>4535.1075</v>
      </c>
      <c r="AS13" s="153"/>
      <c r="AT13" s="190">
        <f aca="true" t="shared" si="15" ref="AT13:AT21">0.45*1784.6</f>
        <v>803.0699999999999</v>
      </c>
      <c r="AU13" s="191">
        <v>2324</v>
      </c>
      <c r="AV13" s="191">
        <v>4261</v>
      </c>
      <c r="AW13" s="191"/>
      <c r="AX13" s="191">
        <f>10+80+15+24+17+13.8+26.65</f>
        <v>186.45000000000002</v>
      </c>
      <c r="AY13" s="191"/>
      <c r="AZ13" s="121"/>
      <c r="BA13" s="190"/>
      <c r="BB13" s="190"/>
      <c r="BC13" s="158">
        <f t="shared" si="11"/>
        <v>47664.870299999995</v>
      </c>
      <c r="BD13" s="192">
        <f>'[9]Т04'!$S$21+'[9]Т04'!$S$27+'[9]Т04'!$S$52+'[9]Т04'!$S$60+'[9]Т04'!$S$63+'[9]Т04'!$S$64+'[9]Т04'!$S$104+'[9]Т04'!$S$125+'[9]Т04'!$S$196</f>
        <v>5554.4259999999995</v>
      </c>
      <c r="BE13" s="159">
        <f t="shared" si="12"/>
        <v>53219.296299999995</v>
      </c>
      <c r="BF13" s="159">
        <f t="shared" si="13"/>
        <v>8063.345100000013</v>
      </c>
      <c r="BG13" s="159">
        <f t="shared" si="14"/>
        <v>-1363.0299999999988</v>
      </c>
    </row>
    <row r="14" spans="1:59" ht="12.75">
      <c r="A14" s="173" t="s">
        <v>49</v>
      </c>
      <c r="B14" s="193">
        <v>6046.81</v>
      </c>
      <c r="C14" s="131">
        <f t="shared" si="0"/>
        <v>51700.22550000001</v>
      </c>
      <c r="D14" s="106">
        <v>820.2534</v>
      </c>
      <c r="E14" s="184">
        <v>0</v>
      </c>
      <c r="F14" s="147">
        <v>0</v>
      </c>
      <c r="G14" s="146">
        <v>31395</v>
      </c>
      <c r="H14" s="146">
        <v>51.7</v>
      </c>
      <c r="I14" s="146">
        <v>0</v>
      </c>
      <c r="J14" s="146">
        <v>0</v>
      </c>
      <c r="K14" s="146">
        <v>0</v>
      </c>
      <c r="L14" s="146">
        <v>0</v>
      </c>
      <c r="M14" s="146">
        <v>15246.15</v>
      </c>
      <c r="N14" s="146">
        <v>25.1</v>
      </c>
      <c r="O14" s="146">
        <v>5601.88</v>
      </c>
      <c r="P14" s="146">
        <v>0</v>
      </c>
      <c r="Q14" s="147">
        <v>0</v>
      </c>
      <c r="R14" s="147">
        <v>0</v>
      </c>
      <c r="S14" s="146">
        <v>305</v>
      </c>
      <c r="T14" s="150">
        <v>0</v>
      </c>
      <c r="U14" s="194">
        <f t="shared" si="1"/>
        <v>52548.03</v>
      </c>
      <c r="V14" s="195">
        <f>F14+H14+J14+L14+N14++R14+T14</f>
        <v>76.80000000000001</v>
      </c>
      <c r="W14" s="148">
        <v>37.16</v>
      </c>
      <c r="X14" s="150">
        <v>24295.32</v>
      </c>
      <c r="Y14" s="148">
        <v>50.39</v>
      </c>
      <c r="Z14" s="148">
        <v>83.86</v>
      </c>
      <c r="AA14" s="148">
        <v>11909.08</v>
      </c>
      <c r="AB14" s="148">
        <v>6257.42</v>
      </c>
      <c r="AC14" s="150">
        <v>0</v>
      </c>
      <c r="AD14" s="150">
        <v>0</v>
      </c>
      <c r="AE14" s="178">
        <v>199.99</v>
      </c>
      <c r="AF14" s="196">
        <f>SUM(W14:AE14)</f>
        <v>42833.219999999994</v>
      </c>
      <c r="AG14" s="187">
        <f aca="true" t="shared" si="16" ref="AG14:AG21">D14+V14+AF14</f>
        <v>43730.27339999999</v>
      </c>
      <c r="AH14" s="188">
        <f t="shared" si="2"/>
        <v>0</v>
      </c>
      <c r="AI14" s="188">
        <f t="shared" si="2"/>
        <v>0</v>
      </c>
      <c r="AJ14" s="189">
        <f>'[9]Т05'!$J$21+'[9]Т05'!$J$27+'[9]Т05'!$J$52+'[9]Т05'!$J$60+'[9]Т05'!$J$63+'[9]Т05'!$J$64+'[9]Т05'!$J$102+'[9]Т05'!$J$123+'[9]Т05'!$J$194</f>
        <v>8582.228000000001</v>
      </c>
      <c r="AK14" s="153">
        <f t="shared" si="3"/>
        <v>4051.3627000000006</v>
      </c>
      <c r="AL14" s="153">
        <f t="shared" si="4"/>
        <v>1209.362</v>
      </c>
      <c r="AM14" s="153">
        <f t="shared" si="5"/>
        <v>6046.81</v>
      </c>
      <c r="AN14" s="153">
        <f t="shared" si="6"/>
        <v>1269.8301000000001</v>
      </c>
      <c r="AO14" s="153">
        <f t="shared" si="7"/>
        <v>12214.5562</v>
      </c>
      <c r="AP14" s="153">
        <f t="shared" si="8"/>
        <v>6228.214300000001</v>
      </c>
      <c r="AQ14" s="153">
        <f t="shared" si="9"/>
        <v>4535.1075</v>
      </c>
      <c r="AR14" s="153">
        <f t="shared" si="10"/>
        <v>4535.1075</v>
      </c>
      <c r="AS14" s="153"/>
      <c r="AT14" s="190">
        <f t="shared" si="15"/>
        <v>803.0699999999999</v>
      </c>
      <c r="AU14" s="191"/>
      <c r="AV14" s="191"/>
      <c r="AW14" s="191">
        <v>2707</v>
      </c>
      <c r="AX14" s="191">
        <v>34</v>
      </c>
      <c r="AY14" s="191"/>
      <c r="AZ14" s="121"/>
      <c r="BA14" s="190"/>
      <c r="BB14" s="190"/>
      <c r="BC14" s="158">
        <f t="shared" si="11"/>
        <v>43634.4203</v>
      </c>
      <c r="BD14" s="192">
        <f>'[9]Т05'!$S$21+'[9]Т05'!$S$27+'[9]Т05'!$S$52+'[9]Т05'!$S$60+'[9]Т05'!$S$63+'[9]Т05'!$S$64+'[9]Т05'!$S$102+'[9]Т05'!$S$123+'[9]Т05'!$S$194</f>
        <v>5554.4259999999995</v>
      </c>
      <c r="BE14" s="159">
        <f t="shared" si="12"/>
        <v>49188.8463</v>
      </c>
      <c r="BF14" s="159">
        <f t="shared" si="13"/>
        <v>3123.6550999999963</v>
      </c>
      <c r="BG14" s="159">
        <f t="shared" si="14"/>
        <v>-9714.810000000005</v>
      </c>
    </row>
    <row r="15" spans="1:59" ht="12.75">
      <c r="A15" s="173" t="s">
        <v>50</v>
      </c>
      <c r="B15" s="145">
        <v>6046.81</v>
      </c>
      <c r="C15" s="131">
        <f t="shared" si="0"/>
        <v>51700.22550000001</v>
      </c>
      <c r="D15" s="106">
        <v>820.2534</v>
      </c>
      <c r="E15" s="197">
        <v>0</v>
      </c>
      <c r="F15" s="197"/>
      <c r="G15" s="197">
        <v>31390.82</v>
      </c>
      <c r="H15" s="197">
        <v>51.7</v>
      </c>
      <c r="I15" s="198">
        <v>0</v>
      </c>
      <c r="J15" s="198"/>
      <c r="K15" s="198">
        <v>0</v>
      </c>
      <c r="L15" s="198"/>
      <c r="M15" s="198">
        <v>15244.11</v>
      </c>
      <c r="N15" s="198">
        <v>25.1</v>
      </c>
      <c r="O15" s="198">
        <v>5296.15</v>
      </c>
      <c r="P15" s="198"/>
      <c r="Q15" s="198">
        <v>0</v>
      </c>
      <c r="R15" s="199"/>
      <c r="S15" s="199">
        <v>305</v>
      </c>
      <c r="T15" s="198"/>
      <c r="U15" s="200">
        <f t="shared" si="1"/>
        <v>52236.08</v>
      </c>
      <c r="V15" s="201">
        <f t="shared" si="1"/>
        <v>76.80000000000001</v>
      </c>
      <c r="W15" s="202">
        <v>2282.36</v>
      </c>
      <c r="X15" s="197">
        <v>33342.24</v>
      </c>
      <c r="Y15" s="197">
        <v>313.62</v>
      </c>
      <c r="Z15" s="197">
        <v>521.84</v>
      </c>
      <c r="AA15" s="197">
        <v>16927.75</v>
      </c>
      <c r="AB15" s="197">
        <v>5548.97</v>
      </c>
      <c r="AC15" s="197">
        <v>0</v>
      </c>
      <c r="AD15" s="197">
        <v>0</v>
      </c>
      <c r="AE15" s="203">
        <v>409.82</v>
      </c>
      <c r="AF15" s="204">
        <f aca="true" t="shared" si="17" ref="AF15:AF21">SUM(W15:AE15)</f>
        <v>59346.6</v>
      </c>
      <c r="AG15" s="187">
        <f t="shared" si="16"/>
        <v>60243.653399999996</v>
      </c>
      <c r="AH15" s="188">
        <f t="shared" si="2"/>
        <v>0</v>
      </c>
      <c r="AI15" s="188">
        <f t="shared" si="2"/>
        <v>0</v>
      </c>
      <c r="AJ15" s="189">
        <f>'[9]Т06'!$J$21+'[9]Т06'!$J$27+'[9]Т06'!$J$52+'[9]Т06'!$J$60+'[9]Т06'!$J$63+'[9]Т06'!$J$64+'[9]Т06'!$J$102+'[9]Т06'!$J$123+'[9]Т06'!$J$194</f>
        <v>8582.228000000001</v>
      </c>
      <c r="AK15" s="153">
        <f t="shared" si="3"/>
        <v>4051.3627000000006</v>
      </c>
      <c r="AL15" s="153">
        <f t="shared" si="4"/>
        <v>1209.362</v>
      </c>
      <c r="AM15" s="153">
        <f t="shared" si="5"/>
        <v>6046.81</v>
      </c>
      <c r="AN15" s="153">
        <f t="shared" si="6"/>
        <v>1269.8301000000001</v>
      </c>
      <c r="AO15" s="153">
        <f t="shared" si="7"/>
        <v>12214.5562</v>
      </c>
      <c r="AP15" s="153">
        <f t="shared" si="8"/>
        <v>6228.214300000001</v>
      </c>
      <c r="AQ15" s="153">
        <f t="shared" si="9"/>
        <v>4535.1075</v>
      </c>
      <c r="AR15" s="153">
        <f t="shared" si="10"/>
        <v>4535.1075</v>
      </c>
      <c r="AS15" s="153"/>
      <c r="AT15" s="190">
        <f t="shared" si="15"/>
        <v>803.0699999999999</v>
      </c>
      <c r="AU15" s="191"/>
      <c r="AV15" s="191">
        <v>1029</v>
      </c>
      <c r="AW15" s="191"/>
      <c r="AX15" s="191">
        <f>784</f>
        <v>784</v>
      </c>
      <c r="AY15" s="191"/>
      <c r="AZ15" s="153"/>
      <c r="BA15" s="190"/>
      <c r="BB15" s="190"/>
      <c r="BC15" s="158">
        <f t="shared" si="11"/>
        <v>42706.4203</v>
      </c>
      <c r="BD15" s="192">
        <f>'[9]Т06'!$S$21+'[9]Т06'!$S$27+'[9]Т06'!$S$52+'[9]Т06'!$S$60+'[9]Т06'!$S$63+'[9]Т06'!$S$64+'[9]Т06'!$S$102+'[9]Т06'!$S$123+'[9]Т06'!$S$194</f>
        <v>5554.4259999999995</v>
      </c>
      <c r="BE15" s="159">
        <f t="shared" si="12"/>
        <v>48260.8463</v>
      </c>
      <c r="BF15" s="159">
        <f t="shared" si="13"/>
        <v>20565.0351</v>
      </c>
      <c r="BG15" s="159">
        <f t="shared" si="14"/>
        <v>7110.519999999997</v>
      </c>
    </row>
    <row r="16" spans="1:59" ht="12.75">
      <c r="A16" s="173" t="s">
        <v>51</v>
      </c>
      <c r="B16" s="145">
        <v>6046.81</v>
      </c>
      <c r="C16" s="131">
        <f t="shared" si="0"/>
        <v>51700.22550000001</v>
      </c>
      <c r="D16" s="106">
        <v>820.2534</v>
      </c>
      <c r="E16" s="205"/>
      <c r="F16" s="205"/>
      <c r="G16" s="205">
        <v>31387.41</v>
      </c>
      <c r="H16" s="205">
        <v>51.7</v>
      </c>
      <c r="I16" s="205"/>
      <c r="J16" s="205"/>
      <c r="K16" s="205"/>
      <c r="L16" s="205"/>
      <c r="M16" s="205">
        <v>15242.43</v>
      </c>
      <c r="N16" s="205">
        <v>25.1</v>
      </c>
      <c r="O16" s="205">
        <v>5295.53</v>
      </c>
      <c r="P16" s="205"/>
      <c r="Q16" s="205"/>
      <c r="R16" s="205"/>
      <c r="S16" s="206">
        <v>305</v>
      </c>
      <c r="T16" s="202"/>
      <c r="U16" s="207">
        <f t="shared" si="1"/>
        <v>52230.369999999995</v>
      </c>
      <c r="V16" s="208">
        <f t="shared" si="1"/>
        <v>76.80000000000001</v>
      </c>
      <c r="W16" s="209">
        <v>3.4</v>
      </c>
      <c r="X16" s="205">
        <v>31610.21</v>
      </c>
      <c r="Y16" s="205">
        <v>2134.6</v>
      </c>
      <c r="Z16" s="205">
        <v>7.66</v>
      </c>
      <c r="AA16" s="205">
        <v>15265.61</v>
      </c>
      <c r="AB16" s="205">
        <v>5340.7</v>
      </c>
      <c r="AC16" s="197"/>
      <c r="AD16" s="205"/>
      <c r="AE16" s="206">
        <v>235.06</v>
      </c>
      <c r="AF16" s="204">
        <f t="shared" si="17"/>
        <v>54597.24</v>
      </c>
      <c r="AG16" s="210">
        <f t="shared" si="16"/>
        <v>55494.293399999995</v>
      </c>
      <c r="AH16" s="188">
        <f t="shared" si="2"/>
        <v>0</v>
      </c>
      <c r="AI16" s="188">
        <f t="shared" si="2"/>
        <v>0</v>
      </c>
      <c r="AJ16" s="189">
        <f>'[9]Т07'!$J$21+'[9]Т07'!$J$27+'[9]Т07'!$J$52+'[9]Т07'!$J$60+'[9]Т07'!$J$63+'[9]Т07'!$J$64+'[9]Т07'!$J$102+'[9]Т07'!$J$123+'[9]Т07'!$J$198</f>
        <v>8582.228000000001</v>
      </c>
      <c r="AK16" s="153">
        <f t="shared" si="3"/>
        <v>4051.3627000000006</v>
      </c>
      <c r="AL16" s="153">
        <f t="shared" si="4"/>
        <v>1209.362</v>
      </c>
      <c r="AM16" s="153">
        <f t="shared" si="5"/>
        <v>6046.81</v>
      </c>
      <c r="AN16" s="153">
        <f t="shared" si="6"/>
        <v>1269.8301000000001</v>
      </c>
      <c r="AO16" s="153">
        <f t="shared" si="7"/>
        <v>12214.5562</v>
      </c>
      <c r="AP16" s="153">
        <f t="shared" si="8"/>
        <v>6228.214300000001</v>
      </c>
      <c r="AQ16" s="153">
        <f t="shared" si="9"/>
        <v>4535.1075</v>
      </c>
      <c r="AR16" s="153">
        <f t="shared" si="10"/>
        <v>4535.1075</v>
      </c>
      <c r="AS16" s="153"/>
      <c r="AT16" s="190">
        <f t="shared" si="15"/>
        <v>803.0699999999999</v>
      </c>
      <c r="AU16" s="191">
        <v>10456</v>
      </c>
      <c r="AV16" s="191"/>
      <c r="AW16" s="191"/>
      <c r="AX16" s="191">
        <f>106.6+74.43+18.86+8.14+24</f>
        <v>232.02999999999997</v>
      </c>
      <c r="AY16" s="191"/>
      <c r="AZ16" s="121"/>
      <c r="BA16" s="190"/>
      <c r="BB16" s="190"/>
      <c r="BC16" s="158">
        <f t="shared" si="11"/>
        <v>51581.4503</v>
      </c>
      <c r="BD16" s="192">
        <f>'[9]Т07'!$S$21+'[9]Т07'!$S$27+'[9]Т07'!$S$52+'[9]Т07'!$S$60+'[9]Т07'!$S$63+'[9]Т07'!$S$64+'[9]Т07'!$S$102+'[9]Т07'!$S$123+'[9]Т07'!$S$198</f>
        <v>5554.4259999999995</v>
      </c>
      <c r="BE16" s="159">
        <f t="shared" si="12"/>
        <v>57135.876299999996</v>
      </c>
      <c r="BF16" s="159">
        <f t="shared" si="13"/>
        <v>6940.645100000002</v>
      </c>
      <c r="BG16" s="159">
        <f t="shared" si="14"/>
        <v>2366.8700000000026</v>
      </c>
    </row>
    <row r="17" spans="1:59" ht="12.75">
      <c r="A17" s="173" t="s">
        <v>52</v>
      </c>
      <c r="B17" s="145">
        <v>6046.81</v>
      </c>
      <c r="C17" s="131">
        <f t="shared" si="0"/>
        <v>51700.22550000001</v>
      </c>
      <c r="D17" s="106">
        <v>820.2534</v>
      </c>
      <c r="E17" s="211"/>
      <c r="F17" s="211"/>
      <c r="G17" s="211">
        <v>31394.43</v>
      </c>
      <c r="H17" s="211">
        <v>51.7</v>
      </c>
      <c r="I17" s="211"/>
      <c r="J17" s="211"/>
      <c r="K17" s="211"/>
      <c r="L17" s="211"/>
      <c r="M17" s="211">
        <v>15245.89</v>
      </c>
      <c r="N17" s="211">
        <v>25.1</v>
      </c>
      <c r="O17" s="211">
        <v>5296.77</v>
      </c>
      <c r="P17" s="211"/>
      <c r="Q17" s="211"/>
      <c r="R17" s="211"/>
      <c r="S17" s="212">
        <v>305</v>
      </c>
      <c r="T17" s="203"/>
      <c r="U17" s="213">
        <f t="shared" si="1"/>
        <v>52242.09</v>
      </c>
      <c r="V17" s="214">
        <f t="shared" si="1"/>
        <v>76.80000000000001</v>
      </c>
      <c r="W17" s="205">
        <v>3.94</v>
      </c>
      <c r="X17" s="205">
        <v>27279.72</v>
      </c>
      <c r="Y17" s="205">
        <v>5.34</v>
      </c>
      <c r="Z17" s="205">
        <v>2008.88</v>
      </c>
      <c r="AA17" s="205">
        <v>13265.48</v>
      </c>
      <c r="AB17" s="205">
        <v>4746.89</v>
      </c>
      <c r="AC17" s="205"/>
      <c r="AD17" s="205"/>
      <c r="AE17" s="206">
        <v>270.09</v>
      </c>
      <c r="AF17" s="204">
        <f t="shared" si="17"/>
        <v>47580.34</v>
      </c>
      <c r="AG17" s="210">
        <f t="shared" si="16"/>
        <v>48477.39339999999</v>
      </c>
      <c r="AH17" s="188">
        <f t="shared" si="2"/>
        <v>0</v>
      </c>
      <c r="AI17" s="188">
        <f t="shared" si="2"/>
        <v>0</v>
      </c>
      <c r="AJ17" s="189">
        <f>'[9]Т08'!$J$21+'[9]Т08'!$J$27+'[9]Т08'!$J$52+'[9]Т08'!$J$60+'[9]Т08'!$J$63+'[9]Т08'!$J$64+'[9]Т08'!$J$102+'[9]Т08'!$J$123+'[9]Т08'!$J$202</f>
        <v>8582.228000000001</v>
      </c>
      <c r="AK17" s="153">
        <f t="shared" si="3"/>
        <v>4051.3627000000006</v>
      </c>
      <c r="AL17" s="153">
        <f t="shared" si="4"/>
        <v>1209.362</v>
      </c>
      <c r="AM17" s="153">
        <f t="shared" si="5"/>
        <v>6046.81</v>
      </c>
      <c r="AN17" s="153">
        <f t="shared" si="6"/>
        <v>1269.8301000000001</v>
      </c>
      <c r="AO17" s="153">
        <f t="shared" si="7"/>
        <v>12214.5562</v>
      </c>
      <c r="AP17" s="153">
        <f t="shared" si="8"/>
        <v>6228.214300000001</v>
      </c>
      <c r="AQ17" s="153">
        <f t="shared" si="9"/>
        <v>4535.1075</v>
      </c>
      <c r="AR17" s="153">
        <f t="shared" si="10"/>
        <v>4535.1075</v>
      </c>
      <c r="AS17" s="153"/>
      <c r="AT17" s="190">
        <f t="shared" si="15"/>
        <v>803.0699999999999</v>
      </c>
      <c r="AU17" s="191">
        <v>529</v>
      </c>
      <c r="AV17" s="191"/>
      <c r="AW17" s="191"/>
      <c r="AX17" s="191">
        <f>239.625+484.5+53.2+775.2+16+30.4</f>
        <v>1598.9250000000002</v>
      </c>
      <c r="AY17" s="191"/>
      <c r="AZ17" s="121"/>
      <c r="BA17" s="190"/>
      <c r="BB17" s="190"/>
      <c r="BC17" s="158">
        <f t="shared" si="11"/>
        <v>43021.3453</v>
      </c>
      <c r="BD17" s="192">
        <f>'[9]Т08'!$S$21+'[9]Т08'!$S$27+'[9]Т08'!$S$52+'[9]Т08'!$S$60+'[9]Т08'!$S$63+'[9]Т08'!$S$64+'[9]Т08'!$S$102+'[9]Т08'!$S$123+'[9]Т08'!$S$202</f>
        <v>5554.4259999999995</v>
      </c>
      <c r="BE17" s="159">
        <f t="shared" si="12"/>
        <v>48575.7713</v>
      </c>
      <c r="BF17" s="159">
        <f t="shared" si="13"/>
        <v>8483.850099999996</v>
      </c>
      <c r="BG17" s="159">
        <f t="shared" si="14"/>
        <v>-4661.75</v>
      </c>
    </row>
    <row r="18" spans="1:59" ht="12.75">
      <c r="A18" s="173" t="s">
        <v>53</v>
      </c>
      <c r="B18" s="145">
        <v>6046.81</v>
      </c>
      <c r="C18" s="131">
        <f t="shared" si="0"/>
        <v>51700.22550000001</v>
      </c>
      <c r="D18" s="106">
        <v>820.2534</v>
      </c>
      <c r="E18" s="205"/>
      <c r="F18" s="205"/>
      <c r="G18" s="205">
        <v>32021.52</v>
      </c>
      <c r="H18" s="205"/>
      <c r="I18" s="205"/>
      <c r="J18" s="205"/>
      <c r="K18" s="205"/>
      <c r="L18" s="205"/>
      <c r="M18" s="205">
        <v>15550.68</v>
      </c>
      <c r="N18" s="205"/>
      <c r="O18" s="205">
        <v>5493.01</v>
      </c>
      <c r="P18" s="205"/>
      <c r="Q18" s="205"/>
      <c r="R18" s="205"/>
      <c r="S18" s="206">
        <v>305</v>
      </c>
      <c r="T18" s="215"/>
      <c r="U18" s="215">
        <f t="shared" si="1"/>
        <v>53370.21</v>
      </c>
      <c r="V18" s="216">
        <f t="shared" si="1"/>
        <v>0</v>
      </c>
      <c r="W18" s="205">
        <v>9.43</v>
      </c>
      <c r="X18" s="205">
        <v>26279.17</v>
      </c>
      <c r="Y18" s="205">
        <v>12.77</v>
      </c>
      <c r="Z18" s="205">
        <v>21.26</v>
      </c>
      <c r="AA18" s="205">
        <v>12791.51</v>
      </c>
      <c r="AB18" s="205">
        <v>4442.3</v>
      </c>
      <c r="AC18" s="205"/>
      <c r="AD18" s="205"/>
      <c r="AE18" s="206">
        <v>329.67</v>
      </c>
      <c r="AF18" s="204">
        <f t="shared" si="17"/>
        <v>43886.11</v>
      </c>
      <c r="AG18" s="210">
        <f t="shared" si="16"/>
        <v>44706.3634</v>
      </c>
      <c r="AH18" s="188">
        <f t="shared" si="2"/>
        <v>0</v>
      </c>
      <c r="AI18" s="188">
        <f t="shared" si="2"/>
        <v>0</v>
      </c>
      <c r="AJ18" s="189">
        <f>'[9]Т09'!$J$21+'[9]Т09'!$J$27+'[9]Т09'!$J$52+'[9]Т09'!$J$60+'[9]Т09'!$J$63+'[9]Т09'!$J$64+'[9]Т09'!$J$102+'[9]Т09'!$J$123+'[9]Т09'!$J$202</f>
        <v>8582.228000000001</v>
      </c>
      <c r="AK18" s="153">
        <f t="shared" si="3"/>
        <v>4051.3627000000006</v>
      </c>
      <c r="AL18" s="153">
        <f t="shared" si="4"/>
        <v>1209.362</v>
      </c>
      <c r="AM18" s="153">
        <f t="shared" si="5"/>
        <v>6046.81</v>
      </c>
      <c r="AN18" s="153">
        <f t="shared" si="6"/>
        <v>1269.8301000000001</v>
      </c>
      <c r="AO18" s="153">
        <f t="shared" si="7"/>
        <v>12214.5562</v>
      </c>
      <c r="AP18" s="153">
        <f t="shared" si="8"/>
        <v>6228.214300000001</v>
      </c>
      <c r="AQ18" s="153">
        <f t="shared" si="9"/>
        <v>4535.1075</v>
      </c>
      <c r="AR18" s="153">
        <f t="shared" si="10"/>
        <v>4535.1075</v>
      </c>
      <c r="AS18" s="153"/>
      <c r="AT18" s="190">
        <f t="shared" si="15"/>
        <v>803.0699999999999</v>
      </c>
      <c r="AU18" s="191">
        <v>2817</v>
      </c>
      <c r="AV18" s="191"/>
      <c r="AW18" s="191">
        <v>309</v>
      </c>
      <c r="AX18" s="191">
        <f>1549.23+148</f>
        <v>1697.23</v>
      </c>
      <c r="AY18" s="191"/>
      <c r="AZ18" s="121"/>
      <c r="BA18" s="190"/>
      <c r="BB18" s="190"/>
      <c r="BC18" s="158">
        <f t="shared" si="11"/>
        <v>45716.6503</v>
      </c>
      <c r="BD18" s="192">
        <f>'[9]Т08'!$S$21+'[9]Т08'!$S$27+'[9]Т08'!$S$52+'[9]Т08'!$S$60+'[9]Т08'!$S$63+'[9]Т08'!$S$64+'[9]Т08'!$S$102+'[9]Т08'!$S$123+'[9]Т08'!$S$202</f>
        <v>5554.4259999999995</v>
      </c>
      <c r="BE18" s="159">
        <f t="shared" si="12"/>
        <v>51271.0763</v>
      </c>
      <c r="BF18" s="159">
        <f t="shared" si="13"/>
        <v>2017.5151000000042</v>
      </c>
      <c r="BG18" s="159">
        <f t="shared" si="14"/>
        <v>-9484.099999999999</v>
      </c>
    </row>
    <row r="19" spans="1:59" ht="12.75">
      <c r="A19" s="173" t="s">
        <v>41</v>
      </c>
      <c r="B19" s="145">
        <v>6046.81</v>
      </c>
      <c r="C19" s="131">
        <f t="shared" si="0"/>
        <v>51700.22550000001</v>
      </c>
      <c r="D19" s="106">
        <v>820.2534</v>
      </c>
      <c r="E19" s="197"/>
      <c r="F19" s="197"/>
      <c r="G19" s="197">
        <v>31903.72</v>
      </c>
      <c r="H19" s="197">
        <v>103.4</v>
      </c>
      <c r="I19" s="197"/>
      <c r="J19" s="197"/>
      <c r="K19" s="197"/>
      <c r="L19" s="197"/>
      <c r="M19" s="197">
        <v>15493.4</v>
      </c>
      <c r="N19" s="197">
        <v>50.2</v>
      </c>
      <c r="O19" s="197">
        <v>5391.48</v>
      </c>
      <c r="P19" s="197"/>
      <c r="Q19" s="197"/>
      <c r="R19" s="197"/>
      <c r="S19" s="203">
        <v>305</v>
      </c>
      <c r="T19" s="217"/>
      <c r="U19" s="218">
        <f t="shared" si="1"/>
        <v>53093.600000000006</v>
      </c>
      <c r="V19" s="219">
        <f t="shared" si="1"/>
        <v>153.60000000000002</v>
      </c>
      <c r="W19" s="197">
        <v>0</v>
      </c>
      <c r="X19" s="197">
        <v>30473</v>
      </c>
      <c r="Y19" s="197">
        <v>0</v>
      </c>
      <c r="Z19" s="197">
        <v>0</v>
      </c>
      <c r="AA19" s="197">
        <v>15018.12</v>
      </c>
      <c r="AB19" s="197">
        <v>5488.34</v>
      </c>
      <c r="AC19" s="197"/>
      <c r="AD19" s="197"/>
      <c r="AE19" s="203">
        <v>317.57</v>
      </c>
      <c r="AF19" s="204">
        <f t="shared" si="17"/>
        <v>51297.030000000006</v>
      </c>
      <c r="AG19" s="210">
        <f t="shared" si="16"/>
        <v>52270.883400000006</v>
      </c>
      <c r="AH19" s="188">
        <f t="shared" si="2"/>
        <v>0</v>
      </c>
      <c r="AI19" s="188">
        <f t="shared" si="2"/>
        <v>0</v>
      </c>
      <c r="AJ19" s="189">
        <f>'[11]Т10'!$J$21+'[11]Т10'!$J$27+'[11]Т10'!$J$52+'[11]Т10'!$J$60+'[11]Т10'!$J$63+'[11]Т10'!$J$64+'[11]Т10'!$J$102+'[11]Т10'!$J$123+'[11]Т10'!$J$202</f>
        <v>8582.228000000001</v>
      </c>
      <c r="AK19" s="153">
        <f t="shared" si="3"/>
        <v>4051.3627000000006</v>
      </c>
      <c r="AL19" s="153">
        <f t="shared" si="4"/>
        <v>1209.362</v>
      </c>
      <c r="AM19" s="153">
        <f t="shared" si="5"/>
        <v>6046.81</v>
      </c>
      <c r="AN19" s="153">
        <f t="shared" si="6"/>
        <v>1269.8301000000001</v>
      </c>
      <c r="AO19" s="153">
        <f t="shared" si="7"/>
        <v>12214.5562</v>
      </c>
      <c r="AP19" s="153">
        <f t="shared" si="8"/>
        <v>6228.214300000001</v>
      </c>
      <c r="AQ19" s="153">
        <f t="shared" si="9"/>
        <v>4535.1075</v>
      </c>
      <c r="AR19" s="153">
        <f t="shared" si="10"/>
        <v>4535.1075</v>
      </c>
      <c r="AS19" s="220">
        <f>B19*1.15</f>
        <v>6953.8315</v>
      </c>
      <c r="AT19" s="190">
        <f t="shared" si="15"/>
        <v>803.0699999999999</v>
      </c>
      <c r="AU19" s="191"/>
      <c r="AV19" s="191"/>
      <c r="AW19" s="191">
        <v>5174</v>
      </c>
      <c r="AX19" s="191">
        <f>52.25+8+18+196</f>
        <v>274.25</v>
      </c>
      <c r="AY19" s="191"/>
      <c r="AZ19" s="121"/>
      <c r="BA19" s="190"/>
      <c r="BB19" s="190"/>
      <c r="BC19" s="158">
        <f t="shared" si="11"/>
        <v>53295.5018</v>
      </c>
      <c r="BD19" s="192">
        <f>'[9]Т10'!$S$21+'[9]Т10'!$S$27+'[9]Т10'!$S$52+'[9]Т10'!$S$60+'[9]Т10'!$S$63+'[9]Т10'!$S$64+'[9]Т10'!$S$102+'[9]Т10'!$S$123+'[9]Т10'!$S$202</f>
        <v>5554.4259999999995</v>
      </c>
      <c r="BE19" s="159">
        <f t="shared" si="12"/>
        <v>58849.9278</v>
      </c>
      <c r="BF19" s="159">
        <f t="shared" si="13"/>
        <v>2003.1836000000112</v>
      </c>
      <c r="BG19" s="159">
        <f t="shared" si="14"/>
        <v>-1796.5699999999997</v>
      </c>
    </row>
    <row r="20" spans="1:59" ht="12.75">
      <c r="A20" s="173" t="s">
        <v>42</v>
      </c>
      <c r="B20" s="145">
        <v>6046.81</v>
      </c>
      <c r="C20" s="131">
        <f t="shared" si="0"/>
        <v>51700.22550000001</v>
      </c>
      <c r="D20" s="106">
        <v>820.2534</v>
      </c>
      <c r="E20" s="197"/>
      <c r="F20" s="197"/>
      <c r="G20" s="197">
        <v>31948.18</v>
      </c>
      <c r="H20" s="197">
        <v>51.7</v>
      </c>
      <c r="I20" s="197"/>
      <c r="J20" s="197"/>
      <c r="K20" s="197"/>
      <c r="L20" s="197"/>
      <c r="M20" s="197">
        <v>15514.94</v>
      </c>
      <c r="N20" s="197">
        <v>25.1</v>
      </c>
      <c r="O20" s="197">
        <v>5390.21</v>
      </c>
      <c r="P20" s="197"/>
      <c r="Q20" s="197"/>
      <c r="R20" s="197"/>
      <c r="S20" s="203">
        <v>305</v>
      </c>
      <c r="T20" s="217"/>
      <c r="U20" s="218">
        <f t="shared" si="1"/>
        <v>53158.33</v>
      </c>
      <c r="V20" s="219">
        <f t="shared" si="1"/>
        <v>76.80000000000001</v>
      </c>
      <c r="W20" s="197">
        <v>0</v>
      </c>
      <c r="X20" s="197">
        <v>3239.55</v>
      </c>
      <c r="Y20" s="197">
        <v>0</v>
      </c>
      <c r="Z20" s="197">
        <v>0</v>
      </c>
      <c r="AA20" s="197">
        <v>14657.5</v>
      </c>
      <c r="AB20" s="197">
        <v>5070.15</v>
      </c>
      <c r="AC20" s="197"/>
      <c r="AD20" s="197"/>
      <c r="AE20" s="203">
        <v>180.8</v>
      </c>
      <c r="AF20" s="204">
        <f t="shared" si="17"/>
        <v>23147.999999999996</v>
      </c>
      <c r="AG20" s="210">
        <f t="shared" si="16"/>
        <v>24045.053399999997</v>
      </c>
      <c r="AH20" s="188">
        <f t="shared" si="2"/>
        <v>0</v>
      </c>
      <c r="AI20" s="188">
        <f t="shared" si="2"/>
        <v>0</v>
      </c>
      <c r="AJ20" s="189">
        <f>'[9]Т11'!$J$21+'[9]Т11'!$J$27+'[9]Т11'!$J$52+'[9]Т11'!$J$60+'[9]Т11'!$J$63+'[9]Т11'!$J$64+'[9]Т11'!$J$102+'[9]Т11'!$J$123+'[9]Т11'!$J$202</f>
        <v>8582.228000000001</v>
      </c>
      <c r="AK20" s="153">
        <f t="shared" si="3"/>
        <v>4051.3627000000006</v>
      </c>
      <c r="AL20" s="153">
        <f t="shared" si="4"/>
        <v>1209.362</v>
      </c>
      <c r="AM20" s="153">
        <f t="shared" si="5"/>
        <v>6046.81</v>
      </c>
      <c r="AN20" s="153">
        <f t="shared" si="6"/>
        <v>1269.8301000000001</v>
      </c>
      <c r="AO20" s="153">
        <f t="shared" si="7"/>
        <v>12214.5562</v>
      </c>
      <c r="AP20" s="153">
        <f t="shared" si="8"/>
        <v>6228.214300000001</v>
      </c>
      <c r="AQ20" s="153">
        <f t="shared" si="9"/>
        <v>4535.1075</v>
      </c>
      <c r="AR20" s="153">
        <f t="shared" si="10"/>
        <v>4535.1075</v>
      </c>
      <c r="AS20" s="220">
        <f>B20*1.15</f>
        <v>6953.8315</v>
      </c>
      <c r="AT20" s="190">
        <f t="shared" si="15"/>
        <v>803.0699999999999</v>
      </c>
      <c r="AU20" s="191"/>
      <c r="AV20" s="191"/>
      <c r="AW20" s="191">
        <v>247</v>
      </c>
      <c r="AX20" s="191"/>
      <c r="AY20" s="191"/>
      <c r="AZ20" s="121"/>
      <c r="BA20" s="190"/>
      <c r="BB20" s="190"/>
      <c r="BC20" s="158">
        <f t="shared" si="11"/>
        <v>48094.2518</v>
      </c>
      <c r="BD20" s="192">
        <f>'[9]Т11'!$S$21+'[9]Т11'!$S$27+'[9]Т11'!$S$52+'[9]Т11'!$S$60+'[9]Т11'!$S$63+'[9]Т11'!$S$64+'[9]Т11'!$S$102+'[9]Т11'!$S$123+'[9]Т11'!$S$202</f>
        <v>5554.4259999999995</v>
      </c>
      <c r="BE20" s="159">
        <f t="shared" si="12"/>
        <v>53648.6778</v>
      </c>
      <c r="BF20" s="159">
        <f t="shared" si="13"/>
        <v>-21021.396399999998</v>
      </c>
      <c r="BG20" s="159">
        <f t="shared" si="14"/>
        <v>-30010.330000000005</v>
      </c>
    </row>
    <row r="21" spans="1:59" ht="13.5" thickBot="1">
      <c r="A21" s="173" t="s">
        <v>43</v>
      </c>
      <c r="B21" s="145">
        <v>6046.81</v>
      </c>
      <c r="C21" s="131">
        <f t="shared" si="0"/>
        <v>51700.22550000001</v>
      </c>
      <c r="D21" s="106">
        <v>820.2534</v>
      </c>
      <c r="E21" s="222"/>
      <c r="F21" s="222"/>
      <c r="G21" s="222">
        <v>31950.01</v>
      </c>
      <c r="H21" s="222">
        <v>51.7</v>
      </c>
      <c r="I21" s="222"/>
      <c r="J21" s="222"/>
      <c r="K21" s="222"/>
      <c r="L21" s="222"/>
      <c r="M21" s="222">
        <v>15515.86</v>
      </c>
      <c r="N21" s="222">
        <v>25.1</v>
      </c>
      <c r="O21" s="222">
        <v>5390.52</v>
      </c>
      <c r="P21" s="222"/>
      <c r="Q21" s="222"/>
      <c r="R21" s="222"/>
      <c r="S21" s="223">
        <v>305</v>
      </c>
      <c r="T21" s="224"/>
      <c r="U21" s="218">
        <f t="shared" si="1"/>
        <v>53161.39</v>
      </c>
      <c r="V21" s="219">
        <f t="shared" si="1"/>
        <v>76.80000000000001</v>
      </c>
      <c r="W21" s="197">
        <v>0</v>
      </c>
      <c r="X21" s="197">
        <v>40063.77</v>
      </c>
      <c r="Y21" s="197">
        <v>0</v>
      </c>
      <c r="Z21" s="197">
        <v>0</v>
      </c>
      <c r="AA21" s="197">
        <v>19362.49</v>
      </c>
      <c r="AB21" s="197">
        <v>6691.12</v>
      </c>
      <c r="AC21" s="197"/>
      <c r="AD21" s="197"/>
      <c r="AE21" s="203">
        <v>343.91</v>
      </c>
      <c r="AF21" s="204">
        <f t="shared" si="17"/>
        <v>66461.29</v>
      </c>
      <c r="AG21" s="210">
        <f t="shared" si="16"/>
        <v>67358.3434</v>
      </c>
      <c r="AH21" s="188">
        <f t="shared" si="2"/>
        <v>0</v>
      </c>
      <c r="AI21" s="188">
        <f t="shared" si="2"/>
        <v>0</v>
      </c>
      <c r="AJ21" s="189">
        <f>'[9]Т12'!$J$21+'[9]Т12'!$J$27+'[9]Т12'!$J$52+'[9]Т12'!$J$60+'[9]Т12'!$J$63+'[9]Т12'!$J$64+'[9]Т12'!$J$102+'[9]Т12'!$J$123+'[9]Т12'!$J$157+'[9]Т12'!$J$222</f>
        <v>9782.228000000001</v>
      </c>
      <c r="AK21" s="153">
        <f t="shared" si="3"/>
        <v>4051.3627000000006</v>
      </c>
      <c r="AL21" s="153">
        <f t="shared" si="4"/>
        <v>1209.362</v>
      </c>
      <c r="AM21" s="153">
        <f t="shared" si="5"/>
        <v>6046.81</v>
      </c>
      <c r="AN21" s="153">
        <f t="shared" si="6"/>
        <v>1269.8301000000001</v>
      </c>
      <c r="AO21" s="153">
        <f t="shared" si="7"/>
        <v>12214.5562</v>
      </c>
      <c r="AP21" s="153">
        <f t="shared" si="8"/>
        <v>6228.214300000001</v>
      </c>
      <c r="AQ21" s="153">
        <f t="shared" si="9"/>
        <v>4535.1075</v>
      </c>
      <c r="AR21" s="153">
        <f t="shared" si="10"/>
        <v>4535.1075</v>
      </c>
      <c r="AS21" s="220">
        <f>B21*1.15</f>
        <v>6953.8315</v>
      </c>
      <c r="AT21" s="190">
        <f t="shared" si="15"/>
        <v>803.0699999999999</v>
      </c>
      <c r="AU21" s="191">
        <v>2706</v>
      </c>
      <c r="AV21" s="191">
        <v>343</v>
      </c>
      <c r="AW21" s="191"/>
      <c r="AX21" s="191">
        <f>138+110</f>
        <v>248</v>
      </c>
      <c r="AY21" s="191"/>
      <c r="AZ21" s="121"/>
      <c r="BA21" s="190"/>
      <c r="BB21" s="190"/>
      <c r="BC21" s="158">
        <f t="shared" si="11"/>
        <v>51144.2518</v>
      </c>
      <c r="BD21" s="192">
        <f>'[9]Т12'!$S$21+'[9]Т12'!$S$27+'[9]Т12'!$S$52+'[9]Т12'!$S$60+'[9]Т12'!$S$63+'[9]Т12'!$S$64+'[9]Т12'!$S$102+'[9]Т12'!$S$123+'[9]Т12'!$S$157+'[9]Т12'!$S$222</f>
        <v>5854.4259999999995</v>
      </c>
      <c r="BE21" s="159">
        <f t="shared" si="12"/>
        <v>56998.6778</v>
      </c>
      <c r="BF21" s="159">
        <f t="shared" si="13"/>
        <v>20141.893600000003</v>
      </c>
      <c r="BG21" s="159">
        <f t="shared" si="14"/>
        <v>13299.899999999994</v>
      </c>
    </row>
    <row r="22" spans="1:59" s="20" customFormat="1" ht="13.5" thickBot="1">
      <c r="A22" s="225" t="s">
        <v>5</v>
      </c>
      <c r="B22" s="226"/>
      <c r="C22" s="227">
        <f aca="true" t="shared" si="18" ref="C22:BF22">SUM(C10:C21)</f>
        <v>620436.0510000001</v>
      </c>
      <c r="D22" s="227">
        <f t="shared" si="18"/>
        <v>9843.040799999997</v>
      </c>
      <c r="E22" s="227">
        <f t="shared" si="18"/>
        <v>0.67</v>
      </c>
      <c r="F22" s="227">
        <f t="shared" si="18"/>
        <v>0</v>
      </c>
      <c r="G22" s="227">
        <f t="shared" si="18"/>
        <v>379023.25000000006</v>
      </c>
      <c r="H22" s="227">
        <f t="shared" si="18"/>
        <v>517</v>
      </c>
      <c r="I22" s="227">
        <f t="shared" si="18"/>
        <v>0.86</v>
      </c>
      <c r="J22" s="227">
        <f t="shared" si="18"/>
        <v>0</v>
      </c>
      <c r="K22" s="227">
        <f t="shared" si="18"/>
        <v>1.46</v>
      </c>
      <c r="L22" s="227">
        <f t="shared" si="18"/>
        <v>0</v>
      </c>
      <c r="M22" s="227">
        <f t="shared" si="18"/>
        <v>184065.75</v>
      </c>
      <c r="N22" s="227">
        <f t="shared" si="18"/>
        <v>276.09999999999997</v>
      </c>
      <c r="O22" s="227">
        <f t="shared" si="18"/>
        <v>65572.55</v>
      </c>
      <c r="P22" s="227">
        <f t="shared" si="18"/>
        <v>0</v>
      </c>
      <c r="Q22" s="227">
        <f t="shared" si="18"/>
        <v>0</v>
      </c>
      <c r="R22" s="227">
        <f t="shared" si="18"/>
        <v>0</v>
      </c>
      <c r="S22" s="227">
        <f t="shared" si="18"/>
        <v>3660</v>
      </c>
      <c r="T22" s="227">
        <f t="shared" si="18"/>
        <v>0</v>
      </c>
      <c r="U22" s="227">
        <f t="shared" si="18"/>
        <v>632324.54</v>
      </c>
      <c r="V22" s="227">
        <f t="shared" si="18"/>
        <v>793.1000000000001</v>
      </c>
      <c r="W22" s="227">
        <f t="shared" si="18"/>
        <v>8446.29</v>
      </c>
      <c r="X22" s="227">
        <f t="shared" si="18"/>
        <v>304380.43</v>
      </c>
      <c r="Y22" s="227">
        <f t="shared" si="18"/>
        <v>10792.550000000001</v>
      </c>
      <c r="Z22" s="227">
        <f t="shared" si="18"/>
        <v>16418.829999999998</v>
      </c>
      <c r="AA22" s="227">
        <f t="shared" si="18"/>
        <v>180688.87999999998</v>
      </c>
      <c r="AB22" s="227">
        <f t="shared" si="18"/>
        <v>63078.990000000005</v>
      </c>
      <c r="AC22" s="227">
        <f t="shared" si="18"/>
        <v>0</v>
      </c>
      <c r="AD22" s="227">
        <f t="shared" si="18"/>
        <v>0</v>
      </c>
      <c r="AE22" s="227">
        <f t="shared" si="18"/>
        <v>3026.84</v>
      </c>
      <c r="AF22" s="227">
        <f t="shared" si="18"/>
        <v>586832.81</v>
      </c>
      <c r="AG22" s="227">
        <f t="shared" si="18"/>
        <v>597468.9508</v>
      </c>
      <c r="AH22" s="227">
        <f t="shared" si="18"/>
        <v>0</v>
      </c>
      <c r="AI22" s="227">
        <f t="shared" si="18"/>
        <v>0</v>
      </c>
      <c r="AJ22" s="227">
        <f t="shared" si="18"/>
        <v>104186.73600000002</v>
      </c>
      <c r="AK22" s="227">
        <f t="shared" si="18"/>
        <v>48618.9654</v>
      </c>
      <c r="AL22" s="227">
        <f t="shared" si="18"/>
        <v>14513.124000000003</v>
      </c>
      <c r="AM22" s="227">
        <f t="shared" si="18"/>
        <v>72565.62</v>
      </c>
      <c r="AN22" s="227">
        <f t="shared" si="18"/>
        <v>15238.780199999997</v>
      </c>
      <c r="AO22" s="227">
        <f t="shared" si="18"/>
        <v>146582.55240000002</v>
      </c>
      <c r="AP22" s="227">
        <f t="shared" si="18"/>
        <v>74742.5886</v>
      </c>
      <c r="AQ22" s="227">
        <f t="shared" si="18"/>
        <v>54424.21499999998</v>
      </c>
      <c r="AR22" s="227">
        <f t="shared" si="18"/>
        <v>54424.21499999998</v>
      </c>
      <c r="AS22" s="227">
        <f t="shared" si="18"/>
        <v>41727.474</v>
      </c>
      <c r="AT22" s="227">
        <f t="shared" si="18"/>
        <v>9636.839999999998</v>
      </c>
      <c r="AU22" s="227">
        <f t="shared" si="18"/>
        <v>33449</v>
      </c>
      <c r="AV22" s="227">
        <f t="shared" si="18"/>
        <v>13035</v>
      </c>
      <c r="AW22" s="227">
        <f t="shared" si="18"/>
        <v>8681</v>
      </c>
      <c r="AX22" s="227">
        <f t="shared" si="18"/>
        <v>33233.325</v>
      </c>
      <c r="AY22" s="227">
        <f t="shared" si="18"/>
        <v>0</v>
      </c>
      <c r="AZ22" s="227">
        <f t="shared" si="18"/>
        <v>0</v>
      </c>
      <c r="BA22" s="227">
        <f t="shared" si="18"/>
        <v>0</v>
      </c>
      <c r="BB22" s="227">
        <f t="shared" si="18"/>
        <v>0</v>
      </c>
      <c r="BC22" s="227">
        <f t="shared" si="18"/>
        <v>620872.6995999999</v>
      </c>
      <c r="BD22" s="227">
        <f t="shared" si="18"/>
        <v>66953.112</v>
      </c>
      <c r="BE22" s="227">
        <f t="shared" si="18"/>
        <v>687825.8115999999</v>
      </c>
      <c r="BF22" s="227">
        <f t="shared" si="18"/>
        <v>13829.875200000046</v>
      </c>
      <c r="BG22" s="227">
        <f>SUM(BG10:BG21)</f>
        <v>-45491.730000000025</v>
      </c>
    </row>
    <row r="23" spans="1:59" s="20" customFormat="1" ht="13.5" thickBot="1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30"/>
      <c r="BF23" s="229"/>
      <c r="BG23" s="231"/>
    </row>
    <row r="24" spans="1:59" s="20" customFormat="1" ht="13.5" thickBot="1">
      <c r="A24" s="22" t="s">
        <v>54</v>
      </c>
      <c r="B24" s="229"/>
      <c r="C24" s="232">
        <f aca="true" t="shared" si="19" ref="C24:BG24">C22+C8</f>
        <v>2037613.818</v>
      </c>
      <c r="D24" s="232">
        <f t="shared" si="19"/>
        <v>175766.50055430006</v>
      </c>
      <c r="E24" s="232">
        <f t="shared" si="19"/>
        <v>129915.27</v>
      </c>
      <c r="F24" s="232">
        <f t="shared" si="19"/>
        <v>16187.34</v>
      </c>
      <c r="G24" s="232">
        <f t="shared" si="19"/>
        <v>379023.25000000006</v>
      </c>
      <c r="H24" s="232">
        <f t="shared" si="19"/>
        <v>517</v>
      </c>
      <c r="I24" s="232">
        <f t="shared" si="19"/>
        <v>172256.97</v>
      </c>
      <c r="J24" s="232">
        <f t="shared" si="19"/>
        <v>21327.64</v>
      </c>
      <c r="K24" s="232">
        <f t="shared" si="19"/>
        <v>289332.41000000003</v>
      </c>
      <c r="L24" s="232">
        <f t="shared" si="19"/>
        <v>35920.979999999996</v>
      </c>
      <c r="M24" s="232">
        <f t="shared" si="19"/>
        <v>601557.4500000001</v>
      </c>
      <c r="N24" s="232">
        <f t="shared" si="19"/>
        <v>52310.479999999996</v>
      </c>
      <c r="O24" s="232">
        <f t="shared" si="19"/>
        <v>168298.28000000003</v>
      </c>
      <c r="P24" s="232">
        <f t="shared" si="19"/>
        <v>12749.819999999998</v>
      </c>
      <c r="Q24" s="232">
        <f t="shared" si="19"/>
        <v>0</v>
      </c>
      <c r="R24" s="232">
        <f t="shared" si="19"/>
        <v>0</v>
      </c>
      <c r="S24" s="232">
        <f t="shared" si="19"/>
        <v>3660</v>
      </c>
      <c r="T24" s="232">
        <f t="shared" si="19"/>
        <v>0</v>
      </c>
      <c r="U24" s="232">
        <f t="shared" si="19"/>
        <v>1744043.63</v>
      </c>
      <c r="V24" s="232">
        <f t="shared" si="19"/>
        <v>139013.26000000004</v>
      </c>
      <c r="W24" s="232">
        <f t="shared" si="19"/>
        <v>130989.93000000002</v>
      </c>
      <c r="X24" s="232">
        <f t="shared" si="19"/>
        <v>304380.43</v>
      </c>
      <c r="Y24" s="232">
        <f t="shared" si="19"/>
        <v>176593.69</v>
      </c>
      <c r="Z24" s="232">
        <f t="shared" si="19"/>
        <v>292509.33999999997</v>
      </c>
      <c r="AA24" s="232">
        <f t="shared" si="19"/>
        <v>580911.53</v>
      </c>
      <c r="AB24" s="232">
        <f t="shared" si="19"/>
        <v>161113.76</v>
      </c>
      <c r="AC24" s="232">
        <f t="shared" si="19"/>
        <v>0</v>
      </c>
      <c r="AD24" s="232">
        <f t="shared" si="19"/>
        <v>0</v>
      </c>
      <c r="AE24" s="232">
        <f t="shared" si="19"/>
        <v>3026.84</v>
      </c>
      <c r="AF24" s="232">
        <f t="shared" si="19"/>
        <v>1649525.52</v>
      </c>
      <c r="AG24" s="232">
        <f t="shared" si="19"/>
        <v>1964305.2805543</v>
      </c>
      <c r="AH24" s="232">
        <f t="shared" si="19"/>
        <v>0</v>
      </c>
      <c r="AI24" s="232">
        <f t="shared" si="19"/>
        <v>0</v>
      </c>
      <c r="AJ24" s="232">
        <f t="shared" si="19"/>
        <v>275474.59472000005</v>
      </c>
      <c r="AK24" s="232">
        <f t="shared" si="19"/>
        <v>145459.8714</v>
      </c>
      <c r="AL24" s="232">
        <f t="shared" si="19"/>
        <v>46964.2623792</v>
      </c>
      <c r="AM24" s="232">
        <f t="shared" si="19"/>
        <v>233317.148348097</v>
      </c>
      <c r="AN24" s="232">
        <f t="shared" si="19"/>
        <v>15238.780199999997</v>
      </c>
      <c r="AO24" s="232">
        <f t="shared" si="19"/>
        <v>306995.2640005332</v>
      </c>
      <c r="AP24" s="232">
        <f t="shared" si="19"/>
        <v>433443.20942672086</v>
      </c>
      <c r="AQ24" s="232">
        <f t="shared" si="19"/>
        <v>54424.21499999998</v>
      </c>
      <c r="AR24" s="232">
        <f t="shared" si="19"/>
        <v>54424.21499999998</v>
      </c>
      <c r="AS24" s="232">
        <f t="shared" si="19"/>
        <v>41727.474</v>
      </c>
      <c r="AT24" s="232">
        <f t="shared" si="19"/>
        <v>19273.68</v>
      </c>
      <c r="AU24" s="232">
        <f t="shared" si="19"/>
        <v>140934.01</v>
      </c>
      <c r="AV24" s="232">
        <f t="shared" si="19"/>
        <v>13035</v>
      </c>
      <c r="AW24" s="232">
        <f t="shared" si="19"/>
        <v>218786.10979999998</v>
      </c>
      <c r="AX24" s="232">
        <f t="shared" si="19"/>
        <v>70825.54393999999</v>
      </c>
      <c r="AY24" s="232">
        <f t="shared" si="19"/>
        <v>46391.826799999995</v>
      </c>
      <c r="AZ24" s="232">
        <f t="shared" si="19"/>
        <v>0</v>
      </c>
      <c r="BA24" s="232">
        <f t="shared" si="19"/>
        <v>0</v>
      </c>
      <c r="BB24" s="232">
        <f t="shared" si="19"/>
        <v>0</v>
      </c>
      <c r="BC24" s="232">
        <f t="shared" si="19"/>
        <v>1841240.6102945511</v>
      </c>
      <c r="BD24" s="232">
        <f t="shared" si="19"/>
        <v>138182.382998401</v>
      </c>
      <c r="BE24" s="233">
        <f>BE22+BE8-20791.12</f>
        <v>1958631.873292952</v>
      </c>
      <c r="BF24" s="232">
        <f t="shared" si="19"/>
        <v>260356.88198134807</v>
      </c>
      <c r="BG24" s="234">
        <f t="shared" si="19"/>
        <v>-94518.11000000002</v>
      </c>
    </row>
    <row r="25" spans="1:59" ht="12.75">
      <c r="A25" s="5" t="s">
        <v>121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2"/>
      <c r="BF25" s="169"/>
      <c r="BG25" s="170"/>
    </row>
    <row r="26" spans="1:59" ht="12.75">
      <c r="A26" s="173" t="s">
        <v>45</v>
      </c>
      <c r="B26" s="145">
        <v>6046.81</v>
      </c>
      <c r="C26" s="131">
        <f aca="true" t="shared" si="20" ref="C26:C31">B26*8.55</f>
        <v>51700.22550000001</v>
      </c>
      <c r="D26" s="221">
        <v>820.2534</v>
      </c>
      <c r="E26" s="197"/>
      <c r="F26" s="197"/>
      <c r="G26" s="197">
        <v>31951.46</v>
      </c>
      <c r="H26" s="197">
        <v>51.7</v>
      </c>
      <c r="I26" s="197"/>
      <c r="J26" s="197"/>
      <c r="K26" s="197"/>
      <c r="L26" s="197"/>
      <c r="M26" s="197">
        <v>15516.56</v>
      </c>
      <c r="N26" s="197">
        <v>25.1</v>
      </c>
      <c r="O26" s="197">
        <v>5390.78</v>
      </c>
      <c r="P26" s="197"/>
      <c r="Q26" s="197"/>
      <c r="R26" s="197"/>
      <c r="S26" s="203">
        <v>305</v>
      </c>
      <c r="T26" s="224"/>
      <c r="U26" s="218">
        <f aca="true" t="shared" si="21" ref="U26:V31">E26+G26+I26+K26+M26+O26+Q26+S26</f>
        <v>53163.799999999996</v>
      </c>
      <c r="V26" s="219">
        <f t="shared" si="21"/>
        <v>76.80000000000001</v>
      </c>
      <c r="W26" s="197">
        <v>0</v>
      </c>
      <c r="X26" s="197">
        <v>35166.32</v>
      </c>
      <c r="Y26" s="197">
        <v>0</v>
      </c>
      <c r="Z26" s="197">
        <v>0</v>
      </c>
      <c r="AA26" s="197">
        <v>17050.49</v>
      </c>
      <c r="AB26" s="197">
        <v>5922.93</v>
      </c>
      <c r="AC26" s="197"/>
      <c r="AD26" s="197"/>
      <c r="AE26" s="203">
        <v>136.06</v>
      </c>
      <c r="AF26" s="204">
        <f aca="true" t="shared" si="22" ref="AF26:AF31">SUM(W26:AE26)</f>
        <v>58275.799999999996</v>
      </c>
      <c r="AG26" s="210">
        <f aca="true" t="shared" si="23" ref="AG26:AG37">D26+V26+AF26</f>
        <v>59172.85339999999</v>
      </c>
      <c r="AH26" s="188">
        <f aca="true" t="shared" si="24" ref="AH26:AI37">AC26</f>
        <v>0</v>
      </c>
      <c r="AI26" s="188">
        <f t="shared" si="24"/>
        <v>0</v>
      </c>
      <c r="AJ26" s="189">
        <f>'[16]Т01'!$J$12+'[16]Т01'!$J$31+'[16]Т01'!$J$39+'[16]Т01'!$J$41+'[16]Т01'!$J$42+'[16]Т01'!$J$72+'[16]Т01'!$J$86+'[16]Т01'!$J$94+'[16]Т01'!$J$159+'[16]Т01'!$J$224</f>
        <v>10726.93</v>
      </c>
      <c r="AK26" s="153">
        <f aca="true" t="shared" si="25" ref="AK26:AK31">0.67*B26</f>
        <v>4051.3627000000006</v>
      </c>
      <c r="AL26" s="153">
        <f aca="true" t="shared" si="26" ref="AL26:AL37">B26*0.2</f>
        <v>1209.362</v>
      </c>
      <c r="AM26" s="153">
        <f aca="true" t="shared" si="27" ref="AM26:AM37">B26*1</f>
        <v>6046.81</v>
      </c>
      <c r="AN26" s="153">
        <f aca="true" t="shared" si="28" ref="AN26:AN37">B26*0.21</f>
        <v>1269.8301000000001</v>
      </c>
      <c r="AO26" s="153">
        <f aca="true" t="shared" si="29" ref="AO26:AO37">2.02*B26</f>
        <v>12214.5562</v>
      </c>
      <c r="AP26" s="153">
        <f aca="true" t="shared" si="30" ref="AP26:AP37">B26*1.03</f>
        <v>6228.214300000001</v>
      </c>
      <c r="AQ26" s="153">
        <f aca="true" t="shared" si="31" ref="AQ26:AQ37">B26*0.75</f>
        <v>4535.1075</v>
      </c>
      <c r="AR26" s="153">
        <f aca="true" t="shared" si="32" ref="AR26:AR37">B26*0.75</f>
        <v>4535.1075</v>
      </c>
      <c r="AS26" s="220">
        <f>B26*1.15</f>
        <v>6953.8315</v>
      </c>
      <c r="AT26" s="190">
        <f>0.45*1784.6</f>
        <v>803.0699999999999</v>
      </c>
      <c r="AU26" s="440">
        <v>4545</v>
      </c>
      <c r="AV26" s="191"/>
      <c r="AW26" s="191"/>
      <c r="AX26" s="191">
        <f>604+1800</f>
        <v>2404</v>
      </c>
      <c r="AY26" s="191"/>
      <c r="AZ26" s="191"/>
      <c r="BA26" s="441"/>
      <c r="BB26" s="190"/>
      <c r="BC26" s="442">
        <f>SUM(AK26:BB26)</f>
        <v>54796.2518</v>
      </c>
      <c r="BD26" s="192">
        <f>'[16]Т01'!$S$12+'[16]Т01'!$S$31+'[16]Т01'!$S$39+'[16]Т01'!$S$41+'[16]Т01'!$S$42+'[16]Т01'!$S$72+'[16]Т01'!$S$86+'[16]Т01'!$S$94+'[16]Т01'!$S$159+'[16]Т01'!$S$224</f>
        <v>5554.426</v>
      </c>
      <c r="BE26" s="159">
        <f>BC26+BD26</f>
        <v>60350.6778</v>
      </c>
      <c r="BF26" s="159">
        <f>AG26+AJ26-BE26</f>
        <v>9549.105599999988</v>
      </c>
      <c r="BG26" s="159">
        <f>AF26-U26</f>
        <v>5112</v>
      </c>
    </row>
    <row r="27" spans="1:59" ht="12.75">
      <c r="A27" s="173" t="s">
        <v>46</v>
      </c>
      <c r="B27" s="145">
        <v>6046.81</v>
      </c>
      <c r="C27" s="131">
        <f t="shared" si="20"/>
        <v>51700.22550000001</v>
      </c>
      <c r="D27" s="221">
        <v>820.2534</v>
      </c>
      <c r="E27" s="205"/>
      <c r="F27" s="205"/>
      <c r="G27" s="205">
        <v>32000.55</v>
      </c>
      <c r="H27" s="205">
        <v>51.7</v>
      </c>
      <c r="I27" s="205"/>
      <c r="J27" s="205"/>
      <c r="K27" s="205"/>
      <c r="L27" s="205"/>
      <c r="M27" s="205">
        <v>15540.7</v>
      </c>
      <c r="N27" s="205">
        <v>25.1</v>
      </c>
      <c r="O27" s="205">
        <v>5399.39</v>
      </c>
      <c r="P27" s="205"/>
      <c r="Q27" s="205"/>
      <c r="R27" s="205"/>
      <c r="S27" s="206">
        <v>305</v>
      </c>
      <c r="T27" s="224"/>
      <c r="U27" s="218">
        <f t="shared" si="21"/>
        <v>53245.64</v>
      </c>
      <c r="V27" s="219">
        <f t="shared" si="21"/>
        <v>76.80000000000001</v>
      </c>
      <c r="W27" s="205">
        <v>0</v>
      </c>
      <c r="X27" s="205">
        <v>28525.18</v>
      </c>
      <c r="Y27" s="205">
        <v>0</v>
      </c>
      <c r="Z27" s="205">
        <v>0</v>
      </c>
      <c r="AA27" s="205">
        <v>13828.06</v>
      </c>
      <c r="AB27" s="205">
        <v>4783.7</v>
      </c>
      <c r="AC27" s="205"/>
      <c r="AD27" s="205"/>
      <c r="AE27" s="206">
        <v>304.46</v>
      </c>
      <c r="AF27" s="204">
        <f t="shared" si="22"/>
        <v>47441.399999999994</v>
      </c>
      <c r="AG27" s="210">
        <f t="shared" si="23"/>
        <v>48338.45339999999</v>
      </c>
      <c r="AH27" s="188">
        <f t="shared" si="24"/>
        <v>0</v>
      </c>
      <c r="AI27" s="188">
        <f t="shared" si="24"/>
        <v>0</v>
      </c>
      <c r="AJ27" s="189">
        <f>'[16]Т01'!$J$12+'[16]Т01'!$J$31+'[16]Т01'!$J$39+'[16]Т01'!$J$41+'[16]Т01'!$J$42+'[16]Т01'!$J$72+'[16]Т01'!$J$86+'[16]Т01'!$J$94+'[16]Т01'!$J$159+'[16]Т01'!$J$224</f>
        <v>10726.93</v>
      </c>
      <c r="AK27" s="148">
        <f t="shared" si="25"/>
        <v>4051.3627000000006</v>
      </c>
      <c r="AL27" s="153">
        <f t="shared" si="26"/>
        <v>1209.362</v>
      </c>
      <c r="AM27" s="153">
        <f t="shared" si="27"/>
        <v>6046.81</v>
      </c>
      <c r="AN27" s="153">
        <f t="shared" si="28"/>
        <v>1269.8301000000001</v>
      </c>
      <c r="AO27" s="153">
        <f t="shared" si="29"/>
        <v>12214.5562</v>
      </c>
      <c r="AP27" s="153">
        <f t="shared" si="30"/>
        <v>6228.214300000001</v>
      </c>
      <c r="AQ27" s="153">
        <f t="shared" si="31"/>
        <v>4535.1075</v>
      </c>
      <c r="AR27" s="153">
        <f t="shared" si="32"/>
        <v>4535.1075</v>
      </c>
      <c r="AS27" s="220">
        <f>B27*1.15</f>
        <v>6953.8315</v>
      </c>
      <c r="AT27" s="190">
        <f>0.45*1784.6</f>
        <v>803.0699999999999</v>
      </c>
      <c r="AU27" s="440">
        <v>484</v>
      </c>
      <c r="AV27" s="191"/>
      <c r="AW27" s="191"/>
      <c r="AX27" s="191">
        <f>130</f>
        <v>130</v>
      </c>
      <c r="AY27" s="191"/>
      <c r="AZ27" s="191"/>
      <c r="BA27" s="441"/>
      <c r="BB27" s="190"/>
      <c r="BC27" s="146">
        <f>SUM(AK27:BB27)</f>
        <v>48461.2518</v>
      </c>
      <c r="BD27" s="192">
        <f>'[16]Т01'!$S$12+'[16]Т01'!$S$31+'[16]Т01'!$S$39+'[16]Т01'!$S$41+'[16]Т01'!$S$42+'[16]Т01'!$S$72+'[16]Т01'!$S$86+'[16]Т01'!$S$94+'[16]Т01'!$S$159+'[16]Т01'!$S$224</f>
        <v>5554.426</v>
      </c>
      <c r="BE27" s="159">
        <f aca="true" t="shared" si="33" ref="BE27:BE37">BC27+BD27</f>
        <v>54015.6778</v>
      </c>
      <c r="BF27" s="159">
        <f aca="true" t="shared" si="34" ref="BF27:BF37">AG27+AJ27-BE27</f>
        <v>5049.705599999994</v>
      </c>
      <c r="BG27" s="159">
        <f aca="true" t="shared" si="35" ref="BG27:BG37">AF27-U27</f>
        <v>-5804.240000000005</v>
      </c>
    </row>
    <row r="28" spans="1:59" ht="12.75">
      <c r="A28" s="173" t="s">
        <v>47</v>
      </c>
      <c r="B28" s="145">
        <v>6046.81</v>
      </c>
      <c r="C28" s="131">
        <f t="shared" si="20"/>
        <v>51700.22550000001</v>
      </c>
      <c r="D28" s="221">
        <v>820.2534</v>
      </c>
      <c r="E28" s="205"/>
      <c r="F28" s="205"/>
      <c r="G28" s="205">
        <v>32034.45</v>
      </c>
      <c r="H28" s="205">
        <v>51.7</v>
      </c>
      <c r="I28" s="205"/>
      <c r="J28" s="205"/>
      <c r="K28" s="205"/>
      <c r="L28" s="205"/>
      <c r="M28" s="205">
        <v>15557.34</v>
      </c>
      <c r="N28" s="205">
        <v>25.1</v>
      </c>
      <c r="O28" s="205">
        <v>5405.35</v>
      </c>
      <c r="P28" s="205"/>
      <c r="Q28" s="205"/>
      <c r="R28" s="205"/>
      <c r="S28" s="206">
        <v>305</v>
      </c>
      <c r="T28" s="224"/>
      <c r="U28" s="218">
        <f t="shared" si="21"/>
        <v>53302.14</v>
      </c>
      <c r="V28" s="219">
        <f t="shared" si="21"/>
        <v>76.80000000000001</v>
      </c>
      <c r="W28" s="197">
        <v>0</v>
      </c>
      <c r="X28" s="197">
        <v>29056.58</v>
      </c>
      <c r="Y28" s="197">
        <v>0</v>
      </c>
      <c r="Z28" s="197">
        <v>0</v>
      </c>
      <c r="AA28" s="197">
        <v>13822.09</v>
      </c>
      <c r="AB28" s="197">
        <v>4050.41</v>
      </c>
      <c r="AC28" s="197"/>
      <c r="AD28" s="197"/>
      <c r="AE28" s="203">
        <v>387.66</v>
      </c>
      <c r="AF28" s="204">
        <f t="shared" si="22"/>
        <v>47316.740000000005</v>
      </c>
      <c r="AG28" s="210">
        <f t="shared" si="23"/>
        <v>48213.7934</v>
      </c>
      <c r="AH28" s="188">
        <f t="shared" si="24"/>
        <v>0</v>
      </c>
      <c r="AI28" s="188">
        <f t="shared" si="24"/>
        <v>0</v>
      </c>
      <c r="AJ28" s="189">
        <f>'[16]Т03'!$J$12+'[16]Т03'!$J$30+'[16]Т03'!$J$38+'[16]Т03'!$J$40+'[16]Т03'!$J$41+'[16]Т03'!$J$70+'[16]Т03'!$J$84+'[16]Т03'!$J$92+'[16]Т03'!$J$160+'[16]Т03'!$J$225</f>
        <v>11326.93</v>
      </c>
      <c r="AK28" s="148">
        <f t="shared" si="25"/>
        <v>4051.3627000000006</v>
      </c>
      <c r="AL28" s="153">
        <f t="shared" si="26"/>
        <v>1209.362</v>
      </c>
      <c r="AM28" s="153">
        <f t="shared" si="27"/>
        <v>6046.81</v>
      </c>
      <c r="AN28" s="153">
        <f t="shared" si="28"/>
        <v>1269.8301000000001</v>
      </c>
      <c r="AO28" s="153">
        <f t="shared" si="29"/>
        <v>12214.5562</v>
      </c>
      <c r="AP28" s="153">
        <f t="shared" si="30"/>
        <v>6228.214300000001</v>
      </c>
      <c r="AQ28" s="153">
        <f t="shared" si="31"/>
        <v>4535.1075</v>
      </c>
      <c r="AR28" s="153">
        <f t="shared" si="32"/>
        <v>4535.1075</v>
      </c>
      <c r="AS28" s="220">
        <f>B28*1.15</f>
        <v>6953.8315</v>
      </c>
      <c r="AT28" s="190">
        <f>0.45*1784.6</f>
        <v>803.0699999999999</v>
      </c>
      <c r="AU28" s="440">
        <v>5848</v>
      </c>
      <c r="AV28" s="191"/>
      <c r="AW28" s="191">
        <f>277.47+303</f>
        <v>580.47</v>
      </c>
      <c r="AX28" s="191">
        <f>2730+865.56</f>
        <v>3595.56</v>
      </c>
      <c r="AY28" s="191"/>
      <c r="AZ28" s="191"/>
      <c r="BA28" s="441"/>
      <c r="BB28" s="190"/>
      <c r="BC28" s="442">
        <f>SUM(AK28:BB28)</f>
        <v>57871.2818</v>
      </c>
      <c r="BD28" s="192">
        <f>'[16]Т03'!$S$12+'[16]Т03'!$S$30+'[16]Т03'!$S$38+'[16]Т03'!$S$40+'[16]Т03'!$S$41+'[16]Т03'!$S$70+'[16]Т03'!$S$84+'[16]Т03'!$S$92+'[16]Т03'!$S$160+'[16]Т03'!$S$225</f>
        <v>5704.426</v>
      </c>
      <c r="BE28" s="159">
        <f t="shared" si="33"/>
        <v>63575.7078</v>
      </c>
      <c r="BF28" s="159">
        <f t="shared" si="34"/>
        <v>-4034.984399999994</v>
      </c>
      <c r="BG28" s="159">
        <f t="shared" si="35"/>
        <v>-5985.399999999994</v>
      </c>
    </row>
    <row r="29" spans="1:59" ht="12.75">
      <c r="A29" s="173" t="s">
        <v>48</v>
      </c>
      <c r="B29" s="145">
        <v>6046.81</v>
      </c>
      <c r="C29" s="131">
        <f t="shared" si="20"/>
        <v>51700.22550000001</v>
      </c>
      <c r="D29" s="221">
        <v>820.2534</v>
      </c>
      <c r="E29" s="205"/>
      <c r="F29" s="205"/>
      <c r="G29" s="205">
        <v>32035.9</v>
      </c>
      <c r="H29" s="205">
        <v>51.7</v>
      </c>
      <c r="I29" s="205"/>
      <c r="J29" s="205"/>
      <c r="K29" s="205"/>
      <c r="L29" s="205"/>
      <c r="M29" s="205">
        <v>15558.06</v>
      </c>
      <c r="N29" s="205">
        <v>25.1</v>
      </c>
      <c r="O29" s="205">
        <v>5405.6</v>
      </c>
      <c r="P29" s="205"/>
      <c r="Q29" s="205"/>
      <c r="R29" s="205"/>
      <c r="S29" s="206">
        <v>305</v>
      </c>
      <c r="T29" s="224"/>
      <c r="U29" s="218">
        <f t="shared" si="21"/>
        <v>53304.56</v>
      </c>
      <c r="V29" s="219">
        <f t="shared" si="21"/>
        <v>76.80000000000001</v>
      </c>
      <c r="W29" s="222">
        <v>0</v>
      </c>
      <c r="X29" s="222">
        <v>35606.86</v>
      </c>
      <c r="Y29" s="222">
        <v>0</v>
      </c>
      <c r="Z29" s="222">
        <v>0</v>
      </c>
      <c r="AA29" s="222">
        <v>12498.58</v>
      </c>
      <c r="AB29" s="222">
        <v>4337.75</v>
      </c>
      <c r="AC29" s="222"/>
      <c r="AD29" s="222"/>
      <c r="AE29" s="223">
        <v>169.96</v>
      </c>
      <c r="AF29" s="204">
        <f t="shared" si="22"/>
        <v>52613.15</v>
      </c>
      <c r="AG29" s="210">
        <f t="shared" si="23"/>
        <v>53510.2034</v>
      </c>
      <c r="AH29" s="188">
        <f t="shared" si="24"/>
        <v>0</v>
      </c>
      <c r="AI29" s="188">
        <f t="shared" si="24"/>
        <v>0</v>
      </c>
      <c r="AJ29" s="189">
        <f>'[16]Т04'!$J$12+'[16]Т04'!$J$30+'[16]Т04'!$J$38+'[16]Т04'!$J$40+'[16]Т04'!$J$41+'[16]Т04'!$J$70+'[16]Т04'!$J$84+'[16]Т04'!$J$92+'[16]Т04'!$J$160+'[16]Т04'!$J$225</f>
        <v>10926.93</v>
      </c>
      <c r="AK29" s="148">
        <f t="shared" si="25"/>
        <v>4051.3627000000006</v>
      </c>
      <c r="AL29" s="153">
        <f t="shared" si="26"/>
        <v>1209.362</v>
      </c>
      <c r="AM29" s="153">
        <f t="shared" si="27"/>
        <v>6046.81</v>
      </c>
      <c r="AN29" s="153">
        <f t="shared" si="28"/>
        <v>1269.8301000000001</v>
      </c>
      <c r="AO29" s="153">
        <f t="shared" si="29"/>
        <v>12214.5562</v>
      </c>
      <c r="AP29" s="153">
        <f t="shared" si="30"/>
        <v>6228.214300000001</v>
      </c>
      <c r="AQ29" s="153">
        <f t="shared" si="31"/>
        <v>4535.1075</v>
      </c>
      <c r="AR29" s="153">
        <f t="shared" si="32"/>
        <v>4535.1075</v>
      </c>
      <c r="AS29" s="220"/>
      <c r="AT29" s="190">
        <f>0.45*1784.6</f>
        <v>803.0699999999999</v>
      </c>
      <c r="AU29" s="440"/>
      <c r="AV29" s="191"/>
      <c r="AW29" s="191"/>
      <c r="AX29" s="191">
        <f>281.25+740.5</f>
        <v>1021.75</v>
      </c>
      <c r="AY29" s="191"/>
      <c r="AZ29" s="191"/>
      <c r="BA29" s="441"/>
      <c r="BB29" s="190"/>
      <c r="BC29" s="442">
        <f>SUM(AK29:BB29)</f>
        <v>41915.1703</v>
      </c>
      <c r="BD29" s="192">
        <f>'[16]Т04'!$S$12+'[16]Т04'!$S$30+'[16]Т04'!$S$38+'[16]Т04'!$S$40+'[16]Т04'!$S$41+'[16]Т04'!$S$70+'[16]Т04'!$S$84+'[16]Т04'!$S$92+'[16]Т04'!$S$160+'[16]Т04'!$S$225</f>
        <v>5604.426</v>
      </c>
      <c r="BE29" s="159">
        <f t="shared" si="33"/>
        <v>47519.5963</v>
      </c>
      <c r="BF29" s="159">
        <f t="shared" si="34"/>
        <v>16917.5371</v>
      </c>
      <c r="BG29" s="159">
        <f t="shared" si="35"/>
        <v>-691.4099999999962</v>
      </c>
    </row>
    <row r="30" spans="1:59" ht="12.75">
      <c r="A30" s="173" t="s">
        <v>49</v>
      </c>
      <c r="B30" s="145">
        <v>6046.81</v>
      </c>
      <c r="C30" s="131">
        <f t="shared" si="20"/>
        <v>51700.22550000001</v>
      </c>
      <c r="D30" s="221">
        <v>820.2534</v>
      </c>
      <c r="E30" s="205"/>
      <c r="F30" s="205"/>
      <c r="G30" s="205">
        <v>32028.02</v>
      </c>
      <c r="H30" s="205">
        <v>51.7</v>
      </c>
      <c r="I30" s="205"/>
      <c r="J30" s="205"/>
      <c r="K30" s="205"/>
      <c r="L30" s="205"/>
      <c r="M30" s="205">
        <v>15554.16</v>
      </c>
      <c r="N30" s="205">
        <v>25.1</v>
      </c>
      <c r="O30" s="205">
        <v>5404.22</v>
      </c>
      <c r="P30" s="205"/>
      <c r="Q30" s="205"/>
      <c r="R30" s="205"/>
      <c r="S30" s="206">
        <v>305</v>
      </c>
      <c r="T30" s="224"/>
      <c r="U30" s="218">
        <f t="shared" si="21"/>
        <v>53291.4</v>
      </c>
      <c r="V30" s="219">
        <f t="shared" si="21"/>
        <v>76.80000000000001</v>
      </c>
      <c r="W30" s="222">
        <v>0</v>
      </c>
      <c r="X30" s="222">
        <v>29278.89</v>
      </c>
      <c r="Y30" s="222">
        <v>0</v>
      </c>
      <c r="Z30" s="222">
        <v>0</v>
      </c>
      <c r="AA30" s="222">
        <v>14268.05</v>
      </c>
      <c r="AB30" s="222">
        <v>4909.67</v>
      </c>
      <c r="AC30" s="222"/>
      <c r="AD30" s="222"/>
      <c r="AE30" s="222">
        <v>291.34</v>
      </c>
      <c r="AF30" s="204">
        <f t="shared" si="22"/>
        <v>48747.95</v>
      </c>
      <c r="AG30" s="210">
        <f t="shared" si="23"/>
        <v>49645.003399999994</v>
      </c>
      <c r="AH30" s="188">
        <f t="shared" si="24"/>
        <v>0</v>
      </c>
      <c r="AI30" s="188">
        <f t="shared" si="24"/>
        <v>0</v>
      </c>
      <c r="AJ30" s="189">
        <f>'[16]Т05'!$J$12+'[16]Т05'!$J$37+'[16]Т05'!$J$39+'[16]Т05'!$J$40+'[16]Т05'!$J$70+'[16]Т05'!$J$84+'[16]Т05'!$J$92+'[16]Т05'!$J$160+'[16]Т05'!$J$231</f>
        <v>10121.220000000001</v>
      </c>
      <c r="AK30" s="148">
        <f t="shared" si="25"/>
        <v>4051.3627000000006</v>
      </c>
      <c r="AL30" s="153">
        <f t="shared" si="26"/>
        <v>1209.362</v>
      </c>
      <c r="AM30" s="153">
        <f t="shared" si="27"/>
        <v>6046.81</v>
      </c>
      <c r="AN30" s="153">
        <f t="shared" si="28"/>
        <v>1269.8301000000001</v>
      </c>
      <c r="AO30" s="153">
        <f t="shared" si="29"/>
        <v>12214.5562</v>
      </c>
      <c r="AP30" s="153">
        <f t="shared" si="30"/>
        <v>6228.214300000001</v>
      </c>
      <c r="AQ30" s="153">
        <f t="shared" si="31"/>
        <v>4535.1075</v>
      </c>
      <c r="AR30" s="153">
        <f t="shared" si="32"/>
        <v>4535.1075</v>
      </c>
      <c r="AS30" s="220"/>
      <c r="AT30" s="190">
        <f>0.45*1784.6</f>
        <v>803.0699999999999</v>
      </c>
      <c r="AU30" s="440"/>
      <c r="AV30" s="191"/>
      <c r="AW30" s="191"/>
      <c r="AX30" s="191">
        <f>1600+1600</f>
        <v>3200</v>
      </c>
      <c r="AY30" s="191"/>
      <c r="AZ30" s="191"/>
      <c r="BA30" s="441"/>
      <c r="BB30" s="190"/>
      <c r="BC30" s="442">
        <f>SUM(AK30:BB30)</f>
        <v>44093.4203</v>
      </c>
      <c r="BD30" s="192">
        <f>'[16]Т05'!$S$12+'[16]Т05'!$S$37+'[16]Т05'!$S$39+'[16]Т05'!$S$40+'[16]Т05'!$S$70+'[16]Т05'!$S$84+'[16]Т05'!$S$92+'[16]Т05'!$S$160+'[16]Т05'!$S$231</f>
        <v>5207.344</v>
      </c>
      <c r="BE30" s="159">
        <f t="shared" si="33"/>
        <v>49300.764299999995</v>
      </c>
      <c r="BF30" s="159">
        <f t="shared" si="34"/>
        <v>10465.4591</v>
      </c>
      <c r="BG30" s="159">
        <f t="shared" si="35"/>
        <v>-4543.450000000004</v>
      </c>
    </row>
    <row r="31" spans="1:59" ht="12.75">
      <c r="A31" s="173" t="s">
        <v>50</v>
      </c>
      <c r="B31" s="443">
        <v>6045.51</v>
      </c>
      <c r="C31" s="131">
        <f t="shared" si="20"/>
        <v>51689.11050000001</v>
      </c>
      <c r="D31" s="221">
        <v>820.2534</v>
      </c>
      <c r="E31" s="205"/>
      <c r="F31" s="205"/>
      <c r="G31" s="205">
        <v>31982.92</v>
      </c>
      <c r="H31" s="205">
        <v>51.7</v>
      </c>
      <c r="I31" s="205"/>
      <c r="J31" s="205"/>
      <c r="K31" s="205"/>
      <c r="L31" s="205"/>
      <c r="M31" s="205">
        <v>15532.29</v>
      </c>
      <c r="N31" s="205">
        <v>25.1</v>
      </c>
      <c r="O31" s="205">
        <v>2396.58</v>
      </c>
      <c r="P31" s="205"/>
      <c r="Q31" s="205"/>
      <c r="R31" s="205"/>
      <c r="S31" s="206">
        <v>305</v>
      </c>
      <c r="T31" s="224"/>
      <c r="U31" s="218">
        <f t="shared" si="21"/>
        <v>50216.79</v>
      </c>
      <c r="V31" s="219">
        <f t="shared" si="21"/>
        <v>76.80000000000001</v>
      </c>
      <c r="W31" s="222"/>
      <c r="X31" s="444">
        <v>38976.77</v>
      </c>
      <c r="Y31" s="222"/>
      <c r="Z31" s="222"/>
      <c r="AA31" s="444">
        <v>13759.59</v>
      </c>
      <c r="AB31" s="444">
        <v>4764.9</v>
      </c>
      <c r="AC31" s="222"/>
      <c r="AD31" s="444"/>
      <c r="AE31" s="445">
        <v>492.14</v>
      </c>
      <c r="AF31" s="204">
        <f t="shared" si="22"/>
        <v>57993.4</v>
      </c>
      <c r="AG31" s="210">
        <f t="shared" si="23"/>
        <v>58890.4534</v>
      </c>
      <c r="AH31" s="188">
        <f t="shared" si="24"/>
        <v>0</v>
      </c>
      <c r="AI31" s="188">
        <f t="shared" si="24"/>
        <v>0</v>
      </c>
      <c r="AJ31" s="189">
        <f>'[16]Т06'!$J$12+'[16]Т06'!$J$37+'[16]Т06'!$J$39+'[16]Т06'!$J$40+'[16]Т06'!$J$70+'[16]Т06'!$J$84+'[16]Т06'!$J$92+'[16]Т06'!$J$166+'[16]Т06'!$J$262</f>
        <v>10121.220000000001</v>
      </c>
      <c r="AK31" s="148">
        <f t="shared" si="25"/>
        <v>4050.4917000000005</v>
      </c>
      <c r="AL31" s="153">
        <f t="shared" si="26"/>
        <v>1209.102</v>
      </c>
      <c r="AM31" s="153">
        <f t="shared" si="27"/>
        <v>6045.51</v>
      </c>
      <c r="AN31" s="153">
        <f t="shared" si="28"/>
        <v>1269.5571</v>
      </c>
      <c r="AO31" s="153">
        <f t="shared" si="29"/>
        <v>12211.9302</v>
      </c>
      <c r="AP31" s="153">
        <f t="shared" si="30"/>
        <v>6226.875300000001</v>
      </c>
      <c r="AQ31" s="153">
        <f t="shared" si="31"/>
        <v>4534.1325</v>
      </c>
      <c r="AR31" s="153">
        <f t="shared" si="32"/>
        <v>4534.1325</v>
      </c>
      <c r="AS31" s="220"/>
      <c r="AT31" s="190">
        <f>0.45*1784.6</f>
        <v>803.0699999999999</v>
      </c>
      <c r="AU31" s="440"/>
      <c r="AV31" s="191"/>
      <c r="AW31" s="191">
        <v>710</v>
      </c>
      <c r="AX31" s="191">
        <f>1325.76</f>
        <v>1325.76</v>
      </c>
      <c r="AY31" s="191"/>
      <c r="AZ31" s="191"/>
      <c r="BA31" s="441"/>
      <c r="BB31" s="190"/>
      <c r="BC31" s="442">
        <f>SUM(AK31:BB31)</f>
        <v>42920.5613</v>
      </c>
      <c r="BD31" s="192">
        <f>'[16]Т06'!$S$12+'[16]Т06'!$S$37+'[16]Т06'!$S$39+'[16]Т06'!$S$40+'[16]Т06'!$S$70+'[16]Т06'!$S$84+'[16]Т06'!$S$92+'[16]Т06'!$S$166+'[16]Т06'!$S$262</f>
        <v>5207.344</v>
      </c>
      <c r="BE31" s="159">
        <f t="shared" si="33"/>
        <v>48127.9053</v>
      </c>
      <c r="BF31" s="159">
        <f t="shared" si="34"/>
        <v>20883.7681</v>
      </c>
      <c r="BG31" s="159">
        <f t="shared" si="35"/>
        <v>7776.610000000001</v>
      </c>
    </row>
    <row r="32" spans="1:59" ht="12.75">
      <c r="A32" s="173" t="s">
        <v>51</v>
      </c>
      <c r="B32" s="145">
        <v>6045.51</v>
      </c>
      <c r="C32" s="131">
        <f aca="true" t="shared" si="36" ref="C32:C37">B32*9.51</f>
        <v>57492.8001</v>
      </c>
      <c r="D32" s="221">
        <v>1097.69205</v>
      </c>
      <c r="E32" s="205"/>
      <c r="F32" s="205"/>
      <c r="G32" s="205">
        <v>58911.3</v>
      </c>
      <c r="H32" s="205">
        <v>95.1</v>
      </c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6">
        <v>305</v>
      </c>
      <c r="T32" s="224"/>
      <c r="U32" s="218">
        <f aca="true" t="shared" si="37" ref="U32:V37">G32+M32+O32+Q32+S32</f>
        <v>59216.3</v>
      </c>
      <c r="V32" s="446">
        <f t="shared" si="37"/>
        <v>95.1</v>
      </c>
      <c r="W32" s="222"/>
      <c r="X32" s="197">
        <v>30433.99</v>
      </c>
      <c r="Y32" s="222"/>
      <c r="Z32" s="222"/>
      <c r="AA32" s="197">
        <v>14555.95</v>
      </c>
      <c r="AB32" s="197">
        <v>7489.96</v>
      </c>
      <c r="AC32" s="222"/>
      <c r="AD32" s="197"/>
      <c r="AE32" s="203">
        <v>248.01</v>
      </c>
      <c r="AF32" s="204">
        <f aca="true" t="shared" si="38" ref="AF32:AF37">SUM(X32:AE32)</f>
        <v>52727.91</v>
      </c>
      <c r="AG32" s="210">
        <f t="shared" si="23"/>
        <v>53920.70205000001</v>
      </c>
      <c r="AH32" s="447">
        <v>0</v>
      </c>
      <c r="AI32" s="188">
        <f t="shared" si="24"/>
        <v>0</v>
      </c>
      <c r="AJ32" s="189">
        <f>'[16]Т07'!$J$12+'[16]Т07'!$J$37+'[16]Т07'!$J$39+'[16]Т07'!$J$40+'[16]Т07'!$J$70+'[16]Т07'!$J$86+'[16]Т07'!$J$94+'[16]Т07'!$J$168+'[16]Т07'!$J$264</f>
        <v>10121.220000000001</v>
      </c>
      <c r="AK32" s="153">
        <f aca="true" t="shared" si="39" ref="AK32:AK37">0.75*B32</f>
        <v>4534.1325</v>
      </c>
      <c r="AL32" s="153">
        <f t="shared" si="26"/>
        <v>1209.102</v>
      </c>
      <c r="AM32" s="153">
        <f t="shared" si="27"/>
        <v>6045.51</v>
      </c>
      <c r="AN32" s="153">
        <f t="shared" si="28"/>
        <v>1269.5571</v>
      </c>
      <c r="AO32" s="153">
        <f t="shared" si="29"/>
        <v>12211.9302</v>
      </c>
      <c r="AP32" s="153">
        <f t="shared" si="30"/>
        <v>6226.875300000001</v>
      </c>
      <c r="AQ32" s="153">
        <f t="shared" si="31"/>
        <v>4534.1325</v>
      </c>
      <c r="AR32" s="153">
        <f t="shared" si="32"/>
        <v>4534.1325</v>
      </c>
      <c r="AS32" s="220"/>
      <c r="AT32" s="190">
        <f>0.45*1784.6</f>
        <v>803.0699999999999</v>
      </c>
      <c r="AU32" s="440">
        <v>1997</v>
      </c>
      <c r="AV32" s="191"/>
      <c r="AW32" s="191"/>
      <c r="AX32" s="191">
        <f>100+8.33+2798+724</f>
        <v>3630.33</v>
      </c>
      <c r="AY32" s="191"/>
      <c r="AZ32" s="191"/>
      <c r="BA32" s="441"/>
      <c r="BB32" s="190"/>
      <c r="BC32" s="442">
        <f>SUM(AK32:BB32)</f>
        <v>46995.7721</v>
      </c>
      <c r="BD32" s="192">
        <f>'[16]Т07'!$S$12+'[16]Т07'!$S$37+'[16]Т07'!$S$39+'[16]Т07'!$S$40+'[16]Т07'!$S$70+'[16]Т07'!$S$86+'[16]Т07'!$S$94+'[16]Т07'!$S$168+'[16]Т07'!$S$264</f>
        <v>5207.344</v>
      </c>
      <c r="BE32" s="159">
        <f t="shared" si="33"/>
        <v>52203.1161</v>
      </c>
      <c r="BF32" s="159">
        <f t="shared" si="34"/>
        <v>11838.805950000009</v>
      </c>
      <c r="BG32" s="159">
        <f t="shared" si="35"/>
        <v>-6488.389999999999</v>
      </c>
    </row>
    <row r="33" spans="1:59" ht="12.75">
      <c r="A33" s="173" t="s">
        <v>52</v>
      </c>
      <c r="B33" s="145">
        <v>6045.51</v>
      </c>
      <c r="C33" s="131">
        <f t="shared" si="36"/>
        <v>57492.8001</v>
      </c>
      <c r="D33" s="221"/>
      <c r="E33" s="205"/>
      <c r="F33" s="205"/>
      <c r="G33" s="205">
        <v>58937.19</v>
      </c>
      <c r="H33" s="205">
        <v>95.1</v>
      </c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6">
        <v>305</v>
      </c>
      <c r="T33" s="224"/>
      <c r="U33" s="218">
        <f t="shared" si="37"/>
        <v>59242.19</v>
      </c>
      <c r="V33" s="446">
        <f t="shared" si="37"/>
        <v>95.1</v>
      </c>
      <c r="W33" s="222"/>
      <c r="X33" s="197">
        <v>56089.75</v>
      </c>
      <c r="Y33" s="222"/>
      <c r="Z33" s="222"/>
      <c r="AA33" s="197">
        <v>1818.89</v>
      </c>
      <c r="AB33" s="197">
        <v>600.02</v>
      </c>
      <c r="AC33" s="222"/>
      <c r="AD33" s="197"/>
      <c r="AE33" s="203">
        <v>248.01</v>
      </c>
      <c r="AF33" s="204">
        <f t="shared" si="38"/>
        <v>58756.67</v>
      </c>
      <c r="AG33" s="210">
        <f t="shared" si="23"/>
        <v>58851.77</v>
      </c>
      <c r="AH33" s="447">
        <v>0</v>
      </c>
      <c r="AI33" s="188">
        <f t="shared" si="24"/>
        <v>0</v>
      </c>
      <c r="AJ33" s="189">
        <f>'[16]Т08'!$J$12+'[16]Т08'!$J$37+'[16]Т08'!$J$39+'[16]Т08'!$J$40+'[16]Т08'!$J$70+'[16]Т08'!$J$86+'[16]Т08'!$J$94+'[16]Т08'!$J$168+'[16]Т08'!$J$264+'[16]Т08'!$J$296</f>
        <v>13121.220000000001</v>
      </c>
      <c r="AK33" s="153">
        <f t="shared" si="39"/>
        <v>4534.1325</v>
      </c>
      <c r="AL33" s="153">
        <f t="shared" si="26"/>
        <v>1209.102</v>
      </c>
      <c r="AM33" s="153">
        <f t="shared" si="27"/>
        <v>6045.51</v>
      </c>
      <c r="AN33" s="153">
        <f t="shared" si="28"/>
        <v>1269.5571</v>
      </c>
      <c r="AO33" s="153">
        <f t="shared" si="29"/>
        <v>12211.9302</v>
      </c>
      <c r="AP33" s="153">
        <f t="shared" si="30"/>
        <v>6226.875300000001</v>
      </c>
      <c r="AQ33" s="153">
        <f t="shared" si="31"/>
        <v>4534.1325</v>
      </c>
      <c r="AR33" s="153">
        <f t="shared" si="32"/>
        <v>4534.1325</v>
      </c>
      <c r="AS33" s="220"/>
      <c r="AT33" s="190">
        <f>0.45*1784.6</f>
        <v>803.0699999999999</v>
      </c>
      <c r="AU33" s="440"/>
      <c r="AV33" s="191"/>
      <c r="AW33" s="191">
        <v>5776</v>
      </c>
      <c r="AX33" s="191">
        <f>9682.84+2840</f>
        <v>12522.84</v>
      </c>
      <c r="AY33" s="191"/>
      <c r="AZ33" s="191"/>
      <c r="BA33" s="441"/>
      <c r="BB33" s="190"/>
      <c r="BC33" s="442">
        <f>SUM(AK33:BB33)</f>
        <v>59667.2821</v>
      </c>
      <c r="BD33" s="192">
        <f>'[16]Т08'!$S$12+'[16]Т08'!$S$37+'[16]Т08'!$S$39+'[16]Т08'!$S$40+'[16]Т08'!$S$70+'[16]Т08'!$S$86+'[16]Т08'!$S$94+'[16]Т08'!$S$168+'[16]Т08'!$S$264+'[16]Т08'!$S$296</f>
        <v>5957.344</v>
      </c>
      <c r="BE33" s="159">
        <f t="shared" si="33"/>
        <v>65624.6261</v>
      </c>
      <c r="BF33" s="159">
        <f t="shared" si="34"/>
        <v>6348.363899999997</v>
      </c>
      <c r="BG33" s="159">
        <f t="shared" si="35"/>
        <v>-485.5200000000041</v>
      </c>
    </row>
    <row r="34" spans="1:59" ht="12.75">
      <c r="A34" s="173" t="s">
        <v>53</v>
      </c>
      <c r="B34" s="145">
        <v>6045.51</v>
      </c>
      <c r="C34" s="131">
        <f t="shared" si="36"/>
        <v>57492.8001</v>
      </c>
      <c r="D34" s="221"/>
      <c r="E34" s="205"/>
      <c r="F34" s="205"/>
      <c r="G34" s="205">
        <v>58945.24</v>
      </c>
      <c r="H34" s="205">
        <v>95.1</v>
      </c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6">
        <v>305</v>
      </c>
      <c r="T34" s="224"/>
      <c r="U34" s="218">
        <f t="shared" si="37"/>
        <v>59250.24</v>
      </c>
      <c r="V34" s="446">
        <f t="shared" si="37"/>
        <v>95.1</v>
      </c>
      <c r="W34" s="222"/>
      <c r="X34" s="197">
        <v>48315.19</v>
      </c>
      <c r="Y34" s="222"/>
      <c r="Z34" s="222"/>
      <c r="AA34" s="197">
        <v>1136.12</v>
      </c>
      <c r="AB34" s="197">
        <v>425.25</v>
      </c>
      <c r="AC34" s="222"/>
      <c r="AD34" s="197"/>
      <c r="AE34" s="203">
        <v>397.29</v>
      </c>
      <c r="AF34" s="204">
        <f t="shared" si="38"/>
        <v>50273.850000000006</v>
      </c>
      <c r="AG34" s="210">
        <f t="shared" si="23"/>
        <v>50368.950000000004</v>
      </c>
      <c r="AH34" s="447">
        <v>0</v>
      </c>
      <c r="AI34" s="188">
        <f t="shared" si="24"/>
        <v>0</v>
      </c>
      <c r="AJ34" s="189">
        <f>'[16]Т09'!$J$12+'[16]Т09'!$J$37+'[16]Т09'!$J$39+'[16]Т09'!$J$40+'[16]Т09'!$J$70+'[16]Т09'!$J$86+'[16]Т09'!$J$94+'[16]Т09'!$J$171+'[16]Т09'!$J$264+'[16]Т09'!$J$296</f>
        <v>11121.220000000001</v>
      </c>
      <c r="AK34" s="153">
        <f t="shared" si="39"/>
        <v>4534.1325</v>
      </c>
      <c r="AL34" s="153">
        <f t="shared" si="26"/>
        <v>1209.102</v>
      </c>
      <c r="AM34" s="153">
        <f t="shared" si="27"/>
        <v>6045.51</v>
      </c>
      <c r="AN34" s="153">
        <f t="shared" si="28"/>
        <v>1269.5571</v>
      </c>
      <c r="AO34" s="153">
        <f t="shared" si="29"/>
        <v>12211.9302</v>
      </c>
      <c r="AP34" s="153">
        <f t="shared" si="30"/>
        <v>6226.875300000001</v>
      </c>
      <c r="AQ34" s="153">
        <f t="shared" si="31"/>
        <v>4534.1325</v>
      </c>
      <c r="AR34" s="153">
        <f t="shared" si="32"/>
        <v>4534.1325</v>
      </c>
      <c r="AS34" s="220"/>
      <c r="AT34" s="190">
        <f>0.45*1784.6</f>
        <v>803.0699999999999</v>
      </c>
      <c r="AU34" s="440">
        <v>2477</v>
      </c>
      <c r="AV34" s="191"/>
      <c r="AW34" s="191">
        <v>4274</v>
      </c>
      <c r="AX34" s="191">
        <f>541+249.5+2230.03</f>
        <v>3020.53</v>
      </c>
      <c r="AY34" s="191"/>
      <c r="AZ34" s="191"/>
      <c r="BA34" s="441"/>
      <c r="BB34" s="190"/>
      <c r="BC34" s="442">
        <f>SUM(AK34:BB34)</f>
        <v>51139.9721</v>
      </c>
      <c r="BD34" s="192">
        <f>'[16]Т09'!$S$12+'[16]Т09'!$S$37+'[16]Т09'!$S$39+'[16]Т09'!$S$40+'[16]Т09'!$S$70+'[16]Т09'!$S$86+'[16]Т09'!$S$94+'[16]Т09'!$S$171+'[16]Т09'!$S$264+'[16]Т09'!$S$296</f>
        <v>5457.344</v>
      </c>
      <c r="BE34" s="159">
        <f t="shared" si="33"/>
        <v>56597.3161</v>
      </c>
      <c r="BF34" s="159">
        <f t="shared" si="34"/>
        <v>4892.853900000009</v>
      </c>
      <c r="BG34" s="159">
        <f t="shared" si="35"/>
        <v>-8976.389999999992</v>
      </c>
    </row>
    <row r="35" spans="1:59" ht="12.75">
      <c r="A35" s="173" t="s">
        <v>41</v>
      </c>
      <c r="B35" s="145">
        <v>6045.51</v>
      </c>
      <c r="C35" s="131">
        <f t="shared" si="36"/>
        <v>57492.8001</v>
      </c>
      <c r="D35" s="221"/>
      <c r="E35" s="205"/>
      <c r="F35" s="205"/>
      <c r="G35" s="205">
        <v>58961.18</v>
      </c>
      <c r="H35" s="205">
        <v>95.1</v>
      </c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>
        <v>305</v>
      </c>
      <c r="T35" s="224"/>
      <c r="U35" s="218">
        <f t="shared" si="37"/>
        <v>59266.18</v>
      </c>
      <c r="V35" s="446">
        <f t="shared" si="37"/>
        <v>95.1</v>
      </c>
      <c r="W35" s="222"/>
      <c r="X35" s="197">
        <v>57590.76</v>
      </c>
      <c r="Y35" s="222"/>
      <c r="Z35" s="222"/>
      <c r="AA35" s="197">
        <v>3052.35</v>
      </c>
      <c r="AB35" s="197">
        <v>261.53</v>
      </c>
      <c r="AC35" s="222"/>
      <c r="AD35" s="197"/>
      <c r="AE35" s="203">
        <v>170.03</v>
      </c>
      <c r="AF35" s="204">
        <f t="shared" si="38"/>
        <v>61074.67</v>
      </c>
      <c r="AG35" s="210">
        <f t="shared" si="23"/>
        <v>61169.77</v>
      </c>
      <c r="AH35" s="447">
        <v>0</v>
      </c>
      <c r="AI35" s="188">
        <f t="shared" si="24"/>
        <v>0</v>
      </c>
      <c r="AJ35" s="189">
        <f>'[16]Т10'!$J$12+'[16]Т10'!$J$37+'[16]Т10'!$J$39+'[16]Т10'!$J$40+'[16]Т10'!$J$69+'[16]Т10'!$J$85+'[16]Т10'!$J$93+'[16]Т10'!$J$170+'[16]Т10'!$J$263+'[16]Т10'!$J$295</f>
        <v>11121.220000000001</v>
      </c>
      <c r="AK35" s="153">
        <f t="shared" si="39"/>
        <v>4534.1325</v>
      </c>
      <c r="AL35" s="153">
        <f t="shared" si="26"/>
        <v>1209.102</v>
      </c>
      <c r="AM35" s="153">
        <f t="shared" si="27"/>
        <v>6045.51</v>
      </c>
      <c r="AN35" s="153">
        <f t="shared" si="28"/>
        <v>1269.5571</v>
      </c>
      <c r="AO35" s="153">
        <f t="shared" si="29"/>
        <v>12211.9302</v>
      </c>
      <c r="AP35" s="153">
        <f t="shared" si="30"/>
        <v>6226.875300000001</v>
      </c>
      <c r="AQ35" s="153">
        <f t="shared" si="31"/>
        <v>4534.1325</v>
      </c>
      <c r="AR35" s="153">
        <f t="shared" si="32"/>
        <v>4534.1325</v>
      </c>
      <c r="AS35" s="220">
        <f>B35*1.15</f>
        <v>6952.336499999999</v>
      </c>
      <c r="AT35" s="190">
        <f>0.45*1784.6</f>
        <v>803.0699999999999</v>
      </c>
      <c r="AU35" s="448">
        <v>436</v>
      </c>
      <c r="AV35" s="191"/>
      <c r="AW35" s="191"/>
      <c r="AX35" s="449">
        <f>36+1110.19+108+90+3055.0769</f>
        <v>4399.2669000000005</v>
      </c>
      <c r="AY35" s="449"/>
      <c r="AZ35" s="449"/>
      <c r="BA35" s="441"/>
      <c r="BB35" s="190"/>
      <c r="BC35" s="442">
        <f>SUM(AK35:BB35)</f>
        <v>53156.0455</v>
      </c>
      <c r="BD35" s="192">
        <f>'[16]Т10'!$S$12+'[16]Т10'!$S$37+'[16]Т10'!$S$39+'[16]Т10'!$S$40+'[16]Т10'!$S$69+'[16]Т10'!$S$85+'[16]Т10'!$S$93+'[16]Т10'!$S$170+'[16]Т10'!$S$263+'[16]Т10'!$S$295</f>
        <v>5457.344</v>
      </c>
      <c r="BE35" s="159">
        <f t="shared" si="33"/>
        <v>58613.3895</v>
      </c>
      <c r="BF35" s="159">
        <f t="shared" si="34"/>
        <v>13677.600499999993</v>
      </c>
      <c r="BG35" s="159">
        <f t="shared" si="35"/>
        <v>1808.489999999998</v>
      </c>
    </row>
    <row r="36" spans="1:59" ht="12.75">
      <c r="A36" s="173" t="s">
        <v>42</v>
      </c>
      <c r="B36" s="450">
        <v>6045.51</v>
      </c>
      <c r="C36" s="131">
        <f t="shared" si="36"/>
        <v>57492.8001</v>
      </c>
      <c r="D36" s="221"/>
      <c r="E36" s="205"/>
      <c r="F36" s="205"/>
      <c r="G36" s="197">
        <v>58993.74</v>
      </c>
      <c r="H36" s="197">
        <v>95.1</v>
      </c>
      <c r="I36" s="205"/>
      <c r="J36" s="205"/>
      <c r="K36" s="205"/>
      <c r="L36" s="205"/>
      <c r="M36" s="197"/>
      <c r="N36" s="197"/>
      <c r="O36" s="197"/>
      <c r="P36" s="197"/>
      <c r="Q36" s="197"/>
      <c r="R36" s="197"/>
      <c r="S36" s="203">
        <v>305</v>
      </c>
      <c r="T36" s="224"/>
      <c r="U36" s="218">
        <f t="shared" si="37"/>
        <v>59298.74</v>
      </c>
      <c r="V36" s="446">
        <f t="shared" si="37"/>
        <v>95.1</v>
      </c>
      <c r="W36" s="222"/>
      <c r="X36" s="197">
        <v>57650.98</v>
      </c>
      <c r="Y36" s="222"/>
      <c r="Z36" s="222"/>
      <c r="AA36" s="197">
        <v>1121.07</v>
      </c>
      <c r="AB36" s="197">
        <v>388.74</v>
      </c>
      <c r="AC36" s="222"/>
      <c r="AD36" s="197"/>
      <c r="AE36" s="203">
        <v>325.3</v>
      </c>
      <c r="AF36" s="204">
        <f t="shared" si="38"/>
        <v>59486.090000000004</v>
      </c>
      <c r="AG36" s="210">
        <f t="shared" si="23"/>
        <v>59581.19</v>
      </c>
      <c r="AH36" s="447">
        <v>0</v>
      </c>
      <c r="AI36" s="188">
        <f t="shared" si="24"/>
        <v>0</v>
      </c>
      <c r="AJ36" s="189">
        <f>'[16]Т11'!$J$12+'[16]Т11'!$J$37+'[16]Т11'!$J$39+'[16]Т11'!$J$40+'[16]Т11'!$J$69+'[16]Т11'!$J$85+'[16]Т11'!$J$93+'[16]Т11'!$J$156+'[16]Т11'!$J$172+'[16]Т11'!$J$265+'[16]Т11'!$J$297</f>
        <v>16761.190000000002</v>
      </c>
      <c r="AK36" s="153">
        <f t="shared" si="39"/>
        <v>4534.1325</v>
      </c>
      <c r="AL36" s="153">
        <f t="shared" si="26"/>
        <v>1209.102</v>
      </c>
      <c r="AM36" s="153">
        <f t="shared" si="27"/>
        <v>6045.51</v>
      </c>
      <c r="AN36" s="153">
        <f t="shared" si="28"/>
        <v>1269.5571</v>
      </c>
      <c r="AO36" s="153">
        <f t="shared" si="29"/>
        <v>12211.9302</v>
      </c>
      <c r="AP36" s="153">
        <f t="shared" si="30"/>
        <v>6226.875300000001</v>
      </c>
      <c r="AQ36" s="153">
        <f t="shared" si="31"/>
        <v>4534.1325</v>
      </c>
      <c r="AR36" s="153">
        <f t="shared" si="32"/>
        <v>4534.1325</v>
      </c>
      <c r="AS36" s="220">
        <f>B36*1.15</f>
        <v>6952.336499999999</v>
      </c>
      <c r="AT36" s="190">
        <f>0.45*1784.6</f>
        <v>803.0699999999999</v>
      </c>
      <c r="AU36" s="440">
        <v>7005</v>
      </c>
      <c r="AV36" s="191"/>
      <c r="AW36" s="191"/>
      <c r="AX36" s="191">
        <f>1228</f>
        <v>1228</v>
      </c>
      <c r="AY36" s="191"/>
      <c r="AZ36" s="191"/>
      <c r="BA36" s="441"/>
      <c r="BB36" s="190"/>
      <c r="BC36" s="442">
        <f>SUM(AK36:BB36)</f>
        <v>56553.7786</v>
      </c>
      <c r="BD36" s="192">
        <f>'[16]Т11'!$S$12+'[16]Т11'!$S$37+'[16]Т11'!$S$39+'[16]Т11'!$S$40+'[16]Т11'!$S$69+'[16]Т11'!$S$85+'[16]Т11'!$S$93+'[16]Т11'!$S$156+'[16]Т11'!$S$172+'[16]Т11'!$S$265+'[16]Т11'!$S$297</f>
        <v>8236.918000000001</v>
      </c>
      <c r="BE36" s="159">
        <f t="shared" si="33"/>
        <v>64790.696599999996</v>
      </c>
      <c r="BF36" s="159">
        <f t="shared" si="34"/>
        <v>11551.683400000009</v>
      </c>
      <c r="BG36" s="159">
        <f t="shared" si="35"/>
        <v>187.35000000000582</v>
      </c>
    </row>
    <row r="37" spans="1:59" ht="13.5" thickBot="1">
      <c r="A37" s="173" t="s">
        <v>43</v>
      </c>
      <c r="B37" s="450">
        <v>6045.51</v>
      </c>
      <c r="C37" s="131">
        <f t="shared" si="36"/>
        <v>57492.8001</v>
      </c>
      <c r="D37" s="221"/>
      <c r="E37" s="197"/>
      <c r="F37" s="197"/>
      <c r="G37" s="197">
        <v>59019.72</v>
      </c>
      <c r="H37" s="197">
        <v>95.1</v>
      </c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203">
        <v>305</v>
      </c>
      <c r="T37" s="224"/>
      <c r="U37" s="218">
        <f t="shared" si="37"/>
        <v>59324.72</v>
      </c>
      <c r="V37" s="446">
        <f t="shared" si="37"/>
        <v>95.1</v>
      </c>
      <c r="W37" s="222"/>
      <c r="X37" s="197">
        <v>70162.95</v>
      </c>
      <c r="Y37" s="197"/>
      <c r="Z37" s="197"/>
      <c r="AA37" s="197">
        <v>947.81</v>
      </c>
      <c r="AB37" s="197">
        <v>709.26</v>
      </c>
      <c r="AC37" s="197"/>
      <c r="AD37" s="197"/>
      <c r="AE37" s="203">
        <v>414.08</v>
      </c>
      <c r="AF37" s="204">
        <f t="shared" si="38"/>
        <v>72234.09999999999</v>
      </c>
      <c r="AG37" s="210">
        <f t="shared" si="23"/>
        <v>72329.2</v>
      </c>
      <c r="AH37" s="447">
        <v>0</v>
      </c>
      <c r="AI37" s="188">
        <f t="shared" si="24"/>
        <v>0</v>
      </c>
      <c r="AJ37" s="189">
        <f>'[16]Т12'!$J$12+'[16]Т12'!$J$37+'[16]Т12'!$J$39+'[16]Т12'!$J$40+'[16]Т12'!$J$69+'[16]Т12'!$J$85+'[16]Т12'!$J$93+'[16]Т12'!$J$156+'[16]Т12'!$J$175+'[16]Т12'!$J$268+'[16]Т12'!$J$300</f>
        <v>11626.93</v>
      </c>
      <c r="AK37" s="153">
        <f t="shared" si="39"/>
        <v>4534.1325</v>
      </c>
      <c r="AL37" s="153">
        <f t="shared" si="26"/>
        <v>1209.102</v>
      </c>
      <c r="AM37" s="153">
        <f t="shared" si="27"/>
        <v>6045.51</v>
      </c>
      <c r="AN37" s="153">
        <f t="shared" si="28"/>
        <v>1269.5571</v>
      </c>
      <c r="AO37" s="153">
        <f t="shared" si="29"/>
        <v>12211.9302</v>
      </c>
      <c r="AP37" s="153">
        <f t="shared" si="30"/>
        <v>6226.875300000001</v>
      </c>
      <c r="AQ37" s="153">
        <f t="shared" si="31"/>
        <v>4534.1325</v>
      </c>
      <c r="AR37" s="153">
        <f t="shared" si="32"/>
        <v>4534.1325</v>
      </c>
      <c r="AS37" s="220">
        <f>B37*1.15</f>
        <v>6952.336499999999</v>
      </c>
      <c r="AT37" s="190">
        <f>0.45*1784.6</f>
        <v>803.0699999999999</v>
      </c>
      <c r="AU37" s="440"/>
      <c r="AV37" s="191"/>
      <c r="AW37" s="191"/>
      <c r="AX37" s="191">
        <f>1727</f>
        <v>1727</v>
      </c>
      <c r="AY37" s="191"/>
      <c r="AZ37" s="191"/>
      <c r="BA37" s="441"/>
      <c r="BB37" s="190"/>
      <c r="BC37" s="442">
        <f>SUM(AK37:BB37)</f>
        <v>50047.7786</v>
      </c>
      <c r="BD37" s="192">
        <f>'[16]Т12'!$S$12+'[16]Т12'!$S$37+'[16]Т12'!$S$39+'[16]Т12'!$S$40+'[16]Т12'!$S$69+'[16]Т12'!$S$85+'[16]Т12'!$S$93+'[16]Т12'!$S$156+'[16]Т12'!$S$174+'[16]Т12'!$S$267+'[16]Т12'!$S$299</f>
        <v>5854.426</v>
      </c>
      <c r="BE37" s="159">
        <f t="shared" si="33"/>
        <v>55902.2046</v>
      </c>
      <c r="BF37" s="159">
        <f t="shared" si="34"/>
        <v>28053.925400000007</v>
      </c>
      <c r="BG37" s="159">
        <f t="shared" si="35"/>
        <v>12909.37999999999</v>
      </c>
    </row>
    <row r="38" spans="1:59" s="20" customFormat="1" ht="13.5" thickBot="1">
      <c r="A38" s="225" t="s">
        <v>5</v>
      </c>
      <c r="B38" s="226"/>
      <c r="C38" s="227">
        <f aca="true" t="shared" si="40" ref="C38:BE38">SUM(C26:C37)</f>
        <v>655147.0386</v>
      </c>
      <c r="D38" s="227">
        <f t="shared" si="40"/>
        <v>6019.212449999999</v>
      </c>
      <c r="E38" s="227">
        <f t="shared" si="40"/>
        <v>0</v>
      </c>
      <c r="F38" s="227">
        <f t="shared" si="40"/>
        <v>0</v>
      </c>
      <c r="G38" s="227">
        <f t="shared" si="40"/>
        <v>545801.6699999999</v>
      </c>
      <c r="H38" s="227">
        <f t="shared" si="40"/>
        <v>880.8000000000001</v>
      </c>
      <c r="I38" s="227">
        <f t="shared" si="40"/>
        <v>0</v>
      </c>
      <c r="J38" s="227">
        <f t="shared" si="40"/>
        <v>0</v>
      </c>
      <c r="K38" s="227">
        <f t="shared" si="40"/>
        <v>0</v>
      </c>
      <c r="L38" s="227">
        <f t="shared" si="40"/>
        <v>0</v>
      </c>
      <c r="M38" s="227">
        <f t="shared" si="40"/>
        <v>93259.11000000002</v>
      </c>
      <c r="N38" s="227">
        <f t="shared" si="40"/>
        <v>150.6</v>
      </c>
      <c r="O38" s="227">
        <f t="shared" si="40"/>
        <v>29401.920000000006</v>
      </c>
      <c r="P38" s="227">
        <f t="shared" si="40"/>
        <v>0</v>
      </c>
      <c r="Q38" s="227">
        <f t="shared" si="40"/>
        <v>0</v>
      </c>
      <c r="R38" s="227">
        <f t="shared" si="40"/>
        <v>0</v>
      </c>
      <c r="S38" s="227">
        <f t="shared" si="40"/>
        <v>3660</v>
      </c>
      <c r="T38" s="227">
        <f t="shared" si="40"/>
        <v>0</v>
      </c>
      <c r="U38" s="227">
        <f t="shared" si="40"/>
        <v>672122.7</v>
      </c>
      <c r="V38" s="227">
        <f t="shared" si="40"/>
        <v>1031.4</v>
      </c>
      <c r="W38" s="227">
        <f t="shared" si="40"/>
        <v>0</v>
      </c>
      <c r="X38" s="227">
        <f t="shared" si="40"/>
        <v>516854.22</v>
      </c>
      <c r="Y38" s="227">
        <f t="shared" si="40"/>
        <v>0</v>
      </c>
      <c r="Z38" s="227">
        <f t="shared" si="40"/>
        <v>0</v>
      </c>
      <c r="AA38" s="227">
        <f t="shared" si="40"/>
        <v>107859.05</v>
      </c>
      <c r="AB38" s="227">
        <f t="shared" si="40"/>
        <v>38644.119999999995</v>
      </c>
      <c r="AC38" s="227">
        <f t="shared" si="40"/>
        <v>0</v>
      </c>
      <c r="AD38" s="227">
        <f t="shared" si="40"/>
        <v>0</v>
      </c>
      <c r="AE38" s="227">
        <f t="shared" si="40"/>
        <v>3584.34</v>
      </c>
      <c r="AF38" s="227">
        <f t="shared" si="40"/>
        <v>666941.73</v>
      </c>
      <c r="AG38" s="227">
        <f t="shared" si="40"/>
        <v>673992.3424499999</v>
      </c>
      <c r="AH38" s="227">
        <f t="shared" si="40"/>
        <v>0</v>
      </c>
      <c r="AI38" s="227">
        <f t="shared" si="40"/>
        <v>0</v>
      </c>
      <c r="AJ38" s="227">
        <f t="shared" si="40"/>
        <v>137823.16</v>
      </c>
      <c r="AK38" s="227">
        <f t="shared" si="40"/>
        <v>51512.1002</v>
      </c>
      <c r="AL38" s="227">
        <f t="shared" si="40"/>
        <v>14510.524000000005</v>
      </c>
      <c r="AM38" s="227">
        <f t="shared" si="40"/>
        <v>72552.62000000001</v>
      </c>
      <c r="AN38" s="227">
        <f t="shared" si="40"/>
        <v>15236.0502</v>
      </c>
      <c r="AO38" s="227">
        <f t="shared" si="40"/>
        <v>146556.2924</v>
      </c>
      <c r="AP38" s="227">
        <f t="shared" si="40"/>
        <v>74729.1986</v>
      </c>
      <c r="AQ38" s="227">
        <f t="shared" si="40"/>
        <v>54414.465</v>
      </c>
      <c r="AR38" s="227">
        <f t="shared" si="40"/>
        <v>54414.465</v>
      </c>
      <c r="AS38" s="227">
        <f t="shared" si="40"/>
        <v>41718.50399999999</v>
      </c>
      <c r="AT38" s="227">
        <f t="shared" si="40"/>
        <v>9636.839999999998</v>
      </c>
      <c r="AU38" s="227">
        <f t="shared" si="40"/>
        <v>22792</v>
      </c>
      <c r="AV38" s="227">
        <f t="shared" si="40"/>
        <v>0</v>
      </c>
      <c r="AW38" s="227">
        <f t="shared" si="40"/>
        <v>11340.470000000001</v>
      </c>
      <c r="AX38" s="227">
        <f t="shared" si="40"/>
        <v>38205.0369</v>
      </c>
      <c r="AY38" s="227">
        <f t="shared" si="40"/>
        <v>0</v>
      </c>
      <c r="AZ38" s="227">
        <f t="shared" si="40"/>
        <v>0</v>
      </c>
      <c r="BA38" s="227">
        <f t="shared" si="40"/>
        <v>0</v>
      </c>
      <c r="BB38" s="227">
        <f t="shared" si="40"/>
        <v>0</v>
      </c>
      <c r="BC38" s="227">
        <f t="shared" si="40"/>
        <v>607618.5663</v>
      </c>
      <c r="BD38" s="227">
        <f t="shared" si="40"/>
        <v>69003.112</v>
      </c>
      <c r="BE38" s="227">
        <f t="shared" si="40"/>
        <v>676621.6783</v>
      </c>
      <c r="BF38" s="227">
        <f>SUM(BF26:BF37)</f>
        <v>135193.82415000003</v>
      </c>
      <c r="BG38" s="227">
        <f>SUM(BG26:BG37)</f>
        <v>-5180.970000000001</v>
      </c>
    </row>
    <row r="39" spans="1:59" s="20" customFormat="1" ht="13.5" thickBot="1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30"/>
      <c r="BF39" s="229"/>
      <c r="BG39" s="231"/>
    </row>
    <row r="40" spans="1:59" s="20" customFormat="1" ht="13.5" thickBot="1">
      <c r="A40" s="22" t="s">
        <v>54</v>
      </c>
      <c r="B40" s="229"/>
      <c r="C40" s="232">
        <f aca="true" t="shared" si="41" ref="C40:BE40">C38+C24</f>
        <v>2692760.8566</v>
      </c>
      <c r="D40" s="232">
        <f t="shared" si="41"/>
        <v>181785.71300430005</v>
      </c>
      <c r="E40" s="232">
        <f t="shared" si="41"/>
        <v>129915.27</v>
      </c>
      <c r="F40" s="232">
        <f t="shared" si="41"/>
        <v>16187.34</v>
      </c>
      <c r="G40" s="232">
        <f t="shared" si="41"/>
        <v>924824.9199999999</v>
      </c>
      <c r="H40" s="232">
        <f t="shared" si="41"/>
        <v>1397.8000000000002</v>
      </c>
      <c r="I40" s="232">
        <f t="shared" si="41"/>
        <v>172256.97</v>
      </c>
      <c r="J40" s="232">
        <f t="shared" si="41"/>
        <v>21327.64</v>
      </c>
      <c r="K40" s="232">
        <f t="shared" si="41"/>
        <v>289332.41000000003</v>
      </c>
      <c r="L40" s="232">
        <f t="shared" si="41"/>
        <v>35920.979999999996</v>
      </c>
      <c r="M40" s="232">
        <f t="shared" si="41"/>
        <v>694816.56</v>
      </c>
      <c r="N40" s="232">
        <f t="shared" si="41"/>
        <v>52461.079999999994</v>
      </c>
      <c r="O40" s="232">
        <f t="shared" si="41"/>
        <v>197700.20000000004</v>
      </c>
      <c r="P40" s="232">
        <f t="shared" si="41"/>
        <v>12749.819999999998</v>
      </c>
      <c r="Q40" s="232">
        <f t="shared" si="41"/>
        <v>0</v>
      </c>
      <c r="R40" s="232">
        <f t="shared" si="41"/>
        <v>0</v>
      </c>
      <c r="S40" s="232">
        <f t="shared" si="41"/>
        <v>7320</v>
      </c>
      <c r="T40" s="232">
        <f t="shared" si="41"/>
        <v>0</v>
      </c>
      <c r="U40" s="232">
        <f t="shared" si="41"/>
        <v>2416166.33</v>
      </c>
      <c r="V40" s="232">
        <f t="shared" si="41"/>
        <v>140044.66000000003</v>
      </c>
      <c r="W40" s="232">
        <f t="shared" si="41"/>
        <v>130989.93000000002</v>
      </c>
      <c r="X40" s="232">
        <f t="shared" si="41"/>
        <v>821234.6499999999</v>
      </c>
      <c r="Y40" s="232">
        <f t="shared" si="41"/>
        <v>176593.69</v>
      </c>
      <c r="Z40" s="232">
        <f t="shared" si="41"/>
        <v>292509.33999999997</v>
      </c>
      <c r="AA40" s="232">
        <f t="shared" si="41"/>
        <v>688770.5800000001</v>
      </c>
      <c r="AB40" s="232">
        <f t="shared" si="41"/>
        <v>199757.88</v>
      </c>
      <c r="AC40" s="232">
        <f t="shared" si="41"/>
        <v>0</v>
      </c>
      <c r="AD40" s="232">
        <f t="shared" si="41"/>
        <v>0</v>
      </c>
      <c r="AE40" s="232">
        <f t="shared" si="41"/>
        <v>6611.18</v>
      </c>
      <c r="AF40" s="232">
        <f t="shared" si="41"/>
        <v>2316467.25</v>
      </c>
      <c r="AG40" s="232">
        <f t="shared" si="41"/>
        <v>2638297.6230042996</v>
      </c>
      <c r="AH40" s="232">
        <f t="shared" si="41"/>
        <v>0</v>
      </c>
      <c r="AI40" s="232">
        <f t="shared" si="41"/>
        <v>0</v>
      </c>
      <c r="AJ40" s="232">
        <f t="shared" si="41"/>
        <v>413297.7547200001</v>
      </c>
      <c r="AK40" s="232">
        <f t="shared" si="41"/>
        <v>196971.9716</v>
      </c>
      <c r="AL40" s="232">
        <f t="shared" si="41"/>
        <v>61474.786379200006</v>
      </c>
      <c r="AM40" s="232">
        <f t="shared" si="41"/>
        <v>305869.768348097</v>
      </c>
      <c r="AN40" s="232">
        <f t="shared" si="41"/>
        <v>30474.8304</v>
      </c>
      <c r="AO40" s="232">
        <f t="shared" si="41"/>
        <v>453551.5564005332</v>
      </c>
      <c r="AP40" s="232">
        <f t="shared" si="41"/>
        <v>508172.40802672086</v>
      </c>
      <c r="AQ40" s="232">
        <f t="shared" si="41"/>
        <v>108838.67999999998</v>
      </c>
      <c r="AR40" s="232">
        <f t="shared" si="41"/>
        <v>108838.67999999998</v>
      </c>
      <c r="AS40" s="232">
        <f t="shared" si="41"/>
        <v>83445.978</v>
      </c>
      <c r="AT40" s="232">
        <f t="shared" si="41"/>
        <v>28910.519999999997</v>
      </c>
      <c r="AU40" s="232">
        <f t="shared" si="41"/>
        <v>163726.01</v>
      </c>
      <c r="AV40" s="232">
        <f t="shared" si="41"/>
        <v>13035</v>
      </c>
      <c r="AW40" s="232">
        <f t="shared" si="41"/>
        <v>230126.57979999998</v>
      </c>
      <c r="AX40" s="232">
        <f t="shared" si="41"/>
        <v>109030.58083999998</v>
      </c>
      <c r="AY40" s="232">
        <f t="shared" si="41"/>
        <v>46391.826799999995</v>
      </c>
      <c r="AZ40" s="232">
        <f t="shared" si="41"/>
        <v>0</v>
      </c>
      <c r="BA40" s="232">
        <f t="shared" si="41"/>
        <v>0</v>
      </c>
      <c r="BB40" s="232">
        <f t="shared" si="41"/>
        <v>0</v>
      </c>
      <c r="BC40" s="232">
        <f t="shared" si="41"/>
        <v>2448859.176594551</v>
      </c>
      <c r="BD40" s="232">
        <f t="shared" si="41"/>
        <v>207185.494998401</v>
      </c>
      <c r="BE40" s="232">
        <f t="shared" si="41"/>
        <v>2635253.551592952</v>
      </c>
      <c r="BF40" s="232">
        <f>BF38+BF24</f>
        <v>395550.7061313481</v>
      </c>
      <c r="BG40" s="234">
        <f>BG38+BG24</f>
        <v>-99699.08000000002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14" sqref="A14:IV29"/>
    </sheetView>
  </sheetViews>
  <sheetFormatPr defaultColWidth="9.00390625" defaultRowHeight="12.75"/>
  <cols>
    <col min="1" max="1" width="10.00390625" style="161" customWidth="1"/>
    <col min="2" max="2" width="11.125" style="161" customWidth="1"/>
    <col min="3" max="3" width="11.875" style="161" customWidth="1"/>
    <col min="4" max="4" width="10.75390625" style="161" customWidth="1"/>
    <col min="5" max="5" width="11.625" style="161" customWidth="1"/>
    <col min="6" max="6" width="9.875" style="161" customWidth="1"/>
    <col min="7" max="7" width="12.75390625" style="161" customWidth="1"/>
    <col min="8" max="9" width="11.375" style="161" customWidth="1"/>
    <col min="10" max="10" width="11.00390625" style="161" customWidth="1"/>
    <col min="11" max="11" width="9.875" style="161" customWidth="1"/>
    <col min="12" max="12" width="12.00390625" style="161" customWidth="1"/>
    <col min="13" max="13" width="10.125" style="161" customWidth="1"/>
    <col min="14" max="14" width="9.375" style="161" hidden="1" customWidth="1"/>
    <col min="15" max="15" width="11.625" style="161" hidden="1" customWidth="1"/>
    <col min="16" max="16" width="11.375" style="161" customWidth="1"/>
    <col min="17" max="17" width="12.625" style="161" customWidth="1"/>
    <col min="18" max="18" width="10.375" style="161" customWidth="1"/>
    <col min="19" max="19" width="10.75390625" style="161" customWidth="1"/>
    <col min="20" max="16384" width="9.125" style="161" customWidth="1"/>
  </cols>
  <sheetData>
    <row r="1" spans="2:9" ht="20.25" customHeight="1">
      <c r="B1" s="351" t="s">
        <v>55</v>
      </c>
      <c r="C1" s="351"/>
      <c r="D1" s="351"/>
      <c r="E1" s="351"/>
      <c r="F1" s="351"/>
      <c r="G1" s="351"/>
      <c r="H1" s="351"/>
      <c r="I1" s="144"/>
    </row>
    <row r="2" spans="2:12" ht="21" customHeight="1">
      <c r="B2" s="351" t="s">
        <v>56</v>
      </c>
      <c r="C2" s="351"/>
      <c r="D2" s="351"/>
      <c r="E2" s="351"/>
      <c r="F2" s="351"/>
      <c r="G2" s="351"/>
      <c r="H2" s="351"/>
      <c r="I2" s="144"/>
      <c r="K2" s="160"/>
      <c r="L2" s="160"/>
    </row>
    <row r="5" spans="1:16" ht="12.75">
      <c r="A5" s="353" t="s">
        <v>122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</row>
    <row r="6" spans="1:16" ht="12.75">
      <c r="A6" s="354" t="s">
        <v>124</v>
      </c>
      <c r="B6" s="354"/>
      <c r="C6" s="354"/>
      <c r="D6" s="354"/>
      <c r="E6" s="354"/>
      <c r="F6" s="354"/>
      <c r="G6" s="354"/>
      <c r="H6" s="103"/>
      <c r="I6" s="103"/>
      <c r="J6" s="103"/>
      <c r="K6" s="103"/>
      <c r="L6" s="103"/>
      <c r="M6" s="103"/>
      <c r="N6" s="103"/>
      <c r="O6" s="103"/>
      <c r="P6" s="103"/>
    </row>
    <row r="7" spans="1:17" ht="13.5" thickBot="1">
      <c r="A7" s="439" t="s">
        <v>57</v>
      </c>
      <c r="B7" s="439"/>
      <c r="C7" s="439"/>
      <c r="D7" s="439"/>
      <c r="E7" s="439">
        <v>9.51</v>
      </c>
      <c r="F7" s="439"/>
      <c r="J7" s="235"/>
      <c r="K7" s="235"/>
      <c r="L7" s="235"/>
      <c r="M7" s="235"/>
      <c r="N7" s="235"/>
      <c r="O7" s="235"/>
      <c r="P7" s="235"/>
      <c r="Q7" s="235"/>
    </row>
    <row r="8" spans="1:19" ht="12.75" customHeight="1">
      <c r="A8" s="303" t="s">
        <v>58</v>
      </c>
      <c r="B8" s="328" t="s">
        <v>1</v>
      </c>
      <c r="C8" s="345" t="s">
        <v>123</v>
      </c>
      <c r="D8" s="348" t="s">
        <v>3</v>
      </c>
      <c r="E8" s="337" t="s">
        <v>60</v>
      </c>
      <c r="F8" s="338"/>
      <c r="G8" s="341" t="s">
        <v>61</v>
      </c>
      <c r="H8" s="342"/>
      <c r="I8" s="427" t="s">
        <v>120</v>
      </c>
      <c r="J8" s="430" t="s">
        <v>10</v>
      </c>
      <c r="K8" s="431"/>
      <c r="L8" s="431"/>
      <c r="M8" s="431"/>
      <c r="N8" s="431"/>
      <c r="O8" s="431"/>
      <c r="P8" s="431"/>
      <c r="Q8" s="432"/>
      <c r="R8" s="436" t="s">
        <v>62</v>
      </c>
      <c r="S8" s="436" t="s">
        <v>12</v>
      </c>
    </row>
    <row r="9" spans="1:19" ht="12.75">
      <c r="A9" s="304"/>
      <c r="B9" s="329"/>
      <c r="C9" s="346"/>
      <c r="D9" s="349"/>
      <c r="E9" s="339"/>
      <c r="F9" s="340"/>
      <c r="G9" s="343"/>
      <c r="H9" s="344"/>
      <c r="I9" s="428"/>
      <c r="J9" s="433"/>
      <c r="K9" s="434"/>
      <c r="L9" s="434"/>
      <c r="M9" s="434"/>
      <c r="N9" s="434"/>
      <c r="O9" s="434"/>
      <c r="P9" s="434"/>
      <c r="Q9" s="435"/>
      <c r="R9" s="437"/>
      <c r="S9" s="437"/>
    </row>
    <row r="10" spans="1:19" ht="26.25" customHeight="1">
      <c r="A10" s="304"/>
      <c r="B10" s="329"/>
      <c r="C10" s="346"/>
      <c r="D10" s="349"/>
      <c r="E10" s="331" t="s">
        <v>63</v>
      </c>
      <c r="F10" s="332"/>
      <c r="G10" s="89" t="s">
        <v>64</v>
      </c>
      <c r="H10" s="312" t="s">
        <v>7</v>
      </c>
      <c r="I10" s="428"/>
      <c r="J10" s="333" t="s">
        <v>65</v>
      </c>
      <c r="K10" s="335" t="s">
        <v>117</v>
      </c>
      <c r="L10" s="335" t="s">
        <v>66</v>
      </c>
      <c r="M10" s="335" t="s">
        <v>37</v>
      </c>
      <c r="N10" s="335" t="s">
        <v>67</v>
      </c>
      <c r="O10" s="336" t="s">
        <v>38</v>
      </c>
      <c r="P10" s="336" t="s">
        <v>118</v>
      </c>
      <c r="Q10" s="313" t="s">
        <v>39</v>
      </c>
      <c r="R10" s="437"/>
      <c r="S10" s="437"/>
    </row>
    <row r="11" spans="1:19" ht="66.75" customHeight="1" thickBot="1">
      <c r="A11" s="327"/>
      <c r="B11" s="330"/>
      <c r="C11" s="347"/>
      <c r="D11" s="350"/>
      <c r="E11" s="63" t="s">
        <v>68</v>
      </c>
      <c r="F11" s="67" t="s">
        <v>21</v>
      </c>
      <c r="G11" s="82" t="s">
        <v>69</v>
      </c>
      <c r="H11" s="313"/>
      <c r="I11" s="429"/>
      <c r="J11" s="334"/>
      <c r="K11" s="336"/>
      <c r="L11" s="336"/>
      <c r="M11" s="336"/>
      <c r="N11" s="336"/>
      <c r="O11" s="425"/>
      <c r="P11" s="425"/>
      <c r="Q11" s="426"/>
      <c r="R11" s="438"/>
      <c r="S11" s="438"/>
    </row>
    <row r="12" spans="1:19" ht="13.5" thickBot="1">
      <c r="A12" s="64">
        <v>1</v>
      </c>
      <c r="B12" s="65">
        <v>2</v>
      </c>
      <c r="C12" s="64">
        <v>3</v>
      </c>
      <c r="D12" s="65">
        <v>4</v>
      </c>
      <c r="E12" s="258">
        <v>5</v>
      </c>
      <c r="F12" s="165">
        <v>6</v>
      </c>
      <c r="G12" s="258">
        <v>7</v>
      </c>
      <c r="H12" s="165">
        <v>8</v>
      </c>
      <c r="I12" s="256">
        <v>9</v>
      </c>
      <c r="J12" s="258">
        <v>10</v>
      </c>
      <c r="K12" s="165">
        <v>11</v>
      </c>
      <c r="L12" s="256">
        <v>12</v>
      </c>
      <c r="M12" s="64">
        <v>13</v>
      </c>
      <c r="N12" s="65">
        <v>14</v>
      </c>
      <c r="O12" s="65">
        <v>15</v>
      </c>
      <c r="P12" s="258">
        <v>14</v>
      </c>
      <c r="Q12" s="165">
        <v>15</v>
      </c>
      <c r="R12" s="256">
        <v>16</v>
      </c>
      <c r="S12" s="165">
        <v>17</v>
      </c>
    </row>
    <row r="13" spans="1:19" ht="13.5" thickBot="1">
      <c r="A13" s="314" t="s">
        <v>94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236"/>
      <c r="R13" s="237"/>
      <c r="S13" s="237"/>
    </row>
    <row r="14" spans="1:21" s="20" customFormat="1" ht="13.5" hidden="1" thickBot="1">
      <c r="A14" s="81" t="s">
        <v>54</v>
      </c>
      <c r="B14" s="38"/>
      <c r="C14" s="39">
        <f>'2012 полн'!C8</f>
        <v>1417177.767</v>
      </c>
      <c r="D14" s="39">
        <f>'2012 полн'!D8</f>
        <v>165923.45975430007</v>
      </c>
      <c r="E14" s="39">
        <f>'2012 полн'!U8</f>
        <v>1111719.0899999999</v>
      </c>
      <c r="F14" s="39">
        <f>'2012 полн'!V8</f>
        <v>138220.16000000003</v>
      </c>
      <c r="G14" s="39">
        <f>'2012 полн'!AF8</f>
        <v>1062692.71</v>
      </c>
      <c r="H14" s="39">
        <f>'2012 полн'!AG8</f>
        <v>1366836.3297543</v>
      </c>
      <c r="I14" s="39">
        <f>'2012 полн'!AJ8</f>
        <v>171287.85872000002</v>
      </c>
      <c r="J14" s="39">
        <f>'2012 полн'!AK8</f>
        <v>96840.906</v>
      </c>
      <c r="K14" s="39">
        <f>'2012 полн'!AL8</f>
        <v>32451.138379199998</v>
      </c>
      <c r="L14" s="39">
        <f>'2012 полн'!AM8+'2012 полн'!AN8+'2012 полн'!AO8+'2012 полн'!AP8+'2012 полн'!AQ8+'2012 полн'!AR8+'2012 полн'!AS8+'2012 полн'!AT8+'2012 полн'!AX8+'2012 полн'!AY8</f>
        <v>773485.746515351</v>
      </c>
      <c r="M14" s="39">
        <f>'2012 полн'!AU8+'2012 полн'!AV8+'2012 полн'!AW8</f>
        <v>317590.1198</v>
      </c>
      <c r="N14" s="39">
        <v>0</v>
      </c>
      <c r="O14" s="39"/>
      <c r="P14" s="39">
        <f>'2012 полн'!BD8</f>
        <v>71229.27099840101</v>
      </c>
      <c r="Q14" s="39">
        <f>SUM(J14:P14)</f>
        <v>1291597.181692952</v>
      </c>
      <c r="R14" s="39">
        <f>'2012 полн'!BF8</f>
        <v>246527.00678134803</v>
      </c>
      <c r="S14" s="39">
        <f>'2012 полн'!BG8</f>
        <v>-49026.38</v>
      </c>
      <c r="T14" s="73"/>
      <c r="U14" s="72"/>
    </row>
    <row r="15" spans="1:21" ht="12.75" hidden="1">
      <c r="A15" s="7" t="s">
        <v>116</v>
      </c>
      <c r="B15" s="238"/>
      <c r="C15" s="41"/>
      <c r="D15" s="42"/>
      <c r="E15" s="239"/>
      <c r="F15" s="240"/>
      <c r="G15" s="241"/>
      <c r="H15" s="240"/>
      <c r="I15" s="257"/>
      <c r="J15" s="241"/>
      <c r="K15" s="242"/>
      <c r="L15" s="242"/>
      <c r="M15" s="243"/>
      <c r="N15" s="70"/>
      <c r="O15" s="244"/>
      <c r="P15" s="244"/>
      <c r="Q15" s="245"/>
      <c r="R15" s="246"/>
      <c r="S15" s="246"/>
      <c r="T15" s="160"/>
      <c r="U15" s="160"/>
    </row>
    <row r="16" spans="1:21" ht="12.75" hidden="1">
      <c r="A16" s="173" t="s">
        <v>45</v>
      </c>
      <c r="B16" s="84">
        <f>'2012 полн'!B10</f>
        <v>6048.11</v>
      </c>
      <c r="C16" s="27">
        <f>'2012 полн'!C10</f>
        <v>51711.3405</v>
      </c>
      <c r="D16" s="28">
        <f>'2012 полн'!D10</f>
        <v>820.2534</v>
      </c>
      <c r="E16" s="242">
        <f>'2012 полн'!U10</f>
        <v>52580.2</v>
      </c>
      <c r="F16" s="242">
        <f>'2012 полн'!V10</f>
        <v>25.1</v>
      </c>
      <c r="G16" s="247">
        <f>'2012 полн'!AF10</f>
        <v>36666.049999999996</v>
      </c>
      <c r="H16" s="247">
        <f>'2012 полн'!AG10</f>
        <v>37511.403399999996</v>
      </c>
      <c r="I16" s="247">
        <f>'2012 полн'!AJ10</f>
        <v>8582.228000000001</v>
      </c>
      <c r="J16" s="247">
        <f>'2012 полн'!AK10</f>
        <v>4052.2337</v>
      </c>
      <c r="K16" s="242">
        <f>'2012 полн'!AL10</f>
        <v>1209.622</v>
      </c>
      <c r="L16" s="242">
        <f>'2012 полн'!AM10+'2012 полн'!AN10+'2012 полн'!AO10+'2012 полн'!AP10+'2012 полн'!AQ10+'2012 полн'!AR10+'2012 полн'!AS10+'2012 полн'!AT10</f>
        <v>42595.51009999999</v>
      </c>
      <c r="M16" s="243">
        <f>'2012 полн'!AU10+'2012 полн'!AV10+'2012 полн'!AW10+'2012 полн'!AX10</f>
        <v>4239.6</v>
      </c>
      <c r="N16" s="243">
        <f>'[6]2011 полн'!BA10</f>
        <v>0</v>
      </c>
      <c r="O16" s="248"/>
      <c r="P16" s="248">
        <f>'2012 полн'!BD10</f>
        <v>5554.4259999999995</v>
      </c>
      <c r="Q16" s="245">
        <f>'2012 полн'!BE10</f>
        <v>57651.39179999999</v>
      </c>
      <c r="R16" s="245">
        <f>'2012 полн'!BF10</f>
        <v>-11557.760399999992</v>
      </c>
      <c r="S16" s="245">
        <f>'2012 полн'!BG10</f>
        <v>-15914.150000000001</v>
      </c>
      <c r="T16" s="160"/>
      <c r="U16" s="160"/>
    </row>
    <row r="17" spans="1:21" ht="12.75" hidden="1">
      <c r="A17" s="173" t="s">
        <v>46</v>
      </c>
      <c r="B17" s="84">
        <f>'2012 полн'!B11</f>
        <v>6048.11</v>
      </c>
      <c r="C17" s="27">
        <f>'2012 полн'!C11</f>
        <v>51711.3405</v>
      </c>
      <c r="D17" s="28">
        <f>'2012 полн'!D11</f>
        <v>820.2534</v>
      </c>
      <c r="E17" s="242">
        <f>'2012 полн'!U11</f>
        <v>51394.25</v>
      </c>
      <c r="F17" s="242">
        <f>'2012 полн'!V11</f>
        <v>0</v>
      </c>
      <c r="G17" s="247">
        <f>'2012 полн'!AF11</f>
        <v>54961.619999999995</v>
      </c>
      <c r="H17" s="247">
        <f>'2012 полн'!AG11</f>
        <v>55781.8734</v>
      </c>
      <c r="I17" s="247">
        <f>'2012 полн'!AJ11</f>
        <v>8582.228000000001</v>
      </c>
      <c r="J17" s="247">
        <f>'2012 полн'!AK11</f>
        <v>4052.2337</v>
      </c>
      <c r="K17" s="242">
        <f>'2012 полн'!AL11</f>
        <v>1209.622</v>
      </c>
      <c r="L17" s="242">
        <f>'2012 полн'!AM11+'2012 полн'!AN11+'2012 полн'!AO11+'2012 полн'!AP11+'2012 полн'!AQ11+'2012 полн'!AR11+'2012 полн'!AS11+'2012 полн'!AT11</f>
        <v>42595.51009999999</v>
      </c>
      <c r="M17" s="243">
        <f>'2012 полн'!AU11+'2012 полн'!AV11+'2012 полн'!AW11+'2012 полн'!AX11</f>
        <v>6402.84</v>
      </c>
      <c r="N17" s="243">
        <f>'[6]2011 полн'!BA11</f>
        <v>0</v>
      </c>
      <c r="O17" s="248"/>
      <c r="P17" s="248">
        <f>'2012 полн'!BD11</f>
        <v>5554.4259999999995</v>
      </c>
      <c r="Q17" s="245">
        <f>'2012 полн'!BE11</f>
        <v>59814.63179999999</v>
      </c>
      <c r="R17" s="245">
        <f>'2012 полн'!BF11</f>
        <v>4549.469600000011</v>
      </c>
      <c r="S17" s="245">
        <f>'2012 полн'!BG11</f>
        <v>3567.3699999999953</v>
      </c>
      <c r="T17" s="160"/>
      <c r="U17" s="160"/>
    </row>
    <row r="18" spans="1:21" ht="12.75" hidden="1">
      <c r="A18" s="173" t="s">
        <v>47</v>
      </c>
      <c r="B18" s="84">
        <f>'2012 полн'!B12</f>
        <v>6048.11</v>
      </c>
      <c r="C18" s="27">
        <f>'2012 полн'!C12</f>
        <v>51711.3405</v>
      </c>
      <c r="D18" s="28">
        <f>'2012 полн'!D12</f>
        <v>820.2534</v>
      </c>
      <c r="E18" s="242">
        <f>'2012 полн'!U12</f>
        <v>53143.600000000006</v>
      </c>
      <c r="F18" s="242">
        <f>'2012 полн'!V12</f>
        <v>76.80000000000001</v>
      </c>
      <c r="G18" s="247">
        <f>'2012 полн'!AF12</f>
        <v>54251.95</v>
      </c>
      <c r="H18" s="247">
        <f>'2012 полн'!AG12</f>
        <v>55149.0034</v>
      </c>
      <c r="I18" s="247">
        <f>'2012 полн'!AJ12</f>
        <v>8582.228000000001</v>
      </c>
      <c r="J18" s="247">
        <f>'2012 полн'!AK12</f>
        <v>4052.2337</v>
      </c>
      <c r="K18" s="242">
        <f>'2012 полн'!AL12</f>
        <v>1209.622</v>
      </c>
      <c r="L18" s="242">
        <f>'2012 полн'!AM12+'2012 полн'!AN12+'2012 полн'!AO12+'2012 полн'!AP12+'2012 полн'!AQ12+'2012 полн'!AR12+'2012 полн'!AS12+'2012 полн'!AT12</f>
        <v>42595.51009999999</v>
      </c>
      <c r="M18" s="243">
        <f>'2012 полн'!AU12+'2012 полн'!AV12+'2012 полн'!AW12+'2012 полн'!AX12</f>
        <v>39799</v>
      </c>
      <c r="N18" s="243">
        <f>'[6]2011 полн'!BA12</f>
        <v>0</v>
      </c>
      <c r="O18" s="248"/>
      <c r="P18" s="248">
        <f>'2012 полн'!BD12</f>
        <v>5554.4259999999995</v>
      </c>
      <c r="Q18" s="245">
        <f>'2012 полн'!BE12</f>
        <v>93210.7918</v>
      </c>
      <c r="R18" s="245">
        <f>'2012 полн'!BF12</f>
        <v>-29479.560400000002</v>
      </c>
      <c r="S18" s="245">
        <f>'2012 полн'!BG12</f>
        <v>1108.3499999999913</v>
      </c>
      <c r="T18" s="160"/>
      <c r="U18" s="160"/>
    </row>
    <row r="19" spans="1:21" ht="12.75" hidden="1">
      <c r="A19" s="173" t="s">
        <v>48</v>
      </c>
      <c r="B19" s="84">
        <f>'2012 полн'!B13</f>
        <v>6046.81</v>
      </c>
      <c r="C19" s="27">
        <f>'2012 полн'!C13</f>
        <v>51700.22550000001</v>
      </c>
      <c r="D19" s="28">
        <f>'2012 полн'!D13</f>
        <v>820.2534</v>
      </c>
      <c r="E19" s="242">
        <f>'2012 полн'!U13</f>
        <v>53166.39</v>
      </c>
      <c r="F19" s="242">
        <f>'2012 полн'!V13</f>
        <v>76.80000000000001</v>
      </c>
      <c r="G19" s="247">
        <f>'2012 полн'!AF13</f>
        <v>51803.36</v>
      </c>
      <c r="H19" s="247">
        <f>'2012 полн'!AG13</f>
        <v>52700.413400000005</v>
      </c>
      <c r="I19" s="247">
        <f>'2012 полн'!AJ13</f>
        <v>8582.228000000001</v>
      </c>
      <c r="J19" s="247">
        <f>'2012 полн'!AK13</f>
        <v>4051.3627000000006</v>
      </c>
      <c r="K19" s="242">
        <f>'2012 полн'!AL13</f>
        <v>1209.362</v>
      </c>
      <c r="L19" s="242">
        <f>'2012 полн'!AM13+'2012 полн'!AN13+'2012 полн'!AO13+'2012 полн'!AP13+'2012 полн'!AQ13+'2012 полн'!AR13+'2012 полн'!AS13+'2012 полн'!AT13</f>
        <v>35632.6956</v>
      </c>
      <c r="M19" s="243">
        <f>'2012 полн'!AU13+'2012 полн'!AV13+'2012 полн'!AW13+'2012 полн'!AX13</f>
        <v>6771.45</v>
      </c>
      <c r="N19" s="243">
        <f>'[6]2011 полн'!BA13</f>
        <v>0</v>
      </c>
      <c r="O19" s="248"/>
      <c r="P19" s="248">
        <f>'2012 полн'!BD13</f>
        <v>5554.4259999999995</v>
      </c>
      <c r="Q19" s="245">
        <f>'2012 полн'!BE13</f>
        <v>53219.296299999995</v>
      </c>
      <c r="R19" s="245">
        <f>'2012 полн'!BF13</f>
        <v>8063.345100000013</v>
      </c>
      <c r="S19" s="245">
        <f>'2012 полн'!BG13</f>
        <v>-1363.0299999999988</v>
      </c>
      <c r="T19" s="160"/>
      <c r="U19" s="160"/>
    </row>
    <row r="20" spans="1:21" ht="12.75" hidden="1">
      <c r="A20" s="173" t="s">
        <v>49</v>
      </c>
      <c r="B20" s="84">
        <f>'2012 полн'!B14</f>
        <v>6046.81</v>
      </c>
      <c r="C20" s="27">
        <f>'2012 полн'!C14</f>
        <v>51700.22550000001</v>
      </c>
      <c r="D20" s="28">
        <f>'2012 полн'!D14</f>
        <v>820.2534</v>
      </c>
      <c r="E20" s="242">
        <f>'2012 полн'!U14</f>
        <v>52548.03</v>
      </c>
      <c r="F20" s="242">
        <f>'2012 полн'!V14</f>
        <v>76.80000000000001</v>
      </c>
      <c r="G20" s="247">
        <f>'2012 полн'!AF14</f>
        <v>42833.219999999994</v>
      </c>
      <c r="H20" s="247">
        <f>'2012 полн'!AG14</f>
        <v>43730.27339999999</v>
      </c>
      <c r="I20" s="247">
        <f>'2012 полн'!AJ14</f>
        <v>8582.228000000001</v>
      </c>
      <c r="J20" s="247">
        <f>'2012 полн'!AK14</f>
        <v>4051.3627000000006</v>
      </c>
      <c r="K20" s="242">
        <f>'2012 полн'!AL14</f>
        <v>1209.362</v>
      </c>
      <c r="L20" s="242">
        <f>'2012 полн'!AM14+'2012 полн'!AN14+'2012 полн'!AO14+'2012 полн'!AP14+'2012 полн'!AQ14+'2012 полн'!AR14+'2012 полн'!AS14+'2012 полн'!AT14</f>
        <v>35632.6956</v>
      </c>
      <c r="M20" s="243">
        <f>'2012 полн'!AU14+'2012 полн'!AV14+'2012 полн'!AW14+'2012 полн'!AX14</f>
        <v>2741</v>
      </c>
      <c r="N20" s="243">
        <f>'[6]2011 полн'!BA14</f>
        <v>0</v>
      </c>
      <c r="O20" s="248"/>
      <c r="P20" s="248">
        <f>'2012 полн'!BD14</f>
        <v>5554.4259999999995</v>
      </c>
      <c r="Q20" s="245">
        <f>'2012 полн'!BE14</f>
        <v>49188.8463</v>
      </c>
      <c r="R20" s="245">
        <f>'2012 полн'!BF14</f>
        <v>3123.6550999999963</v>
      </c>
      <c r="S20" s="245">
        <f>'2012 полн'!BG14</f>
        <v>-9714.810000000005</v>
      </c>
      <c r="T20" s="160"/>
      <c r="U20" s="160"/>
    </row>
    <row r="21" spans="1:21" ht="12.75" hidden="1">
      <c r="A21" s="173" t="s">
        <v>50</v>
      </c>
      <c r="B21" s="84">
        <f>'2012 полн'!B15</f>
        <v>6046.81</v>
      </c>
      <c r="C21" s="27">
        <f>'2012 полн'!C15</f>
        <v>51700.22550000001</v>
      </c>
      <c r="D21" s="28">
        <f>'2012 полн'!D15</f>
        <v>820.2534</v>
      </c>
      <c r="E21" s="242">
        <f>'2012 полн'!U15</f>
        <v>52236.08</v>
      </c>
      <c r="F21" s="242">
        <f>'2012 полн'!V15</f>
        <v>76.80000000000001</v>
      </c>
      <c r="G21" s="247">
        <f>'2012 полн'!AF15</f>
        <v>59346.6</v>
      </c>
      <c r="H21" s="247">
        <f>'2012 полн'!AG15</f>
        <v>60243.653399999996</v>
      </c>
      <c r="I21" s="247">
        <f>'2012 полн'!AJ15</f>
        <v>8582.228000000001</v>
      </c>
      <c r="J21" s="247">
        <f>'2012 полн'!AK15</f>
        <v>4051.3627000000006</v>
      </c>
      <c r="K21" s="242">
        <f>'2012 полн'!AL15</f>
        <v>1209.362</v>
      </c>
      <c r="L21" s="242">
        <f>'2012 полн'!AM15+'2012 полн'!AN15+'2012 полн'!AO15+'2012 полн'!AP15+'2012 полн'!AQ15+'2012 полн'!AR15+'2012 полн'!AS15+'2012 полн'!AT15</f>
        <v>35632.6956</v>
      </c>
      <c r="M21" s="243">
        <f>'2012 полн'!AU15+'2012 полн'!AV15+'2012 полн'!AW15+'2012 полн'!AX15</f>
        <v>1813</v>
      </c>
      <c r="N21" s="243">
        <f>'[6]2011 полн'!BA15</f>
        <v>0</v>
      </c>
      <c r="O21" s="248"/>
      <c r="P21" s="248">
        <f>'2012 полн'!BD15</f>
        <v>5554.4259999999995</v>
      </c>
      <c r="Q21" s="245">
        <f>'2012 полн'!BE15</f>
        <v>48260.8463</v>
      </c>
      <c r="R21" s="245">
        <f>'2012 полн'!BF15</f>
        <v>20565.0351</v>
      </c>
      <c r="S21" s="245">
        <f>'2012 полн'!BG15</f>
        <v>7110.519999999997</v>
      </c>
      <c r="T21" s="160"/>
      <c r="U21" s="160"/>
    </row>
    <row r="22" spans="1:19" ht="12.75" hidden="1">
      <c r="A22" s="173" t="s">
        <v>51</v>
      </c>
      <c r="B22" s="84">
        <f>'2012 полн'!B16</f>
        <v>6046.81</v>
      </c>
      <c r="C22" s="27">
        <f>'2012 полн'!C16</f>
        <v>51700.22550000001</v>
      </c>
      <c r="D22" s="28">
        <f>'2012 полн'!D16</f>
        <v>820.2534</v>
      </c>
      <c r="E22" s="242">
        <f>'2012 полн'!U16</f>
        <v>52230.369999999995</v>
      </c>
      <c r="F22" s="242">
        <f>'2012 полн'!V16</f>
        <v>76.80000000000001</v>
      </c>
      <c r="G22" s="247">
        <f>'2012 полн'!AF16</f>
        <v>54597.24</v>
      </c>
      <c r="H22" s="247">
        <f>'2012 полн'!AG16</f>
        <v>55494.293399999995</v>
      </c>
      <c r="I22" s="247">
        <f>'2012 полн'!AJ16</f>
        <v>8582.228000000001</v>
      </c>
      <c r="J22" s="247">
        <f>'2012 полн'!AK16</f>
        <v>4051.3627000000006</v>
      </c>
      <c r="K22" s="242">
        <f>'2012 полн'!AL16</f>
        <v>1209.362</v>
      </c>
      <c r="L22" s="242">
        <f>'2012 полн'!AM16+'2012 полн'!AN16+'2012 полн'!AO16+'2012 полн'!AP16+'2012 полн'!AQ16+'2012 полн'!AR16+'2012 полн'!AS16+'2012 полн'!AT16</f>
        <v>35632.6956</v>
      </c>
      <c r="M22" s="243">
        <f>'2012 полн'!AU16+'2012 полн'!AV16+'2012 полн'!AW16+'2012 полн'!AX16</f>
        <v>10688.03</v>
      </c>
      <c r="N22" s="243"/>
      <c r="O22" s="248"/>
      <c r="P22" s="248">
        <f>'2012 полн'!BD16</f>
        <v>5554.4259999999995</v>
      </c>
      <c r="Q22" s="245">
        <f>'2012 полн'!BE16</f>
        <v>57135.876299999996</v>
      </c>
      <c r="R22" s="245">
        <f>'2012 полн'!BF16</f>
        <v>6940.645100000002</v>
      </c>
      <c r="S22" s="245">
        <f>'2012 полн'!BG16</f>
        <v>2366.8700000000026</v>
      </c>
    </row>
    <row r="23" spans="1:19" ht="12.75" hidden="1">
      <c r="A23" s="173" t="s">
        <v>52</v>
      </c>
      <c r="B23" s="84">
        <f>'2012 полн'!B17</f>
        <v>6046.81</v>
      </c>
      <c r="C23" s="27">
        <f>'2012 полн'!C17</f>
        <v>51700.22550000001</v>
      </c>
      <c r="D23" s="28">
        <f>'2012 полн'!D17</f>
        <v>820.2534</v>
      </c>
      <c r="E23" s="242">
        <f>'2012 полн'!U17</f>
        <v>52242.09</v>
      </c>
      <c r="F23" s="242">
        <f>'2012 полн'!V17</f>
        <v>76.80000000000001</v>
      </c>
      <c r="G23" s="247">
        <f>'2012 полн'!AF17</f>
        <v>47580.34</v>
      </c>
      <c r="H23" s="247">
        <f>'2012 полн'!AG17</f>
        <v>48477.39339999999</v>
      </c>
      <c r="I23" s="247">
        <f>'2012 полн'!AJ17</f>
        <v>8582.228000000001</v>
      </c>
      <c r="J23" s="247">
        <f>'2012 полн'!AK17</f>
        <v>4051.3627000000006</v>
      </c>
      <c r="K23" s="242">
        <f>'2012 полн'!AL17</f>
        <v>1209.362</v>
      </c>
      <c r="L23" s="242">
        <f>'2012 полн'!AM17+'2012 полн'!AN17+'2012 полн'!AO17+'2012 полн'!AP17+'2012 полн'!AQ17+'2012 полн'!AR17+'2012 полн'!AS17+'2012 полн'!AT17</f>
        <v>35632.6956</v>
      </c>
      <c r="M23" s="243">
        <f>'2012 полн'!AU17+'2012 полн'!AV17+'2012 полн'!AW17+'2012 полн'!AX17</f>
        <v>2127.925</v>
      </c>
      <c r="N23" s="243">
        <f>'[6]2011 полн'!BA17</f>
        <v>0</v>
      </c>
      <c r="O23" s="248"/>
      <c r="P23" s="248">
        <f>'2012 полн'!BD17</f>
        <v>5554.4259999999995</v>
      </c>
      <c r="Q23" s="245">
        <f>'2012 полн'!BE17</f>
        <v>48575.7713</v>
      </c>
      <c r="R23" s="245">
        <f>'2012 полн'!BF17</f>
        <v>8483.850099999996</v>
      </c>
      <c r="S23" s="245">
        <f>'2012 полн'!BG17</f>
        <v>-4661.75</v>
      </c>
    </row>
    <row r="24" spans="1:19" ht="12.75" hidden="1">
      <c r="A24" s="173" t="s">
        <v>53</v>
      </c>
      <c r="B24" s="84">
        <f>'2012 полн'!B18</f>
        <v>6046.81</v>
      </c>
      <c r="C24" s="27">
        <f>'2012 полн'!C18</f>
        <v>51700.22550000001</v>
      </c>
      <c r="D24" s="28">
        <f>'2012 полн'!D18</f>
        <v>820.2534</v>
      </c>
      <c r="E24" s="242">
        <f>'2012 полн'!U18</f>
        <v>53370.21</v>
      </c>
      <c r="F24" s="242">
        <f>'2012 полн'!V18</f>
        <v>0</v>
      </c>
      <c r="G24" s="247">
        <f>'2012 полн'!AF18</f>
        <v>43886.11</v>
      </c>
      <c r="H24" s="247">
        <f>'2012 полн'!AG18</f>
        <v>44706.3634</v>
      </c>
      <c r="I24" s="247">
        <f>'2012 полн'!AJ18</f>
        <v>8582.228000000001</v>
      </c>
      <c r="J24" s="247">
        <f>'2012 полн'!AK18</f>
        <v>4051.3627000000006</v>
      </c>
      <c r="K24" s="242">
        <f>'2012 полн'!AL18</f>
        <v>1209.362</v>
      </c>
      <c r="L24" s="242">
        <f>'2012 полн'!AM18+'2012 полн'!AN18+'2012 полн'!AO18+'2012 полн'!AP18+'2012 полн'!AQ18+'2012 полн'!AR18+'2012 полн'!AS18+'2012 полн'!AT18</f>
        <v>35632.6956</v>
      </c>
      <c r="M24" s="243">
        <f>'2012 полн'!AU18+'2012 полн'!AV18+'2012 полн'!AW18+'2012 полн'!AX18</f>
        <v>4823.23</v>
      </c>
      <c r="N24" s="243">
        <f>'[6]2011 полн'!BA18</f>
        <v>0</v>
      </c>
      <c r="O24" s="248"/>
      <c r="P24" s="248">
        <f>'2012 полн'!BD18</f>
        <v>5554.4259999999995</v>
      </c>
      <c r="Q24" s="245">
        <f>'2012 полн'!BE18</f>
        <v>51271.0763</v>
      </c>
      <c r="R24" s="245">
        <f>'2012 полн'!BF18</f>
        <v>2017.5151000000042</v>
      </c>
      <c r="S24" s="245">
        <f>'2012 полн'!BG18</f>
        <v>-9484.099999999999</v>
      </c>
    </row>
    <row r="25" spans="1:19" ht="12.75" hidden="1">
      <c r="A25" s="173" t="s">
        <v>41</v>
      </c>
      <c r="B25" s="84">
        <f>'2012 полн'!B19</f>
        <v>6046.81</v>
      </c>
      <c r="C25" s="27">
        <f>'2012 полн'!C19</f>
        <v>51700.22550000001</v>
      </c>
      <c r="D25" s="28">
        <f>'2012 полн'!D19</f>
        <v>820.2534</v>
      </c>
      <c r="E25" s="242">
        <f>'2012 полн'!U19</f>
        <v>53093.600000000006</v>
      </c>
      <c r="F25" s="242">
        <f>'2012 полн'!V19</f>
        <v>153.60000000000002</v>
      </c>
      <c r="G25" s="247">
        <f>'2012 полн'!AF19</f>
        <v>51297.030000000006</v>
      </c>
      <c r="H25" s="247">
        <f>'2012 полн'!AG19</f>
        <v>52270.883400000006</v>
      </c>
      <c r="I25" s="247">
        <f>'2012 полн'!AJ19</f>
        <v>8582.228000000001</v>
      </c>
      <c r="J25" s="247">
        <f>'2012 полн'!AK19</f>
        <v>4051.3627000000006</v>
      </c>
      <c r="K25" s="242">
        <f>'2012 полн'!AL19</f>
        <v>1209.362</v>
      </c>
      <c r="L25" s="242">
        <f>'2012 полн'!AM19+'2012 полн'!AN19+'2012 полн'!AO19+'2012 полн'!AP19+'2012 полн'!AQ19+'2012 полн'!AR19+'2012 полн'!AS19+'2012 полн'!AT19</f>
        <v>42586.5271</v>
      </c>
      <c r="M25" s="243">
        <f>'2012 полн'!AU19+'2012 полн'!AV19+'2012 полн'!AW19+'2012 полн'!AX19</f>
        <v>5448.25</v>
      </c>
      <c r="N25" s="243">
        <f>'[6]2011 полн'!BA19</f>
        <v>0</v>
      </c>
      <c r="O25" s="248"/>
      <c r="P25" s="248">
        <f>'2012 полн'!BD19</f>
        <v>5554.4259999999995</v>
      </c>
      <c r="Q25" s="245">
        <f>'2012 полн'!BE19</f>
        <v>58849.9278</v>
      </c>
      <c r="R25" s="245">
        <f>'2012 полн'!BF19</f>
        <v>2003.1836000000112</v>
      </c>
      <c r="S25" s="245">
        <f>'2012 полн'!BG19</f>
        <v>-1796.5699999999997</v>
      </c>
    </row>
    <row r="26" spans="1:19" ht="12.75" hidden="1">
      <c r="A26" s="173" t="s">
        <v>42</v>
      </c>
      <c r="B26" s="84">
        <f>'2012 полн'!B20</f>
        <v>6046.81</v>
      </c>
      <c r="C26" s="27">
        <f>'2012 полн'!C20</f>
        <v>51700.22550000001</v>
      </c>
      <c r="D26" s="28">
        <f>'2012 полн'!D20</f>
        <v>820.2534</v>
      </c>
      <c r="E26" s="242">
        <f>'2012 полн'!U20</f>
        <v>53158.33</v>
      </c>
      <c r="F26" s="242">
        <f>'2012 полн'!V20</f>
        <v>76.80000000000001</v>
      </c>
      <c r="G26" s="247">
        <f>'2012 полн'!AF20</f>
        <v>23147.999999999996</v>
      </c>
      <c r="H26" s="247">
        <f>'2012 полн'!AG20</f>
        <v>24045.053399999997</v>
      </c>
      <c r="I26" s="247">
        <f>'2012 полн'!AJ20</f>
        <v>8582.228000000001</v>
      </c>
      <c r="J26" s="247">
        <f>'2012 полн'!AK20</f>
        <v>4051.3627000000006</v>
      </c>
      <c r="K26" s="242">
        <f>'2012 полн'!AL20</f>
        <v>1209.362</v>
      </c>
      <c r="L26" s="242">
        <f>'2012 полн'!AM20+'2012 полн'!AN20+'2012 полн'!AO20+'2012 полн'!AP20+'2012 полн'!AQ20+'2012 полн'!AR20+'2012 полн'!AS20+'2012 полн'!AT20</f>
        <v>42586.5271</v>
      </c>
      <c r="M26" s="243">
        <f>'2012 полн'!AU20+'2012 полн'!AV20+'2012 полн'!AW20+'2012 полн'!AX20</f>
        <v>247</v>
      </c>
      <c r="N26" s="243">
        <f>'[6]2011 полн'!BA20</f>
        <v>0</v>
      </c>
      <c r="O26" s="248"/>
      <c r="P26" s="248">
        <f>'2012 полн'!BD20</f>
        <v>5554.4259999999995</v>
      </c>
      <c r="Q26" s="245">
        <f>'2012 полн'!BE20</f>
        <v>53648.6778</v>
      </c>
      <c r="R26" s="245">
        <f>'2012 полн'!BF20</f>
        <v>-21021.396399999998</v>
      </c>
      <c r="S26" s="245">
        <f>'2012 полн'!BG20</f>
        <v>-30010.330000000005</v>
      </c>
    </row>
    <row r="27" spans="1:19" ht="13.5" hidden="1" thickBot="1">
      <c r="A27" s="249" t="s">
        <v>43</v>
      </c>
      <c r="B27" s="84">
        <f>'2012 полн'!B21</f>
        <v>6046.81</v>
      </c>
      <c r="C27" s="27">
        <f>'2012 полн'!C21</f>
        <v>51700.22550000001</v>
      </c>
      <c r="D27" s="28">
        <f>'2012 полн'!D21</f>
        <v>820.2534</v>
      </c>
      <c r="E27" s="242">
        <f>'2012 полн'!U21</f>
        <v>53161.39</v>
      </c>
      <c r="F27" s="242">
        <f>'2012 полн'!V21</f>
        <v>76.80000000000001</v>
      </c>
      <c r="G27" s="247">
        <f>'2012 полн'!AF21</f>
        <v>66461.29</v>
      </c>
      <c r="H27" s="247">
        <f>'2012 полн'!AG21</f>
        <v>67358.3434</v>
      </c>
      <c r="I27" s="247">
        <f>'2012 полн'!AJ21</f>
        <v>9782.228000000001</v>
      </c>
      <c r="J27" s="247">
        <f>'2012 полн'!AK21</f>
        <v>4051.3627000000006</v>
      </c>
      <c r="K27" s="242">
        <f>'2012 полн'!AL21</f>
        <v>1209.362</v>
      </c>
      <c r="L27" s="242">
        <f>'2012 полн'!AM21+'2012 полн'!AN21+'2012 полн'!AO21+'2012 полн'!AP21+'2012 полн'!AQ21+'2012 полн'!AR21+'2012 полн'!AS21+'2012 полн'!AT21</f>
        <v>42586.5271</v>
      </c>
      <c r="M27" s="243">
        <f>'2012 полн'!AU21+'2012 полн'!AV21+'2012 полн'!AW21+'2012 полн'!AX21</f>
        <v>3297</v>
      </c>
      <c r="N27" s="243">
        <f>'[6]2011 полн'!BA21</f>
        <v>0</v>
      </c>
      <c r="O27" s="248"/>
      <c r="P27" s="248">
        <f>'2012 полн'!BD21</f>
        <v>5854.4259999999995</v>
      </c>
      <c r="Q27" s="245">
        <f>'2012 полн'!BE21</f>
        <v>56998.6778</v>
      </c>
      <c r="R27" s="245">
        <f>'2012 полн'!BF21</f>
        <v>20141.893600000003</v>
      </c>
      <c r="S27" s="245">
        <f>'2012 полн'!BG21</f>
        <v>13299.899999999994</v>
      </c>
    </row>
    <row r="28" spans="1:21" s="20" customFormat="1" ht="13.5" hidden="1" thickBot="1">
      <c r="A28" s="34" t="s">
        <v>5</v>
      </c>
      <c r="B28" s="35"/>
      <c r="C28" s="76">
        <f aca="true" t="shared" si="0" ref="C28:R28">SUM(C16:C27)</f>
        <v>620436.0510000001</v>
      </c>
      <c r="D28" s="76">
        <f t="shared" si="0"/>
        <v>9843.040799999997</v>
      </c>
      <c r="E28" s="76">
        <f t="shared" si="0"/>
        <v>632324.54</v>
      </c>
      <c r="F28" s="76">
        <f t="shared" si="0"/>
        <v>793.1000000000001</v>
      </c>
      <c r="G28" s="76">
        <f t="shared" si="0"/>
        <v>586832.81</v>
      </c>
      <c r="H28" s="76">
        <f t="shared" si="0"/>
        <v>597468.9508</v>
      </c>
      <c r="I28" s="76">
        <f t="shared" si="0"/>
        <v>104186.73600000002</v>
      </c>
      <c r="J28" s="76">
        <f t="shared" si="0"/>
        <v>48618.9654</v>
      </c>
      <c r="K28" s="76">
        <f t="shared" si="0"/>
        <v>14513.124000000003</v>
      </c>
      <c r="L28" s="76">
        <f t="shared" si="0"/>
        <v>469342.2852</v>
      </c>
      <c r="M28" s="76">
        <f t="shared" si="0"/>
        <v>88398.325</v>
      </c>
      <c r="N28" s="76">
        <f t="shared" si="0"/>
        <v>0</v>
      </c>
      <c r="O28" s="76">
        <f t="shared" si="0"/>
        <v>0</v>
      </c>
      <c r="P28" s="76">
        <f t="shared" si="0"/>
        <v>66953.112</v>
      </c>
      <c r="Q28" s="76">
        <f t="shared" si="0"/>
        <v>687825.8115999999</v>
      </c>
      <c r="R28" s="76">
        <f>SUM(R16:R27)</f>
        <v>13829.875200000046</v>
      </c>
      <c r="S28" s="76">
        <f>SUM(S16:S27)</f>
        <v>-45491.730000000025</v>
      </c>
      <c r="T28" s="72"/>
      <c r="U28" s="72"/>
    </row>
    <row r="29" spans="1:19" ht="13.5" hidden="1" thickBot="1">
      <c r="A29" s="314" t="s">
        <v>70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236"/>
      <c r="R29" s="237"/>
      <c r="S29" s="237"/>
    </row>
    <row r="30" spans="1:21" s="20" customFormat="1" ht="13.5" thickBot="1">
      <c r="A30" s="81" t="s">
        <v>54</v>
      </c>
      <c r="B30" s="38"/>
      <c r="C30" s="39">
        <f aca="true" t="shared" si="1" ref="C30:S30">C28+C14</f>
        <v>2037613.818</v>
      </c>
      <c r="D30" s="39">
        <f t="shared" si="1"/>
        <v>175766.50055430006</v>
      </c>
      <c r="E30" s="39">
        <f t="shared" si="1"/>
        <v>1744043.63</v>
      </c>
      <c r="F30" s="39">
        <f t="shared" si="1"/>
        <v>139013.26000000004</v>
      </c>
      <c r="G30" s="39">
        <f>G28+G14</f>
        <v>1649525.52</v>
      </c>
      <c r="H30" s="39">
        <f>H28+H14</f>
        <v>1964305.2805543</v>
      </c>
      <c r="I30" s="39">
        <f>I28+I14</f>
        <v>275474.59472000005</v>
      </c>
      <c r="J30" s="39">
        <f>J28+J14</f>
        <v>145459.8714</v>
      </c>
      <c r="K30" s="39">
        <f t="shared" si="1"/>
        <v>46964.2623792</v>
      </c>
      <c r="L30" s="39">
        <f t="shared" si="1"/>
        <v>1242828.031715351</v>
      </c>
      <c r="M30" s="39">
        <f t="shared" si="1"/>
        <v>405988.4448</v>
      </c>
      <c r="N30" s="39">
        <f t="shared" si="1"/>
        <v>0</v>
      </c>
      <c r="O30" s="39">
        <f t="shared" si="1"/>
        <v>0</v>
      </c>
      <c r="P30" s="39">
        <f t="shared" si="1"/>
        <v>138182.382998401</v>
      </c>
      <c r="Q30" s="39">
        <f t="shared" si="1"/>
        <v>1979422.993292952</v>
      </c>
      <c r="R30" s="39">
        <f t="shared" si="1"/>
        <v>260356.88198134807</v>
      </c>
      <c r="S30" s="39">
        <f t="shared" si="1"/>
        <v>-94518.11000000002</v>
      </c>
      <c r="T30" s="73"/>
      <c r="U30" s="72"/>
    </row>
    <row r="31" spans="1:21" ht="12.75">
      <c r="A31" s="7" t="s">
        <v>121</v>
      </c>
      <c r="B31" s="238"/>
      <c r="C31" s="41"/>
      <c r="D31" s="42"/>
      <c r="E31" s="239"/>
      <c r="F31" s="240"/>
      <c r="G31" s="241"/>
      <c r="H31" s="240"/>
      <c r="I31" s="257"/>
      <c r="J31" s="241"/>
      <c r="K31" s="242"/>
      <c r="L31" s="242"/>
      <c r="M31" s="243"/>
      <c r="N31" s="70"/>
      <c r="O31" s="244"/>
      <c r="P31" s="244"/>
      <c r="Q31" s="245"/>
      <c r="R31" s="246"/>
      <c r="S31" s="246"/>
      <c r="T31" s="160"/>
      <c r="U31" s="160"/>
    </row>
    <row r="32" spans="1:21" ht="12.75">
      <c r="A32" s="173" t="s">
        <v>45</v>
      </c>
      <c r="B32" s="84">
        <f>'2012 полн'!B26</f>
        <v>6046.81</v>
      </c>
      <c r="C32" s="27">
        <f>'2012 полн'!C26</f>
        <v>51700.22550000001</v>
      </c>
      <c r="D32" s="28">
        <f>'2012 полн'!D26</f>
        <v>820.2534</v>
      </c>
      <c r="E32" s="242">
        <f>'2012 полн'!U26</f>
        <v>53163.799999999996</v>
      </c>
      <c r="F32" s="242">
        <f>'2012 полн'!V26</f>
        <v>76.80000000000001</v>
      </c>
      <c r="G32" s="247">
        <f>'2012 полн'!AF26</f>
        <v>58275.799999999996</v>
      </c>
      <c r="H32" s="247">
        <f>'2012 полн'!AG26</f>
        <v>59172.85339999999</v>
      </c>
      <c r="I32" s="247">
        <f>'2012 полн'!AJ26</f>
        <v>10726.93</v>
      </c>
      <c r="J32" s="247">
        <f>'2012 полн'!AK26</f>
        <v>4051.3627000000006</v>
      </c>
      <c r="K32" s="242">
        <f>'2012 полн'!AL26</f>
        <v>1209.362</v>
      </c>
      <c r="L32" s="242">
        <f>'2012 полн'!AM26+'2012 полн'!AN26+'2012 полн'!AO26+'2012 полн'!AP26+'2012 полн'!AQ26+'2012 полн'!AR26+'2012 полн'!AS26+'2012 полн'!AT26</f>
        <v>42586.5271</v>
      </c>
      <c r="M32" s="243">
        <f>'2012 полн'!AU26+'2012 полн'!AV26+'2012 полн'!AW26+'2012 полн'!AX26</f>
        <v>6949</v>
      </c>
      <c r="N32" s="243">
        <f>'[6]2011 полн'!BA26</f>
        <v>0</v>
      </c>
      <c r="O32" s="248"/>
      <c r="P32" s="248">
        <f>'2012 полн'!BD26</f>
        <v>5554.426</v>
      </c>
      <c r="Q32" s="245">
        <f>SUM(J32:P32)</f>
        <v>60350.6778</v>
      </c>
      <c r="R32" s="246">
        <f>'2012 полн'!BF26</f>
        <v>9549.105599999988</v>
      </c>
      <c r="S32" s="246">
        <f>'2012 полн'!BG26</f>
        <v>5112</v>
      </c>
      <c r="T32" s="160"/>
      <c r="U32" s="160"/>
    </row>
    <row r="33" spans="1:21" ht="12.75">
      <c r="A33" s="173" t="s">
        <v>46</v>
      </c>
      <c r="B33" s="84">
        <f>'2012 полн'!B27</f>
        <v>6046.81</v>
      </c>
      <c r="C33" s="27">
        <f>'2012 полн'!C27</f>
        <v>51700.22550000001</v>
      </c>
      <c r="D33" s="28">
        <f>'2012 полн'!D27</f>
        <v>820.2534</v>
      </c>
      <c r="E33" s="242">
        <f>'2012 полн'!U27</f>
        <v>53245.64</v>
      </c>
      <c r="F33" s="242">
        <f>'2012 полн'!V27</f>
        <v>76.80000000000001</v>
      </c>
      <c r="G33" s="247">
        <f>'2012 полн'!AF27</f>
        <v>47441.399999999994</v>
      </c>
      <c r="H33" s="247">
        <f>'2012 полн'!AG27</f>
        <v>48338.45339999999</v>
      </c>
      <c r="I33" s="247">
        <f>'2012 полн'!AJ27</f>
        <v>10726.93</v>
      </c>
      <c r="J33" s="247">
        <f>'2012 полн'!AK27</f>
        <v>4051.3627000000006</v>
      </c>
      <c r="K33" s="242">
        <f>'2012 полн'!AL27</f>
        <v>1209.362</v>
      </c>
      <c r="L33" s="242">
        <f>'2012 полн'!AM27+'2012 полн'!AN27+'2012 полн'!AO27+'2012 полн'!AP27+'2012 полн'!AQ27+'2012 полн'!AR27+'2012 полн'!AS27+'2012 полн'!AT27</f>
        <v>42586.5271</v>
      </c>
      <c r="M33" s="243">
        <f>'2012 полн'!AU27+'2012 полн'!AV27+'2012 полн'!AW27+'2012 полн'!AX27</f>
        <v>614</v>
      </c>
      <c r="N33" s="243">
        <f>'[6]2011 полн'!BA27</f>
        <v>0</v>
      </c>
      <c r="O33" s="248"/>
      <c r="P33" s="248">
        <f>'2012 полн'!BD27</f>
        <v>5554.426</v>
      </c>
      <c r="Q33" s="245">
        <f aca="true" t="shared" si="2" ref="Q33:Q43">SUM(J33:P33)</f>
        <v>54015.6778</v>
      </c>
      <c r="R33" s="246">
        <f>'2012 полн'!BF27</f>
        <v>5049.705599999994</v>
      </c>
      <c r="S33" s="246">
        <f>'2012 полн'!BG27</f>
        <v>-5804.240000000005</v>
      </c>
      <c r="T33" s="160"/>
      <c r="U33" s="160"/>
    </row>
    <row r="34" spans="1:21" ht="12.75">
      <c r="A34" s="173" t="s">
        <v>47</v>
      </c>
      <c r="B34" s="84">
        <f>'2012 полн'!B28</f>
        <v>6046.81</v>
      </c>
      <c r="C34" s="27">
        <f>'2012 полн'!C28</f>
        <v>51700.22550000001</v>
      </c>
      <c r="D34" s="28">
        <f>'2012 полн'!D28</f>
        <v>820.2534</v>
      </c>
      <c r="E34" s="242">
        <f>'2012 полн'!U28</f>
        <v>53302.14</v>
      </c>
      <c r="F34" s="242">
        <f>'2012 полн'!V28</f>
        <v>76.80000000000001</v>
      </c>
      <c r="G34" s="247">
        <f>'2012 полн'!AF28</f>
        <v>47316.740000000005</v>
      </c>
      <c r="H34" s="247">
        <f>'2012 полн'!AG28</f>
        <v>48213.7934</v>
      </c>
      <c r="I34" s="247">
        <f>'2012 полн'!AJ28</f>
        <v>11326.93</v>
      </c>
      <c r="J34" s="247">
        <f>'2012 полн'!AK28</f>
        <v>4051.3627000000006</v>
      </c>
      <c r="K34" s="242">
        <f>'2012 полн'!AL28</f>
        <v>1209.362</v>
      </c>
      <c r="L34" s="242">
        <f>'2012 полн'!AM28+'2012 полн'!AN28+'2012 полн'!AO28+'2012 полн'!AP28+'2012 полн'!AQ28+'2012 полн'!AR28+'2012 полн'!AS28+'2012 полн'!AT28</f>
        <v>42586.5271</v>
      </c>
      <c r="M34" s="243">
        <f>'2012 полн'!AU28+'2012 полн'!AV28+'2012 полн'!AW28+'2012 полн'!AX28</f>
        <v>10024.03</v>
      </c>
      <c r="N34" s="243">
        <f>'[6]2011 полн'!BA28</f>
        <v>0</v>
      </c>
      <c r="O34" s="248"/>
      <c r="P34" s="248">
        <f>'2012 полн'!BD28</f>
        <v>5704.426</v>
      </c>
      <c r="Q34" s="245">
        <f t="shared" si="2"/>
        <v>63575.7078</v>
      </c>
      <c r="R34" s="246">
        <f>'2012 полн'!BF28</f>
        <v>-4034.984399999994</v>
      </c>
      <c r="S34" s="246">
        <f>'2012 полн'!BG28</f>
        <v>-5985.399999999994</v>
      </c>
      <c r="T34" s="160"/>
      <c r="U34" s="160"/>
    </row>
    <row r="35" spans="1:21" ht="12.75">
      <c r="A35" s="173" t="s">
        <v>48</v>
      </c>
      <c r="B35" s="84">
        <f>'2012 полн'!B29</f>
        <v>6046.81</v>
      </c>
      <c r="C35" s="27">
        <f>'2012 полн'!C29</f>
        <v>51700.22550000001</v>
      </c>
      <c r="D35" s="28">
        <f>'2012 полн'!D29</f>
        <v>820.2534</v>
      </c>
      <c r="E35" s="242">
        <f>'2012 полн'!U29</f>
        <v>53304.56</v>
      </c>
      <c r="F35" s="242">
        <f>'2012 полн'!V29</f>
        <v>76.80000000000001</v>
      </c>
      <c r="G35" s="247">
        <f>'2012 полн'!AF29</f>
        <v>52613.15</v>
      </c>
      <c r="H35" s="247">
        <f>'2012 полн'!AG29</f>
        <v>53510.2034</v>
      </c>
      <c r="I35" s="247">
        <f>'2012 полн'!AJ29</f>
        <v>10926.93</v>
      </c>
      <c r="J35" s="247">
        <f>'2012 полн'!AK29</f>
        <v>4051.3627000000006</v>
      </c>
      <c r="K35" s="242">
        <f>'2012 полн'!AL29</f>
        <v>1209.362</v>
      </c>
      <c r="L35" s="242">
        <f>'2012 полн'!AM29+'2012 полн'!AN29+'2012 полн'!AO29+'2012 полн'!AP29+'2012 полн'!AQ29+'2012 полн'!AR29+'2012 полн'!AS29+'2012 полн'!AT29</f>
        <v>35632.6956</v>
      </c>
      <c r="M35" s="243">
        <f>'2012 полн'!AU29+'2012 полн'!AV29+'2012 полн'!AW29+'2012 полн'!AX29</f>
        <v>1021.75</v>
      </c>
      <c r="N35" s="243">
        <f>'[6]2011 полн'!BA29</f>
        <v>0</v>
      </c>
      <c r="O35" s="248"/>
      <c r="P35" s="248">
        <f>'2012 полн'!BD29</f>
        <v>5604.426</v>
      </c>
      <c r="Q35" s="245">
        <f t="shared" si="2"/>
        <v>47519.5963</v>
      </c>
      <c r="R35" s="246">
        <f>'2012 полн'!BF29</f>
        <v>16917.5371</v>
      </c>
      <c r="S35" s="246">
        <f>'2012 полн'!BG29</f>
        <v>-691.4099999999962</v>
      </c>
      <c r="T35" s="160"/>
      <c r="U35" s="160"/>
    </row>
    <row r="36" spans="1:21" ht="12.75">
      <c r="A36" s="173" t="s">
        <v>49</v>
      </c>
      <c r="B36" s="84">
        <f>'2012 полн'!B30</f>
        <v>6046.81</v>
      </c>
      <c r="C36" s="27">
        <f>'2012 полн'!C30</f>
        <v>51700.22550000001</v>
      </c>
      <c r="D36" s="28">
        <f>'2012 полн'!D30</f>
        <v>820.2534</v>
      </c>
      <c r="E36" s="242">
        <f>'2012 полн'!U30</f>
        <v>53291.4</v>
      </c>
      <c r="F36" s="242">
        <f>'2012 полн'!V30</f>
        <v>76.80000000000001</v>
      </c>
      <c r="G36" s="247">
        <f>'2012 полн'!AF30</f>
        <v>48747.95</v>
      </c>
      <c r="H36" s="247">
        <f>'2012 полн'!AG30</f>
        <v>49645.003399999994</v>
      </c>
      <c r="I36" s="247">
        <f>'2012 полн'!AJ30</f>
        <v>10121.220000000001</v>
      </c>
      <c r="J36" s="247">
        <f>'2012 полн'!AK30</f>
        <v>4051.3627000000006</v>
      </c>
      <c r="K36" s="242">
        <f>'2012 полн'!AL30</f>
        <v>1209.362</v>
      </c>
      <c r="L36" s="242">
        <f>'2012 полн'!AM30+'2012 полн'!AN30+'2012 полн'!AO30+'2012 полн'!AP30+'2012 полн'!AQ30+'2012 полн'!AR30+'2012 полн'!AS30+'2012 полн'!AT30</f>
        <v>35632.6956</v>
      </c>
      <c r="M36" s="243">
        <f>'2012 полн'!AU30+'2012 полн'!AV30+'2012 полн'!AW30+'2012 полн'!AX30</f>
        <v>3200</v>
      </c>
      <c r="N36" s="243">
        <f>'[6]2011 полн'!BA30</f>
        <v>0</v>
      </c>
      <c r="O36" s="248"/>
      <c r="P36" s="248">
        <f>'2012 полн'!BD30</f>
        <v>5207.344</v>
      </c>
      <c r="Q36" s="245">
        <f t="shared" si="2"/>
        <v>49300.764299999995</v>
      </c>
      <c r="R36" s="246">
        <f>'2012 полн'!BF30</f>
        <v>10465.4591</v>
      </c>
      <c r="S36" s="246">
        <f>'2012 полн'!BG30</f>
        <v>-4543.450000000004</v>
      </c>
      <c r="T36" s="160"/>
      <c r="U36" s="160"/>
    </row>
    <row r="37" spans="1:21" ht="12.75">
      <c r="A37" s="173" t="s">
        <v>50</v>
      </c>
      <c r="B37" s="84">
        <f>'2012 полн'!B31</f>
        <v>6045.51</v>
      </c>
      <c r="C37" s="27">
        <f>'2012 полн'!C31</f>
        <v>51689.11050000001</v>
      </c>
      <c r="D37" s="28">
        <f>'2012 полн'!D31</f>
        <v>820.2534</v>
      </c>
      <c r="E37" s="242">
        <f>'2012 полн'!U31</f>
        <v>50216.79</v>
      </c>
      <c r="F37" s="242">
        <f>'2012 полн'!V31</f>
        <v>76.80000000000001</v>
      </c>
      <c r="G37" s="247">
        <f>'2012 полн'!AF31</f>
        <v>57993.4</v>
      </c>
      <c r="H37" s="247">
        <f>'2012 полн'!AG31</f>
        <v>58890.4534</v>
      </c>
      <c r="I37" s="247">
        <f>'2012 полн'!AJ31</f>
        <v>10121.220000000001</v>
      </c>
      <c r="J37" s="247">
        <f>'2012 полн'!AK31</f>
        <v>4050.4917000000005</v>
      </c>
      <c r="K37" s="242">
        <f>'2012 полн'!AL31</f>
        <v>1209.102</v>
      </c>
      <c r="L37" s="242">
        <f>'2012 полн'!AM31+'2012 полн'!AN31+'2012 полн'!AO31+'2012 полн'!AP31+'2012 полн'!AQ31+'2012 полн'!AR31+'2012 полн'!AS31+'2012 полн'!AT31</f>
        <v>35625.2076</v>
      </c>
      <c r="M37" s="243">
        <f>'2012 полн'!AU31+'2012 полн'!AV31+'2012 полн'!AW31+'2012 полн'!AX31</f>
        <v>2035.76</v>
      </c>
      <c r="N37" s="243">
        <f>'[6]2011 полн'!BA31</f>
        <v>0</v>
      </c>
      <c r="O37" s="248"/>
      <c r="P37" s="248">
        <f>'2012 полн'!BD31</f>
        <v>5207.344</v>
      </c>
      <c r="Q37" s="245">
        <f t="shared" si="2"/>
        <v>48127.9053</v>
      </c>
      <c r="R37" s="246">
        <f>'2012 полн'!BF31</f>
        <v>20883.7681</v>
      </c>
      <c r="S37" s="246">
        <f>'2012 полн'!BG31</f>
        <v>7776.610000000001</v>
      </c>
      <c r="T37" s="160"/>
      <c r="U37" s="160"/>
    </row>
    <row r="38" spans="1:19" ht="12.75">
      <c r="A38" s="173" t="s">
        <v>51</v>
      </c>
      <c r="B38" s="84">
        <f>'2012 полн'!B32</f>
        <v>6045.51</v>
      </c>
      <c r="C38" s="27">
        <f>'2012 полн'!C32</f>
        <v>57492.8001</v>
      </c>
      <c r="D38" s="28">
        <f>'2012 полн'!D32</f>
        <v>1097.69205</v>
      </c>
      <c r="E38" s="242">
        <f>'2012 полн'!U32</f>
        <v>59216.3</v>
      </c>
      <c r="F38" s="242">
        <f>'2012 полн'!V32</f>
        <v>95.1</v>
      </c>
      <c r="G38" s="247">
        <f>'2012 полн'!AF32</f>
        <v>52727.91</v>
      </c>
      <c r="H38" s="247">
        <f>'2012 полн'!AG32</f>
        <v>53920.70205000001</v>
      </c>
      <c r="I38" s="247">
        <f>'2012 полн'!AJ32</f>
        <v>10121.220000000001</v>
      </c>
      <c r="J38" s="247">
        <f>'2012 полн'!AK32</f>
        <v>4534.1325</v>
      </c>
      <c r="K38" s="242">
        <f>'2012 полн'!AL32</f>
        <v>1209.102</v>
      </c>
      <c r="L38" s="242">
        <f>'2012 полн'!AM32+'2012 полн'!AN32+'2012 полн'!AO32+'2012 полн'!AP32+'2012 полн'!AQ32+'2012 полн'!AR32+'2012 полн'!AS32+'2012 полн'!AT32</f>
        <v>35625.2076</v>
      </c>
      <c r="M38" s="243">
        <f>'2012 полн'!AU32+'2012 полн'!AV32+'2012 полн'!AW32+'2012 полн'!AX32</f>
        <v>5627.33</v>
      </c>
      <c r="N38" s="243"/>
      <c r="O38" s="248"/>
      <c r="P38" s="248">
        <f>'2012 полн'!BD32</f>
        <v>5207.344</v>
      </c>
      <c r="Q38" s="245">
        <f t="shared" si="2"/>
        <v>52203.1161</v>
      </c>
      <c r="R38" s="246">
        <f>'2012 полн'!BF32</f>
        <v>11838.805950000009</v>
      </c>
      <c r="S38" s="246">
        <f>'2012 полн'!BG32</f>
        <v>-6488.389999999999</v>
      </c>
    </row>
    <row r="39" spans="1:19" ht="12.75">
      <c r="A39" s="173" t="s">
        <v>52</v>
      </c>
      <c r="B39" s="84">
        <f>'2012 полн'!B33</f>
        <v>6045.51</v>
      </c>
      <c r="C39" s="27">
        <f>'2012 полн'!C33</f>
        <v>57492.8001</v>
      </c>
      <c r="D39" s="28">
        <f>'2012 полн'!D33</f>
        <v>0</v>
      </c>
      <c r="E39" s="242">
        <f>'2012 полн'!U33</f>
        <v>59242.19</v>
      </c>
      <c r="F39" s="242">
        <f>'2012 полн'!V33</f>
        <v>95.1</v>
      </c>
      <c r="G39" s="247">
        <f>'2012 полн'!AF33</f>
        <v>58756.67</v>
      </c>
      <c r="H39" s="247">
        <f>'2012 полн'!AG33</f>
        <v>58851.77</v>
      </c>
      <c r="I39" s="247">
        <f>'2012 полн'!AJ33</f>
        <v>13121.220000000001</v>
      </c>
      <c r="J39" s="247">
        <f>'2012 полн'!AK33</f>
        <v>4534.1325</v>
      </c>
      <c r="K39" s="242">
        <f>'2012 полн'!AL33</f>
        <v>1209.102</v>
      </c>
      <c r="L39" s="242">
        <f>'2012 полн'!AM33+'2012 полн'!AN33+'2012 полн'!AO33+'2012 полн'!AP33+'2012 полн'!AQ33+'2012 полн'!AR33+'2012 полн'!AS33+'2012 полн'!AT33</f>
        <v>35625.2076</v>
      </c>
      <c r="M39" s="243">
        <f>'2012 полн'!AU33+'2012 полн'!AV33+'2012 полн'!AW33+'2012 полн'!AX33</f>
        <v>18298.84</v>
      </c>
      <c r="N39" s="243">
        <f>'[6]2011 полн'!BA33</f>
        <v>0</v>
      </c>
      <c r="O39" s="248"/>
      <c r="P39" s="248">
        <f>'2012 полн'!BD33</f>
        <v>5957.344</v>
      </c>
      <c r="Q39" s="245">
        <f t="shared" si="2"/>
        <v>65624.6261</v>
      </c>
      <c r="R39" s="246">
        <f>'2012 полн'!BF33</f>
        <v>6348.363899999997</v>
      </c>
      <c r="S39" s="246">
        <f>'2012 полн'!BG33</f>
        <v>-485.5200000000041</v>
      </c>
    </row>
    <row r="40" spans="1:19" ht="12.75">
      <c r="A40" s="173" t="s">
        <v>53</v>
      </c>
      <c r="B40" s="84">
        <f>'2012 полн'!B34</f>
        <v>6045.51</v>
      </c>
      <c r="C40" s="27">
        <f>'2012 полн'!C34</f>
        <v>57492.8001</v>
      </c>
      <c r="D40" s="28">
        <f>'2012 полн'!D34</f>
        <v>0</v>
      </c>
      <c r="E40" s="242">
        <f>'2012 полн'!U34</f>
        <v>59250.24</v>
      </c>
      <c r="F40" s="242">
        <f>'2012 полн'!V34</f>
        <v>95.1</v>
      </c>
      <c r="G40" s="247">
        <f>'2012 полн'!AF34</f>
        <v>50273.850000000006</v>
      </c>
      <c r="H40" s="247">
        <f>'2012 полн'!AG34</f>
        <v>50368.950000000004</v>
      </c>
      <c r="I40" s="247">
        <f>'2012 полн'!AJ34</f>
        <v>11121.220000000001</v>
      </c>
      <c r="J40" s="247">
        <f>'2012 полн'!AK34</f>
        <v>4534.1325</v>
      </c>
      <c r="K40" s="242">
        <f>'2012 полн'!AL34</f>
        <v>1209.102</v>
      </c>
      <c r="L40" s="242">
        <f>'2012 полн'!AM34+'2012 полн'!AN34+'2012 полн'!AO34+'2012 полн'!AP34+'2012 полн'!AQ34+'2012 полн'!AR34+'2012 полн'!AS34+'2012 полн'!AT34</f>
        <v>35625.2076</v>
      </c>
      <c r="M40" s="243">
        <f>'2012 полн'!AU34+'2012 полн'!AV34+'2012 полн'!AW34+'2012 полн'!AX34</f>
        <v>9771.53</v>
      </c>
      <c r="N40" s="243">
        <f>'[6]2011 полн'!BA34</f>
        <v>0</v>
      </c>
      <c r="O40" s="248"/>
      <c r="P40" s="248">
        <f>'2012 полн'!BD34</f>
        <v>5457.344</v>
      </c>
      <c r="Q40" s="245">
        <f t="shared" si="2"/>
        <v>56597.3161</v>
      </c>
      <c r="R40" s="246">
        <f>'2012 полн'!BF34</f>
        <v>4892.853900000009</v>
      </c>
      <c r="S40" s="246">
        <f>'2012 полн'!BG34</f>
        <v>-8976.389999999992</v>
      </c>
    </row>
    <row r="41" spans="1:19" ht="12.75">
      <c r="A41" s="173" t="s">
        <v>41</v>
      </c>
      <c r="B41" s="84">
        <f>'2012 полн'!B35</f>
        <v>6045.51</v>
      </c>
      <c r="C41" s="27">
        <f>'2012 полн'!C35</f>
        <v>57492.8001</v>
      </c>
      <c r="D41" s="28">
        <f>'2012 полн'!D35</f>
        <v>0</v>
      </c>
      <c r="E41" s="242">
        <f>'2012 полн'!U35</f>
        <v>59266.18</v>
      </c>
      <c r="F41" s="242">
        <f>'2012 полн'!V35</f>
        <v>95.1</v>
      </c>
      <c r="G41" s="247">
        <f>'2012 полн'!AF35</f>
        <v>61074.67</v>
      </c>
      <c r="H41" s="247">
        <f>'2012 полн'!AG35</f>
        <v>61169.77</v>
      </c>
      <c r="I41" s="247">
        <f>'2012 полн'!AJ35</f>
        <v>11121.220000000001</v>
      </c>
      <c r="J41" s="247">
        <f>'2012 полн'!AK35</f>
        <v>4534.1325</v>
      </c>
      <c r="K41" s="242">
        <f>'2012 полн'!AL35</f>
        <v>1209.102</v>
      </c>
      <c r="L41" s="242">
        <f>'2012 полн'!AM35+'2012 полн'!AN35+'2012 полн'!AO35+'2012 полн'!AP35+'2012 полн'!AQ35+'2012 полн'!AR35+'2012 полн'!AS35+'2012 полн'!AT35</f>
        <v>42577.5441</v>
      </c>
      <c r="M41" s="243">
        <f>'2012 полн'!AU35+'2012 полн'!AV35+'2012 полн'!AW35+'2012 полн'!AX35</f>
        <v>4835.2669000000005</v>
      </c>
      <c r="N41" s="243">
        <f>'[6]2011 полн'!BA35</f>
        <v>0</v>
      </c>
      <c r="O41" s="248"/>
      <c r="P41" s="248">
        <f>'2012 полн'!BD35</f>
        <v>5457.344</v>
      </c>
      <c r="Q41" s="245">
        <f t="shared" si="2"/>
        <v>58613.3895</v>
      </c>
      <c r="R41" s="246">
        <f>'2012 полн'!BF35</f>
        <v>13677.600499999993</v>
      </c>
      <c r="S41" s="246">
        <f>'2012 полн'!BG35</f>
        <v>1808.489999999998</v>
      </c>
    </row>
    <row r="42" spans="1:19" ht="12.75">
      <c r="A42" s="173" t="s">
        <v>42</v>
      </c>
      <c r="B42" s="84">
        <f>'2012 полн'!B36</f>
        <v>6045.51</v>
      </c>
      <c r="C42" s="27">
        <f>'2012 полн'!C36</f>
        <v>57492.8001</v>
      </c>
      <c r="D42" s="28">
        <f>'2012 полн'!D36</f>
        <v>0</v>
      </c>
      <c r="E42" s="242">
        <f>'2012 полн'!U36</f>
        <v>59298.74</v>
      </c>
      <c r="F42" s="242">
        <f>'2012 полн'!V36</f>
        <v>95.1</v>
      </c>
      <c r="G42" s="247">
        <f>'2012 полн'!AF36</f>
        <v>59486.090000000004</v>
      </c>
      <c r="H42" s="247">
        <f>'2012 полн'!AG36</f>
        <v>59581.19</v>
      </c>
      <c r="I42" s="247">
        <f>'2012 полн'!AJ36</f>
        <v>16761.190000000002</v>
      </c>
      <c r="J42" s="247">
        <f>'2012 полн'!AK36</f>
        <v>4534.1325</v>
      </c>
      <c r="K42" s="242">
        <f>'2012 полн'!AL36</f>
        <v>1209.102</v>
      </c>
      <c r="L42" s="242">
        <f>'2012 полн'!AM36+'2012 полн'!AN36+'2012 полн'!AO36+'2012 полн'!AP36+'2012 полн'!AQ36+'2012 полн'!AR36+'2012 полн'!AS36+'2012 полн'!AT36</f>
        <v>42577.5441</v>
      </c>
      <c r="M42" s="243">
        <f>'2012 полн'!AU36+'2012 полн'!AV36+'2012 полн'!AW36+'2012 полн'!AX36</f>
        <v>8233</v>
      </c>
      <c r="N42" s="243">
        <f>'[6]2011 полн'!BA36</f>
        <v>0</v>
      </c>
      <c r="O42" s="248"/>
      <c r="P42" s="248">
        <f>'2012 полн'!BD36</f>
        <v>8236.918000000001</v>
      </c>
      <c r="Q42" s="245">
        <f t="shared" si="2"/>
        <v>64790.696599999996</v>
      </c>
      <c r="R42" s="246">
        <f>'2012 полн'!BF36</f>
        <v>11551.683400000009</v>
      </c>
      <c r="S42" s="246">
        <f>'2012 полн'!BG36</f>
        <v>187.35000000000582</v>
      </c>
    </row>
    <row r="43" spans="1:19" ht="13.5" thickBot="1">
      <c r="A43" s="249" t="s">
        <v>43</v>
      </c>
      <c r="B43" s="84">
        <f>'2012 полн'!B37</f>
        <v>6045.51</v>
      </c>
      <c r="C43" s="27">
        <f>'2012 полн'!C37</f>
        <v>57492.8001</v>
      </c>
      <c r="D43" s="28">
        <f>'2012 полн'!D37</f>
        <v>0</v>
      </c>
      <c r="E43" s="242">
        <f>'2012 полн'!U37</f>
        <v>59324.72</v>
      </c>
      <c r="F43" s="242">
        <f>'2012 полн'!V37</f>
        <v>95.1</v>
      </c>
      <c r="G43" s="247">
        <f>'2012 полн'!AF37</f>
        <v>72234.09999999999</v>
      </c>
      <c r="H43" s="247">
        <f>'2012 полн'!AG37</f>
        <v>72329.2</v>
      </c>
      <c r="I43" s="247">
        <f>'2012 полн'!AJ37</f>
        <v>11626.93</v>
      </c>
      <c r="J43" s="247">
        <f>'2012 полн'!AK37</f>
        <v>4534.1325</v>
      </c>
      <c r="K43" s="242">
        <f>'2012 полн'!AL37</f>
        <v>1209.102</v>
      </c>
      <c r="L43" s="242">
        <f>'2012 полн'!AM37+'2012 полн'!AN37+'2012 полн'!AO37+'2012 полн'!AP37+'2012 полн'!AQ37+'2012 полн'!AR37+'2012 полн'!AS37+'2012 полн'!AT37</f>
        <v>42577.5441</v>
      </c>
      <c r="M43" s="243">
        <f>'2012 полн'!AU37+'2012 полн'!AV37+'2012 полн'!AW37+'2012 полн'!AX37</f>
        <v>1727</v>
      </c>
      <c r="N43" s="243">
        <f>'[6]2011 полн'!BA37</f>
        <v>0</v>
      </c>
      <c r="O43" s="248"/>
      <c r="P43" s="248">
        <f>'2012 полн'!BD37</f>
        <v>5854.426</v>
      </c>
      <c r="Q43" s="245">
        <f t="shared" si="2"/>
        <v>55902.2046</v>
      </c>
      <c r="R43" s="246">
        <f>'2012 полн'!BF37</f>
        <v>28053.925400000007</v>
      </c>
      <c r="S43" s="246">
        <f>'2012 полн'!BG37</f>
        <v>12909.37999999999</v>
      </c>
    </row>
    <row r="44" spans="1:21" s="20" customFormat="1" ht="13.5" thickBot="1">
      <c r="A44" s="34" t="s">
        <v>5</v>
      </c>
      <c r="B44" s="35"/>
      <c r="C44" s="76">
        <f aca="true" t="shared" si="3" ref="C44:R44">SUM(C32:C43)</f>
        <v>655147.0386</v>
      </c>
      <c r="D44" s="76">
        <f t="shared" si="3"/>
        <v>6019.212449999999</v>
      </c>
      <c r="E44" s="76">
        <f t="shared" si="3"/>
        <v>672122.7</v>
      </c>
      <c r="F44" s="76">
        <f t="shared" si="3"/>
        <v>1031.4</v>
      </c>
      <c r="G44" s="76">
        <f t="shared" si="3"/>
        <v>666941.73</v>
      </c>
      <c r="H44" s="76">
        <f t="shared" si="3"/>
        <v>673992.3424499999</v>
      </c>
      <c r="I44" s="76">
        <f t="shared" si="3"/>
        <v>137823.16</v>
      </c>
      <c r="J44" s="76">
        <f t="shared" si="3"/>
        <v>51512.1002</v>
      </c>
      <c r="K44" s="76">
        <f t="shared" si="3"/>
        <v>14510.524000000005</v>
      </c>
      <c r="L44" s="76">
        <f t="shared" si="3"/>
        <v>469258.43520000007</v>
      </c>
      <c r="M44" s="76">
        <f t="shared" si="3"/>
        <v>72337.5069</v>
      </c>
      <c r="N44" s="76">
        <f t="shared" si="3"/>
        <v>0</v>
      </c>
      <c r="O44" s="76">
        <f t="shared" si="3"/>
        <v>0</v>
      </c>
      <c r="P44" s="76">
        <f t="shared" si="3"/>
        <v>69003.112</v>
      </c>
      <c r="Q44" s="76">
        <f t="shared" si="3"/>
        <v>676621.6783</v>
      </c>
      <c r="R44" s="76">
        <f t="shared" si="3"/>
        <v>135193.82415000003</v>
      </c>
      <c r="S44" s="76">
        <f>SUM(S32:S43)</f>
        <v>-5180.970000000001</v>
      </c>
      <c r="T44" s="72"/>
      <c r="U44" s="72"/>
    </row>
    <row r="45" spans="1:19" ht="13.5" thickBot="1">
      <c r="A45" s="314" t="s">
        <v>70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236"/>
      <c r="R45" s="237"/>
      <c r="S45" s="237"/>
    </row>
    <row r="46" spans="1:21" s="20" customFormat="1" ht="13.5" thickBot="1">
      <c r="A46" s="81" t="s">
        <v>54</v>
      </c>
      <c r="B46" s="38"/>
      <c r="C46" s="39">
        <f>C44+C30</f>
        <v>2692760.8566</v>
      </c>
      <c r="D46" s="39">
        <f>D44+D30</f>
        <v>181785.71300430005</v>
      </c>
      <c r="E46" s="39">
        <f>E44+E30</f>
        <v>2416166.33</v>
      </c>
      <c r="F46" s="39">
        <f>F44+F30</f>
        <v>140044.66000000003</v>
      </c>
      <c r="G46" s="39">
        <f>G44+G30</f>
        <v>2316467.25</v>
      </c>
      <c r="H46" s="39">
        <f>H44+H30</f>
        <v>2638297.6230042996</v>
      </c>
      <c r="I46" s="39">
        <f>I44+I30</f>
        <v>413297.7547200001</v>
      </c>
      <c r="J46" s="39">
        <f>J44+J30</f>
        <v>196971.9716</v>
      </c>
      <c r="K46" s="39">
        <f aca="true" t="shared" si="4" ref="K46:AA46">K44+K30</f>
        <v>61474.786379200006</v>
      </c>
      <c r="L46" s="39">
        <f t="shared" si="4"/>
        <v>1712086.4669153509</v>
      </c>
      <c r="M46" s="39">
        <f t="shared" si="4"/>
        <v>478325.9517</v>
      </c>
      <c r="N46" s="39">
        <f t="shared" si="4"/>
        <v>0</v>
      </c>
      <c r="O46" s="39">
        <f t="shared" si="4"/>
        <v>0</v>
      </c>
      <c r="P46" s="39">
        <f t="shared" si="4"/>
        <v>207185.494998401</v>
      </c>
      <c r="Q46" s="39">
        <f t="shared" si="4"/>
        <v>2656044.6715929518</v>
      </c>
      <c r="R46" s="39">
        <f>R44+R30</f>
        <v>395550.7061313481</v>
      </c>
      <c r="S46" s="39">
        <f t="shared" si="4"/>
        <v>-99699.08000000002</v>
      </c>
      <c r="T46" s="73"/>
      <c r="U46" s="72"/>
    </row>
    <row r="48" spans="1:4" ht="12.75">
      <c r="A48" s="20" t="s">
        <v>71</v>
      </c>
      <c r="D48" s="85" t="s">
        <v>125</v>
      </c>
    </row>
    <row r="49" spans="1:4" ht="12.75">
      <c r="A49" s="171" t="s">
        <v>72</v>
      </c>
      <c r="B49" s="171" t="s">
        <v>73</v>
      </c>
      <c r="C49" s="423" t="s">
        <v>74</v>
      </c>
      <c r="D49" s="424"/>
    </row>
    <row r="50" spans="1:4" ht="12.75">
      <c r="A50" s="133">
        <v>673299.56</v>
      </c>
      <c r="B50" s="259">
        <v>329328.38</v>
      </c>
      <c r="C50" s="260">
        <f>A50-B50</f>
        <v>343971.18000000005</v>
      </c>
      <c r="D50" s="261"/>
    </row>
    <row r="51" ht="12.75">
      <c r="A51" s="46"/>
    </row>
    <row r="52" spans="1:7" ht="12.75">
      <c r="A52" s="161" t="s">
        <v>77</v>
      </c>
      <c r="G52" s="161" t="s">
        <v>78</v>
      </c>
    </row>
    <row r="53" ht="12.75">
      <c r="A53" s="160"/>
    </row>
    <row r="54" ht="12.75">
      <c r="A54" s="160"/>
    </row>
    <row r="55" ht="12.75">
      <c r="A55" s="161" t="s">
        <v>119</v>
      </c>
    </row>
    <row r="56" ht="12.75">
      <c r="A56" s="161" t="s">
        <v>79</v>
      </c>
    </row>
  </sheetData>
  <sheetProtection/>
  <mergeCells count="30">
    <mergeCell ref="A45:P45"/>
    <mergeCell ref="C8:C11"/>
    <mergeCell ref="D8:D11"/>
    <mergeCell ref="E8:F9"/>
    <mergeCell ref="G8:H9"/>
    <mergeCell ref="B1:H1"/>
    <mergeCell ref="B2:H2"/>
    <mergeCell ref="A5:P5"/>
    <mergeCell ref="A6:G6"/>
    <mergeCell ref="A7:D7"/>
    <mergeCell ref="E7:F7"/>
    <mergeCell ref="R8:R11"/>
    <mergeCell ref="S8:S11"/>
    <mergeCell ref="E10:F10"/>
    <mergeCell ref="H10:H11"/>
    <mergeCell ref="J10:J11"/>
    <mergeCell ref="K10:K11"/>
    <mergeCell ref="L10:L11"/>
    <mergeCell ref="M10:M11"/>
    <mergeCell ref="N10:N11"/>
    <mergeCell ref="C49:D49"/>
    <mergeCell ref="O10:O11"/>
    <mergeCell ref="P10:P11"/>
    <mergeCell ref="Q10:Q11"/>
    <mergeCell ref="A13:P13"/>
    <mergeCell ref="A29:P29"/>
    <mergeCell ref="I8:I11"/>
    <mergeCell ref="J8:Q9"/>
    <mergeCell ref="A8:A11"/>
    <mergeCell ref="B8:B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2010-07-02T04:14:53Z</cp:lastPrinted>
  <dcterms:created xsi:type="dcterms:W3CDTF">2010-04-02T05:03:24Z</dcterms:created>
  <dcterms:modified xsi:type="dcterms:W3CDTF">2013-05-26T09:05:33Z</dcterms:modified>
  <cp:category/>
  <cp:version/>
  <cp:contentType/>
  <cp:contentStatus/>
</cp:coreProperties>
</file>