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<sst xmlns="http://schemas.openxmlformats.org/spreadsheetml/2006/main" count="336" uniqueCount="128">
  <si>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</si>
  <si>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</si>
  <si>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</si>
  <si>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</si>
  <si>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</si>
  <si>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</si>
  <si>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</si>
  <si>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</si>
  <si>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</si>
  <si>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</si>
  <si>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</si>
  <si>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</si>
  <si>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</si>
  <si>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</si>
  <si>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</si>
  <si>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</si>
  <si>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</si>
  <si>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</si>
  <si>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</si>
  <si>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</si>
  <si>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</si>
  <si>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</si>
  <si>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</si>
  <si>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</si>
  <si>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</si>
  <si>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</si>
  <si>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</si>
  <si>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</si>
  <si>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</si>
  <si>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</si>
  <si>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</si>
  <si>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</si>
  <si>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</si>
  <si>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</si>
  <si>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</si>
  <si>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</si>
  <si>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</si>
  <si>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</si>
  <si>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</si>
  <si>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</si>
  <si>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</si>
  <si>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</si>
  <si>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</si>
  <si>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</si>
  <si>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</si>
  <si>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</si>
  <si>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</si>
  <si>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</si>
  <si>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</si>
  <si>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</si>
  <si>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</si>
  <si>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</si>
  <si>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</si>
  <si>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</si>
  <si>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</si>
  <si>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</si>
  <si>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</si>
  <si>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</si>
  <si>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</si>
  <si>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</si>
  <si>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</si>
  <si>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</si>
  <si>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</si>
  <si>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</si>
  <si>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</si>
  <si>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</si>
  <si>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</si>
  <si>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</si>
  <si>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</si>
  <si>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</si>
  <si>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</si>
  <si>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</si>
  <si>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</si>
  <si>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</si>
  <si>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</si>
  <si>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</si>
  <si>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</si>
  <si>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</si>
  <si>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</si>
  <si>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</si>
  <si>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</si>
  <si>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</si>
  <si>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</si>
  <si>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</si>
  <si>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</si>
  <si>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</si>
  <si>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</si>
  <si>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</si>
  <si>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</si>
  <si>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Поспелова, д.29</t>
  </si>
  <si>
    <t>Выписка по лицевому счету по адресу г. Таштагол ул. Поспелова, д. 29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</si>
  <si>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</si>
  <si>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</si>
  <si>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</si>
  <si>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</si>
  <si>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</si>
  <si>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</si>
  <si>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</si>
  <si>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</si>
  <si>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</si>
  <si>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</si>
  <si>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</si>
  <si>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</si>
  <si>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</si>
  <si>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</si>
  <si>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</si>
  <si>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</si>
  <si>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</si>
  <si>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</si>
  <si>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</si>
  <si>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</si>
  <si>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</si>
  <si>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</si>
  <si>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</si>
  <si>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</si>
  <si>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</si>
  <si>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</si>
  <si>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 xml:space="preserve">Доходы от нежилых помещений </t>
  </si>
  <si>
    <t>Услуга начисления</t>
  </si>
  <si>
    <t>Расходы по нежилым помещениям</t>
  </si>
  <si>
    <t>*по состоянию на 01.01.2012 г.</t>
  </si>
  <si>
    <t>Исп. В.В. Колмогорова</t>
  </si>
  <si>
    <t>Выписка по лицевому счету по адресу г. Таштагол ул. Плспелова, д. 29</t>
  </si>
  <si>
    <t>Долг(-)/ переплата(+)  Карпунина В.Г.</t>
  </si>
  <si>
    <t>тариф на содержание и тек. ремонт на 2011 год</t>
  </si>
  <si>
    <t>2012 год</t>
  </si>
  <si>
    <t>на 01.01.2013 г.</t>
  </si>
  <si>
    <t>Тариф по содержанию и тек.ремонту 100 % (9,51руб.*площадь)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</si>
</sst>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8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38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8" borderId="2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44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12" fillId="0" borderId="38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45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4" fontId="0" fillId="34" borderId="37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6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7" xfId="0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right" wrapText="1"/>
    </xf>
    <xf numFmtId="4" fontId="2" fillId="0" borderId="43" xfId="34" applyNumberFormat="1" applyFont="1" applyFill="1" applyBorder="1" applyAlignment="1">
      <alignment horizontal="right" vertical="center" wrapText="1"/>
      <protection/>
    </xf>
    <xf numFmtId="4" fontId="2" fillId="0" borderId="50" xfId="34" applyNumberFormat="1" applyFont="1" applyFill="1" applyBorder="1" applyAlignment="1">
      <alignment horizontal="right" vertical="center" wrapText="1"/>
      <protection/>
    </xf>
    <xf numFmtId="4" fontId="0" fillId="0" borderId="42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 horizontal="right"/>
    </xf>
    <xf numFmtId="4" fontId="0" fillId="0" borderId="5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2" fontId="0" fillId="0" borderId="52" xfId="0" applyNumberFormat="1" applyBorder="1" applyAlignment="1">
      <alignment horizontal="center"/>
    </xf>
    <xf numFmtId="4" fontId="2" fillId="0" borderId="53" xfId="34" applyNumberFormat="1" applyFont="1" applyFill="1" applyBorder="1" applyAlignment="1">
      <alignment horizontal="right" vertical="center" wrapText="1"/>
      <protection/>
    </xf>
    <xf numFmtId="4" fontId="2" fillId="0" borderId="46" xfId="34" applyNumberFormat="1" applyFont="1" applyFill="1" applyBorder="1" applyAlignment="1">
      <alignment horizontal="right" vertical="center" wrapText="1"/>
      <protection/>
    </xf>
    <xf numFmtId="4" fontId="0" fillId="0" borderId="54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 vertical="center" wrapText="1"/>
    </xf>
    <xf numFmtId="4" fontId="0" fillId="0" borderId="53" xfId="0" applyNumberFormat="1" applyFont="1" applyFill="1" applyBorder="1" applyAlignment="1">
      <alignment horizontal="right" vertical="center" wrapText="1"/>
    </xf>
    <xf numFmtId="4" fontId="0" fillId="0" borderId="52" xfId="0" applyNumberFormat="1" applyFont="1" applyFill="1" applyBorder="1" applyAlignment="1">
      <alignment horizontal="right"/>
    </xf>
    <xf numFmtId="4" fontId="0" fillId="0" borderId="5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1" xfId="0" applyNumberForma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4" fontId="0" fillId="39" borderId="15" xfId="0" applyNumberFormat="1" applyFont="1" applyFill="1" applyBorder="1" applyAlignment="1">
      <alignment horizontal="center" wrapText="1"/>
    </xf>
    <xf numFmtId="0" fontId="0" fillId="0" borderId="56" xfId="0" applyFont="1" applyFill="1" applyBorder="1" applyAlignment="1">
      <alignment/>
    </xf>
    <xf numFmtId="4" fontId="1" fillId="0" borderId="56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33" borderId="5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5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56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 textRotation="90" wrapText="1"/>
    </xf>
    <xf numFmtId="0" fontId="1" fillId="0" borderId="61" xfId="0" applyFont="1" applyFill="1" applyBorder="1" applyAlignment="1">
      <alignment horizontal="center" textRotation="90" wrapText="1"/>
    </xf>
    <xf numFmtId="0" fontId="1" fillId="0" borderId="62" xfId="0" applyFont="1" applyFill="1" applyBorder="1" applyAlignment="1">
      <alignment horizontal="center" textRotation="90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4" fontId="1" fillId="34" borderId="56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 wrapText="1"/>
    </xf>
    <xf numFmtId="2" fontId="7" fillId="0" borderId="56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0" fontId="1" fillId="39" borderId="65" xfId="0" applyFont="1" applyFill="1" applyBorder="1" applyAlignment="1">
      <alignment horizontal="center" vertical="center" wrapText="1"/>
    </xf>
    <xf numFmtId="0" fontId="1" fillId="39" borderId="68" xfId="0" applyFont="1" applyFill="1" applyBorder="1" applyAlignment="1">
      <alignment horizontal="center" vertical="center" wrapText="1"/>
    </xf>
    <xf numFmtId="0" fontId="1" fillId="39" borderId="69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 textRotation="90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0" fontId="1" fillId="39" borderId="66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48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 vertical="center" textRotation="90" wrapText="1"/>
    </xf>
    <xf numFmtId="2" fontId="1" fillId="0" borderId="74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left"/>
    </xf>
    <xf numFmtId="2" fontId="0" fillId="0" borderId="38" xfId="0" applyNumberFormat="1" applyFont="1" applyFill="1" applyBorder="1" applyAlignment="1">
      <alignment horizontal="left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textRotation="90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textRotation="90" wrapText="1"/>
    </xf>
    <xf numFmtId="4" fontId="2" fillId="34" borderId="37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4" fontId="0" fillId="40" borderId="15" xfId="0" applyNumberFormat="1" applyFont="1" applyFill="1" applyBorder="1" applyAlignment="1">
      <alignment horizontal="center"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11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4" fontId="0" fillId="41" borderId="15" xfId="0" applyNumberFormat="1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center"/>
    </xf>
    <xf numFmtId="4" fontId="0" fillId="42" borderId="15" xfId="0" applyNumberFormat="1" applyFont="1" applyFill="1" applyBorder="1" applyAlignment="1">
      <alignment horizontal="center" wrapText="1"/>
    </xf>
    <xf numFmtId="4" fontId="1" fillId="38" borderId="26" xfId="0" applyNumberFormat="1" applyFont="1" applyFill="1" applyBorder="1" applyAlignment="1">
      <alignment/>
    </xf>
    <xf numFmtId="0" fontId="1" fillId="38" borderId="70" xfId="0" applyFont="1" applyFill="1" applyBorder="1" applyAlignment="1">
      <alignment/>
    </xf>
    <xf numFmtId="0" fontId="1" fillId="38" borderId="47" xfId="0" applyFont="1" applyFill="1" applyBorder="1" applyAlignment="1">
      <alignment/>
    </xf>
    <xf numFmtId="0" fontId="1" fillId="38" borderId="74" xfId="0" applyFont="1" applyFill="1" applyBorder="1" applyAlignment="1">
      <alignment/>
    </xf>
    <xf numFmtId="4" fontId="1" fillId="38" borderId="47" xfId="0" applyNumberFormat="1" applyFont="1" applyFill="1" applyBorder="1" applyAlignment="1">
      <alignment/>
    </xf>
    <xf numFmtId="4" fontId="1" fillId="38" borderId="74" xfId="0" applyNumberFormat="1" applyFont="1" applyFill="1" applyBorder="1" applyAlignment="1">
      <alignment/>
    </xf>
    <xf numFmtId="0" fontId="0" fillId="38" borderId="20" xfId="0" applyFont="1" applyFill="1" applyBorder="1" applyAlignment="1">
      <alignment/>
    </xf>
    <xf numFmtId="4" fontId="1" fillId="38" borderId="13" xfId="0" applyNumberFormat="1" applyFont="1" applyFill="1" applyBorder="1" applyAlignment="1">
      <alignment horizontal="right"/>
    </xf>
    <xf numFmtId="4" fontId="1" fillId="38" borderId="14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9%20&#1089;%202011%20&#107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9">
          <cell r="I19">
            <v>3605.2345</v>
          </cell>
        </row>
        <row r="24">
          <cell r="I24">
            <v>614.1062199999999</v>
          </cell>
        </row>
        <row r="59">
          <cell r="I59">
            <v>162.40749999999997</v>
          </cell>
        </row>
        <row r="92">
          <cell r="I92">
            <v>636.5881999999999</v>
          </cell>
        </row>
        <row r="116">
          <cell r="I116">
            <v>385.85645999999997</v>
          </cell>
        </row>
      </sheetData>
      <sheetData sheetId="1">
        <row r="19">
          <cell r="I19">
            <v>3605.2345</v>
          </cell>
          <cell r="O19">
            <v>1453.0455</v>
          </cell>
        </row>
        <row r="24">
          <cell r="I24">
            <v>614.1062199999999</v>
          </cell>
          <cell r="O24">
            <v>292.70358</v>
          </cell>
        </row>
        <row r="59">
          <cell r="I59">
            <v>162.40749999999997</v>
          </cell>
          <cell r="O59">
            <v>65.4525</v>
          </cell>
        </row>
        <row r="92">
          <cell r="I92">
            <v>636.5881999999999</v>
          </cell>
          <cell r="O92">
            <v>256.57380000000006</v>
          </cell>
        </row>
        <row r="116">
          <cell r="I116">
            <v>385.85645999999997</v>
          </cell>
          <cell r="O116">
            <v>155.51514</v>
          </cell>
        </row>
      </sheetData>
      <sheetData sheetId="2">
        <row r="19">
          <cell r="I19">
            <v>3605.2345</v>
          </cell>
          <cell r="O19">
            <v>1453.0455</v>
          </cell>
        </row>
        <row r="24">
          <cell r="I24">
            <v>614.1062199999999</v>
          </cell>
          <cell r="O24">
            <v>292.70358</v>
          </cell>
        </row>
        <row r="60">
          <cell r="I60">
            <v>162.40749999999997</v>
          </cell>
          <cell r="O60">
            <v>65.4525</v>
          </cell>
        </row>
        <row r="93">
          <cell r="I93">
            <v>636.5881999999999</v>
          </cell>
          <cell r="O93">
            <v>256.57380000000006</v>
          </cell>
        </row>
        <row r="118">
          <cell r="I118">
            <v>385.85645999999997</v>
          </cell>
          <cell r="O118">
            <v>155.51514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B44">
            <v>440391.95999999996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8">
          <cell r="I18">
            <v>3601.9500000000003</v>
          </cell>
          <cell r="R18">
            <v>2195.0249999999996</v>
          </cell>
        </row>
        <row r="23">
          <cell r="I23">
            <v>613.782</v>
          </cell>
          <cell r="R23">
            <v>442.169</v>
          </cell>
        </row>
        <row r="86">
          <cell r="I86">
            <v>636.02</v>
          </cell>
          <cell r="R86">
            <v>387.59000000000003</v>
          </cell>
        </row>
        <row r="95">
          <cell r="I95">
            <v>162.25</v>
          </cell>
          <cell r="R95">
            <v>123.875</v>
          </cell>
        </row>
        <row r="112">
          <cell r="I112">
            <v>385.506</v>
          </cell>
          <cell r="R112">
            <v>234.92700000000002</v>
          </cell>
        </row>
        <row r="133">
          <cell r="I133">
            <v>2261.88</v>
          </cell>
          <cell r="R133">
            <v>1629.46</v>
          </cell>
        </row>
        <row r="191">
          <cell r="I191">
            <v>114</v>
          </cell>
          <cell r="R191">
            <v>28.5</v>
          </cell>
        </row>
      </sheetData>
      <sheetData sheetId="1">
        <row r="18">
          <cell r="J18">
            <v>3601.9500000000003</v>
          </cell>
          <cell r="S18">
            <v>2195.0249999999996</v>
          </cell>
        </row>
        <row r="23">
          <cell r="J23">
            <v>613.782</v>
          </cell>
          <cell r="S23">
            <v>442.169</v>
          </cell>
        </row>
        <row r="86">
          <cell r="J86">
            <v>636.02</v>
          </cell>
          <cell r="S86">
            <v>387.59000000000003</v>
          </cell>
        </row>
        <row r="95">
          <cell r="J95">
            <v>162.25</v>
          </cell>
          <cell r="S95">
            <v>123.875</v>
          </cell>
        </row>
        <row r="112">
          <cell r="J112">
            <v>385.506</v>
          </cell>
          <cell r="S112">
            <v>234.92700000000002</v>
          </cell>
        </row>
        <row r="133">
          <cell r="J133">
            <v>2261.88</v>
          </cell>
          <cell r="S133">
            <v>1629.46</v>
          </cell>
        </row>
        <row r="192">
          <cell r="S192">
            <v>28.5</v>
          </cell>
        </row>
        <row r="193">
          <cell r="J193">
            <v>114</v>
          </cell>
        </row>
      </sheetData>
      <sheetData sheetId="2">
        <row r="18">
          <cell r="J18">
            <v>3601.9500000000003</v>
          </cell>
          <cell r="S18">
            <v>2195.0249999999996</v>
          </cell>
        </row>
        <row r="23">
          <cell r="J23">
            <v>613.782</v>
          </cell>
          <cell r="S23">
            <v>442.169</v>
          </cell>
        </row>
        <row r="86">
          <cell r="J86">
            <v>636.02</v>
          </cell>
          <cell r="S86">
            <v>387.59000000000003</v>
          </cell>
        </row>
        <row r="95">
          <cell r="J95">
            <v>162.25</v>
          </cell>
          <cell r="S95">
            <v>98.875</v>
          </cell>
        </row>
        <row r="112">
          <cell r="J112">
            <v>385.506</v>
          </cell>
          <cell r="S112">
            <v>234.92700000000002</v>
          </cell>
        </row>
        <row r="133">
          <cell r="J133">
            <v>2261.88</v>
          </cell>
          <cell r="S133">
            <v>1629.46</v>
          </cell>
        </row>
        <row r="193">
          <cell r="J193">
            <v>114</v>
          </cell>
          <cell r="S193">
            <v>28.5</v>
          </cell>
        </row>
      </sheetData>
      <sheetData sheetId="3">
        <row r="18">
          <cell r="S18">
            <v>2195.0249999999996</v>
          </cell>
        </row>
        <row r="23">
          <cell r="S23">
            <v>442.169</v>
          </cell>
        </row>
        <row r="87">
          <cell r="S87">
            <v>387.59000000000003</v>
          </cell>
        </row>
        <row r="96">
          <cell r="S96">
            <v>98.875</v>
          </cell>
        </row>
        <row r="113">
          <cell r="S113">
            <v>234.92700000000002</v>
          </cell>
        </row>
        <row r="134">
          <cell r="S134">
            <v>1629.46</v>
          </cell>
        </row>
        <row r="195">
          <cell r="S195">
            <v>28.5</v>
          </cell>
        </row>
      </sheetData>
      <sheetData sheetId="4">
        <row r="18">
          <cell r="J18">
            <v>3601.9500000000003</v>
          </cell>
          <cell r="S18">
            <v>2195.0249999999996</v>
          </cell>
        </row>
        <row r="23">
          <cell r="J23">
            <v>613.782</v>
          </cell>
          <cell r="S23">
            <v>442.169</v>
          </cell>
        </row>
        <row r="85">
          <cell r="J85">
            <v>636.02</v>
          </cell>
          <cell r="S85">
            <v>387.59000000000003</v>
          </cell>
        </row>
        <row r="94">
          <cell r="J94">
            <v>162.25</v>
          </cell>
          <cell r="S94">
            <v>98.875</v>
          </cell>
        </row>
        <row r="111">
          <cell r="J111">
            <v>385.506</v>
          </cell>
          <cell r="S111">
            <v>234.92700000000002</v>
          </cell>
        </row>
        <row r="132">
          <cell r="J132">
            <v>2673.88</v>
          </cell>
          <cell r="S132">
            <v>1629.46</v>
          </cell>
        </row>
        <row r="193">
          <cell r="J193">
            <v>114</v>
          </cell>
          <cell r="S193">
            <v>28.5</v>
          </cell>
        </row>
      </sheetData>
      <sheetData sheetId="5">
        <row r="18">
          <cell r="J18">
            <v>3601.9500000000003</v>
          </cell>
          <cell r="S18">
            <v>2195.0249999999996</v>
          </cell>
        </row>
        <row r="23">
          <cell r="J23">
            <v>613.782</v>
          </cell>
          <cell r="S23">
            <v>442.169</v>
          </cell>
        </row>
        <row r="85">
          <cell r="J85">
            <v>636.02</v>
          </cell>
          <cell r="S85">
            <v>387.59000000000003</v>
          </cell>
        </row>
        <row r="94">
          <cell r="J94">
            <v>162.25</v>
          </cell>
          <cell r="S94">
            <v>98.875</v>
          </cell>
        </row>
        <row r="111">
          <cell r="J111">
            <v>385.506</v>
          </cell>
          <cell r="S111">
            <v>234.92700000000002</v>
          </cell>
        </row>
        <row r="132">
          <cell r="J132">
            <v>2673.88</v>
          </cell>
          <cell r="S132">
            <v>1629.46</v>
          </cell>
        </row>
        <row r="193">
          <cell r="J193">
            <v>114</v>
          </cell>
          <cell r="S193">
            <v>28.5</v>
          </cell>
        </row>
        <row r="210">
          <cell r="J210">
            <v>2180.64</v>
          </cell>
          <cell r="S210">
            <v>738.64</v>
          </cell>
        </row>
      </sheetData>
      <sheetData sheetId="6">
        <row r="18">
          <cell r="J18">
            <v>3601.9500000000003</v>
          </cell>
          <cell r="S18">
            <v>2195.0249999999996</v>
          </cell>
        </row>
        <row r="23">
          <cell r="J23">
            <v>613.782</v>
          </cell>
          <cell r="S23">
            <v>442.169</v>
          </cell>
        </row>
        <row r="85">
          <cell r="J85">
            <v>4706.538</v>
          </cell>
          <cell r="S85">
            <v>441.798</v>
          </cell>
        </row>
        <row r="94">
          <cell r="J94">
            <v>162.25</v>
          </cell>
          <cell r="S94">
            <v>98.875</v>
          </cell>
        </row>
        <row r="111">
          <cell r="J111">
            <v>385.506</v>
          </cell>
          <cell r="S111">
            <v>234.92700000000002</v>
          </cell>
        </row>
        <row r="132">
          <cell r="J132">
            <v>2673.88</v>
          </cell>
          <cell r="S132">
            <v>1629.46</v>
          </cell>
        </row>
        <row r="141">
          <cell r="J141">
            <v>2180.64</v>
          </cell>
          <cell r="S141">
            <v>738.64</v>
          </cell>
        </row>
        <row r="197">
          <cell r="J197">
            <v>114</v>
          </cell>
          <cell r="S197">
            <v>28.5</v>
          </cell>
        </row>
      </sheetData>
      <sheetData sheetId="7">
        <row r="18">
          <cell r="J18">
            <v>3601.9500000000003</v>
          </cell>
          <cell r="S18">
            <v>2195.0249999999996</v>
          </cell>
        </row>
        <row r="23">
          <cell r="J23">
            <v>613.782</v>
          </cell>
          <cell r="S23">
            <v>442.169</v>
          </cell>
        </row>
        <row r="85">
          <cell r="J85">
            <v>1217.514</v>
          </cell>
          <cell r="S85">
            <v>741.9580000000001</v>
          </cell>
        </row>
        <row r="94">
          <cell r="J94">
            <v>162.25</v>
          </cell>
          <cell r="S94">
            <v>98.875</v>
          </cell>
        </row>
        <row r="111">
          <cell r="J111">
            <v>385.506</v>
          </cell>
          <cell r="S111">
            <v>234.92700000000002</v>
          </cell>
        </row>
        <row r="132">
          <cell r="J132">
            <v>2673.88</v>
          </cell>
          <cell r="S132">
            <v>1629.46</v>
          </cell>
        </row>
        <row r="141">
          <cell r="J141">
            <v>363.44</v>
          </cell>
          <cell r="S141">
            <v>221.48</v>
          </cell>
        </row>
        <row r="144">
          <cell r="J144">
            <v>594.484</v>
          </cell>
          <cell r="S144">
            <v>362.27799999999996</v>
          </cell>
        </row>
        <row r="201">
          <cell r="J201">
            <v>114</v>
          </cell>
          <cell r="S201">
            <v>28.5</v>
          </cell>
        </row>
      </sheetData>
      <sheetData sheetId="8">
        <row r="18">
          <cell r="J18">
            <v>3601.9500000000003</v>
          </cell>
        </row>
        <row r="23">
          <cell r="J23">
            <v>613.782</v>
          </cell>
        </row>
        <row r="85">
          <cell r="J85">
            <v>1217.514</v>
          </cell>
        </row>
        <row r="94">
          <cell r="J94">
            <v>162.25</v>
          </cell>
        </row>
        <row r="111">
          <cell r="J111">
            <v>385.506</v>
          </cell>
        </row>
        <row r="132">
          <cell r="J132">
            <v>2673.88</v>
          </cell>
        </row>
        <row r="141">
          <cell r="J141">
            <v>363.44</v>
          </cell>
        </row>
        <row r="144">
          <cell r="J144">
            <v>594.484</v>
          </cell>
        </row>
        <row r="201">
          <cell r="J201">
            <v>114</v>
          </cell>
        </row>
      </sheetData>
      <sheetData sheetId="9">
        <row r="18">
          <cell r="S18">
            <v>2195.0249999999996</v>
          </cell>
        </row>
        <row r="23">
          <cell r="S23">
            <v>442.169</v>
          </cell>
        </row>
        <row r="85">
          <cell r="S85">
            <v>741.9580000000001</v>
          </cell>
        </row>
        <row r="94">
          <cell r="S94">
            <v>98.875</v>
          </cell>
        </row>
        <row r="111">
          <cell r="S111">
            <v>234.92700000000002</v>
          </cell>
        </row>
        <row r="132">
          <cell r="S132">
            <v>1629.46</v>
          </cell>
        </row>
        <row r="141">
          <cell r="S141">
            <v>221.48</v>
          </cell>
        </row>
        <row r="144">
          <cell r="S144">
            <v>362.27799999999996</v>
          </cell>
        </row>
        <row r="201">
          <cell r="S201">
            <v>28.5</v>
          </cell>
        </row>
      </sheetData>
      <sheetData sheetId="10">
        <row r="18">
          <cell r="J18">
            <v>3601.9500000000003</v>
          </cell>
          <cell r="S18">
            <v>2195.0249999999996</v>
          </cell>
        </row>
        <row r="23">
          <cell r="J23">
            <v>613.782</v>
          </cell>
          <cell r="S23">
            <v>442.169</v>
          </cell>
        </row>
        <row r="85">
          <cell r="J85">
            <v>1217.514</v>
          </cell>
          <cell r="S85">
            <v>741.9580000000001</v>
          </cell>
        </row>
        <row r="94">
          <cell r="J94">
            <v>162.25</v>
          </cell>
          <cell r="S94">
            <v>98.875</v>
          </cell>
        </row>
        <row r="111">
          <cell r="J111">
            <v>385.506</v>
          </cell>
          <cell r="S111">
            <v>234.92700000000002</v>
          </cell>
        </row>
        <row r="132">
          <cell r="J132">
            <v>2673.88</v>
          </cell>
          <cell r="S132">
            <v>1629.46</v>
          </cell>
        </row>
        <row r="141">
          <cell r="J141">
            <v>363.44</v>
          </cell>
          <cell r="S141">
            <v>221.48</v>
          </cell>
        </row>
        <row r="144">
          <cell r="J144">
            <v>594.484</v>
          </cell>
          <cell r="S144">
            <v>362.27799999999996</v>
          </cell>
        </row>
        <row r="201">
          <cell r="J201">
            <v>114</v>
          </cell>
          <cell r="S201">
            <v>28.5</v>
          </cell>
        </row>
      </sheetData>
      <sheetData sheetId="11">
        <row r="18">
          <cell r="J18">
            <v>3601.9500000000003</v>
          </cell>
          <cell r="S18">
            <v>2195.0249999999996</v>
          </cell>
        </row>
        <row r="23">
          <cell r="J23">
            <v>613.782</v>
          </cell>
          <cell r="S23">
            <v>442.169</v>
          </cell>
        </row>
        <row r="85">
          <cell r="J85">
            <v>1217.514</v>
          </cell>
          <cell r="S85">
            <v>741.9580000000001</v>
          </cell>
        </row>
        <row r="94">
          <cell r="J94">
            <v>162.25</v>
          </cell>
          <cell r="S94">
            <v>98.875</v>
          </cell>
        </row>
        <row r="111">
          <cell r="J111">
            <v>385.506</v>
          </cell>
          <cell r="S111">
            <v>234.92700000000002</v>
          </cell>
        </row>
        <row r="132">
          <cell r="J132">
            <v>2673.88</v>
          </cell>
          <cell r="S132">
            <v>1629.46</v>
          </cell>
        </row>
        <row r="141">
          <cell r="J141">
            <v>363.44</v>
          </cell>
          <cell r="S141">
            <v>221.48</v>
          </cell>
        </row>
        <row r="144">
          <cell r="J144">
            <v>594.484</v>
          </cell>
          <cell r="S144">
            <v>362.27799999999996</v>
          </cell>
        </row>
        <row r="156">
          <cell r="J156">
            <v>1200</v>
          </cell>
          <cell r="S156">
            <v>300</v>
          </cell>
        </row>
        <row r="221">
          <cell r="J221">
            <v>114</v>
          </cell>
          <cell r="S221">
            <v>28.5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8">
          <cell r="J18">
            <v>3601.9500000000003</v>
          </cell>
        </row>
        <row r="23">
          <cell r="J23">
            <v>613.782</v>
          </cell>
        </row>
        <row r="87">
          <cell r="J87">
            <v>636.02</v>
          </cell>
        </row>
        <row r="96">
          <cell r="J96">
            <v>162.25</v>
          </cell>
        </row>
        <row r="113">
          <cell r="J113">
            <v>385.506</v>
          </cell>
        </row>
        <row r="134">
          <cell r="J134">
            <v>3909.88</v>
          </cell>
        </row>
        <row r="195">
          <cell r="J195">
            <v>114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8">
          <cell r="J18">
            <v>3601.9500000000003</v>
          </cell>
        </row>
        <row r="23">
          <cell r="J23">
            <v>613.782</v>
          </cell>
        </row>
        <row r="85">
          <cell r="J85">
            <v>1217.514</v>
          </cell>
        </row>
        <row r="94">
          <cell r="J94">
            <v>162.25</v>
          </cell>
        </row>
        <row r="111">
          <cell r="J111">
            <v>385.506</v>
          </cell>
        </row>
        <row r="132">
          <cell r="J132">
            <v>2673.88</v>
          </cell>
        </row>
        <row r="141">
          <cell r="J141">
            <v>363.44</v>
          </cell>
        </row>
        <row r="144">
          <cell r="J144">
            <v>594.484</v>
          </cell>
        </row>
        <row r="201">
          <cell r="J201">
            <v>114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6">
          <cell r="J6">
            <v>4453.875</v>
          </cell>
          <cell r="S6">
            <v>2195.0249999999996</v>
          </cell>
        </row>
        <row r="9">
          <cell r="J9">
            <v>785.395</v>
          </cell>
          <cell r="S9">
            <v>442.169</v>
          </cell>
        </row>
        <row r="60">
          <cell r="J60">
            <v>1505.49</v>
          </cell>
          <cell r="S60">
            <v>741.9580000000001</v>
          </cell>
        </row>
        <row r="66">
          <cell r="J66">
            <v>200.625</v>
          </cell>
          <cell r="S66">
            <v>98.875</v>
          </cell>
        </row>
        <row r="104">
          <cell r="J104">
            <v>3306.3</v>
          </cell>
          <cell r="S104">
            <v>1629.46</v>
          </cell>
        </row>
        <row r="107">
          <cell r="J107">
            <v>449.40000000000003</v>
          </cell>
          <cell r="S107">
            <v>221.48</v>
          </cell>
        </row>
        <row r="112">
          <cell r="J112">
            <v>735.09</v>
          </cell>
          <cell r="S112">
            <v>362.27799999999996</v>
          </cell>
        </row>
        <row r="136">
          <cell r="J136">
            <v>476.685</v>
          </cell>
          <cell r="S136">
            <v>234.92700000000002</v>
          </cell>
        </row>
        <row r="158">
          <cell r="J158">
            <v>0</v>
          </cell>
          <cell r="S158">
            <v>0</v>
          </cell>
        </row>
        <row r="223">
          <cell r="J223">
            <v>114</v>
          </cell>
          <cell r="S223">
            <v>28.5</v>
          </cell>
        </row>
      </sheetData>
      <sheetData sheetId="2">
        <row r="6">
          <cell r="J6">
            <v>4453.875</v>
          </cell>
          <cell r="S6">
            <v>2195.0249999999996</v>
          </cell>
        </row>
        <row r="9">
          <cell r="J9">
            <v>785.395</v>
          </cell>
          <cell r="S9">
            <v>442.169</v>
          </cell>
        </row>
        <row r="58">
          <cell r="J58">
            <v>1505.49</v>
          </cell>
          <cell r="S58">
            <v>741.9580000000001</v>
          </cell>
        </row>
        <row r="64">
          <cell r="J64">
            <v>200.625</v>
          </cell>
          <cell r="S64">
            <v>98.875</v>
          </cell>
        </row>
        <row r="105">
          <cell r="J105">
            <v>3306.3</v>
          </cell>
          <cell r="S105">
            <v>1629.46</v>
          </cell>
        </row>
        <row r="108">
          <cell r="J108">
            <v>449.40000000000003</v>
          </cell>
          <cell r="S108">
            <v>221.48</v>
          </cell>
        </row>
        <row r="113">
          <cell r="J113">
            <v>735.09</v>
          </cell>
          <cell r="S113">
            <v>362.27799999999996</v>
          </cell>
        </row>
        <row r="137">
          <cell r="J137">
            <v>476.685</v>
          </cell>
          <cell r="S137">
            <v>234.92700000000002</v>
          </cell>
        </row>
        <row r="159">
          <cell r="J159">
            <v>600</v>
          </cell>
          <cell r="S159">
            <v>150</v>
          </cell>
        </row>
        <row r="224">
          <cell r="J224">
            <v>114</v>
          </cell>
          <cell r="S224">
            <v>28.5</v>
          </cell>
        </row>
      </sheetData>
      <sheetData sheetId="3">
        <row r="6">
          <cell r="J6">
            <v>4453.875</v>
          </cell>
          <cell r="S6">
            <v>2195.0249999999996</v>
          </cell>
        </row>
        <row r="9">
          <cell r="J9">
            <v>785.395</v>
          </cell>
          <cell r="S9">
            <v>442.169</v>
          </cell>
        </row>
        <row r="58">
          <cell r="J58">
            <v>1505.49</v>
          </cell>
          <cell r="S58">
            <v>741.9580000000001</v>
          </cell>
        </row>
        <row r="64">
          <cell r="J64">
            <v>200.625</v>
          </cell>
          <cell r="S64">
            <v>98.875</v>
          </cell>
        </row>
        <row r="105">
          <cell r="J105">
            <v>3306.3</v>
          </cell>
          <cell r="S105">
            <v>1629.46</v>
          </cell>
        </row>
        <row r="108">
          <cell r="J108">
            <v>449.40000000000003</v>
          </cell>
          <cell r="S108">
            <v>221.48</v>
          </cell>
        </row>
        <row r="113">
          <cell r="J113">
            <v>735.09</v>
          </cell>
          <cell r="S113">
            <v>362.27799999999996</v>
          </cell>
        </row>
        <row r="137">
          <cell r="J137">
            <v>476.685</v>
          </cell>
          <cell r="S137">
            <v>234.92700000000002</v>
          </cell>
        </row>
        <row r="159">
          <cell r="J159">
            <v>200</v>
          </cell>
          <cell r="S159">
            <v>50</v>
          </cell>
        </row>
        <row r="224">
          <cell r="J224">
            <v>114</v>
          </cell>
          <cell r="S224">
            <v>28.5</v>
          </cell>
        </row>
      </sheetData>
      <sheetData sheetId="4">
        <row r="6">
          <cell r="J6">
            <v>4453.875</v>
          </cell>
          <cell r="S6">
            <v>2195.0249999999996</v>
          </cell>
        </row>
        <row r="9">
          <cell r="J9">
            <v>785.395</v>
          </cell>
          <cell r="S9">
            <v>442.169</v>
          </cell>
        </row>
        <row r="57">
          <cell r="J57">
            <v>1505.49</v>
          </cell>
          <cell r="S57">
            <v>741.9580000000001</v>
          </cell>
        </row>
        <row r="64">
          <cell r="J64">
            <v>200.625</v>
          </cell>
          <cell r="S64">
            <v>98.875</v>
          </cell>
        </row>
        <row r="105">
          <cell r="J105">
            <v>3306.3</v>
          </cell>
          <cell r="S105">
            <v>1629.46</v>
          </cell>
        </row>
        <row r="108">
          <cell r="J108">
            <v>449.40000000000003</v>
          </cell>
          <cell r="S108">
            <v>221.48</v>
          </cell>
        </row>
        <row r="113">
          <cell r="J113">
            <v>735.09</v>
          </cell>
          <cell r="S113">
            <v>362.27799999999996</v>
          </cell>
        </row>
        <row r="137">
          <cell r="J137">
            <v>476.685</v>
          </cell>
          <cell r="S137">
            <v>234.92700000000002</v>
          </cell>
        </row>
        <row r="159">
          <cell r="J159">
            <v>200</v>
          </cell>
          <cell r="S159">
            <v>50</v>
          </cell>
        </row>
        <row r="230">
          <cell r="J230">
            <v>114</v>
          </cell>
          <cell r="S230">
            <v>28.5</v>
          </cell>
        </row>
      </sheetData>
      <sheetData sheetId="5">
        <row r="6">
          <cell r="J6">
            <v>4453.875</v>
          </cell>
          <cell r="S6">
            <v>2195.0249999999996</v>
          </cell>
        </row>
        <row r="9">
          <cell r="J9">
            <v>785.395</v>
          </cell>
          <cell r="S9">
            <v>442.169</v>
          </cell>
        </row>
        <row r="57">
          <cell r="J57">
            <v>1505.49</v>
          </cell>
          <cell r="S57">
            <v>741.9580000000001</v>
          </cell>
        </row>
        <row r="64">
          <cell r="J64">
            <v>200.625</v>
          </cell>
          <cell r="S64">
            <v>98.875</v>
          </cell>
        </row>
        <row r="105">
          <cell r="J105">
            <v>3306.3</v>
          </cell>
          <cell r="S105">
            <v>1629.46</v>
          </cell>
        </row>
        <row r="108">
          <cell r="J108">
            <v>449.40000000000003</v>
          </cell>
          <cell r="S108">
            <v>221.48</v>
          </cell>
        </row>
        <row r="113">
          <cell r="J113">
            <v>735.09</v>
          </cell>
          <cell r="S113">
            <v>362.27799999999996</v>
          </cell>
        </row>
        <row r="137">
          <cell r="J137">
            <v>476.685</v>
          </cell>
          <cell r="S137">
            <v>234.92700000000002</v>
          </cell>
        </row>
        <row r="165">
          <cell r="J165">
            <v>200</v>
          </cell>
          <cell r="S165">
            <v>50</v>
          </cell>
        </row>
        <row r="261">
          <cell r="J261">
            <v>114</v>
          </cell>
          <cell r="S261">
            <v>28.5</v>
          </cell>
        </row>
      </sheetData>
      <sheetData sheetId="6">
        <row r="6">
          <cell r="J6">
            <v>4453.875</v>
          </cell>
          <cell r="S6">
            <v>2195.0249999999996</v>
          </cell>
        </row>
        <row r="9">
          <cell r="J9">
            <v>785.395</v>
          </cell>
          <cell r="S9">
            <v>442.169</v>
          </cell>
        </row>
        <row r="57">
          <cell r="J57">
            <v>1505.49</v>
          </cell>
          <cell r="S57">
            <v>741.9580000000001</v>
          </cell>
        </row>
        <row r="64">
          <cell r="J64">
            <v>200.625</v>
          </cell>
          <cell r="S64">
            <v>98.875</v>
          </cell>
        </row>
        <row r="107">
          <cell r="J107">
            <v>3306.3</v>
          </cell>
          <cell r="S107">
            <v>1629.46</v>
          </cell>
        </row>
        <row r="110">
          <cell r="J110">
            <v>449.40000000000003</v>
          </cell>
          <cell r="S110">
            <v>221.48</v>
          </cell>
        </row>
        <row r="115">
          <cell r="J115">
            <v>735.09</v>
          </cell>
          <cell r="S115">
            <v>362.27799999999996</v>
          </cell>
        </row>
        <row r="139">
          <cell r="J139">
            <v>476.685</v>
          </cell>
          <cell r="S139">
            <v>234.92700000000002</v>
          </cell>
        </row>
        <row r="167">
          <cell r="J167">
            <v>200</v>
          </cell>
          <cell r="S167">
            <v>50</v>
          </cell>
        </row>
        <row r="263">
          <cell r="J263">
            <v>114</v>
          </cell>
          <cell r="S263">
            <v>28.5</v>
          </cell>
        </row>
      </sheetData>
      <sheetData sheetId="7">
        <row r="6">
          <cell r="J6">
            <v>4453.875</v>
          </cell>
          <cell r="S6">
            <v>2195.0249999999996</v>
          </cell>
        </row>
        <row r="9">
          <cell r="J9">
            <v>785.395</v>
          </cell>
          <cell r="S9">
            <v>442.169</v>
          </cell>
        </row>
        <row r="57">
          <cell r="J57">
            <v>1505.49</v>
          </cell>
          <cell r="S57">
            <v>741.9580000000001</v>
          </cell>
        </row>
        <row r="64">
          <cell r="J64">
            <v>200.625</v>
          </cell>
          <cell r="S64">
            <v>98.875</v>
          </cell>
        </row>
        <row r="107">
          <cell r="J107">
            <v>3306.3</v>
          </cell>
          <cell r="S107">
            <v>1629.46</v>
          </cell>
        </row>
        <row r="110">
          <cell r="J110">
            <v>449.40000000000003</v>
          </cell>
          <cell r="S110">
            <v>221.48</v>
          </cell>
        </row>
        <row r="115">
          <cell r="J115">
            <v>735.09</v>
          </cell>
          <cell r="S115">
            <v>362.27799999999996</v>
          </cell>
        </row>
        <row r="139">
          <cell r="J139">
            <v>476.685</v>
          </cell>
          <cell r="S139">
            <v>234.92700000000002</v>
          </cell>
        </row>
        <row r="167">
          <cell r="J167">
            <v>200</v>
          </cell>
          <cell r="S167">
            <v>50</v>
          </cell>
        </row>
        <row r="263">
          <cell r="J263">
            <v>114</v>
          </cell>
          <cell r="S263">
            <v>28.5</v>
          </cell>
        </row>
        <row r="295">
          <cell r="J295">
            <v>2400</v>
          </cell>
          <cell r="S295">
            <v>600</v>
          </cell>
        </row>
      </sheetData>
      <sheetData sheetId="8">
        <row r="6">
          <cell r="J6">
            <v>4453.875</v>
          </cell>
          <cell r="S6">
            <v>2195.0249999999996</v>
          </cell>
        </row>
        <row r="9">
          <cell r="J9">
            <v>785.395</v>
          </cell>
          <cell r="S9">
            <v>442.169</v>
          </cell>
        </row>
        <row r="57">
          <cell r="J57">
            <v>1505.49</v>
          </cell>
          <cell r="S57">
            <v>741.9580000000001</v>
          </cell>
        </row>
        <row r="64">
          <cell r="J64">
            <v>200.625</v>
          </cell>
          <cell r="S64">
            <v>98.875</v>
          </cell>
        </row>
        <row r="107">
          <cell r="J107">
            <v>3306.3</v>
          </cell>
          <cell r="S107">
            <v>1629.46</v>
          </cell>
        </row>
        <row r="110">
          <cell r="J110">
            <v>449.40000000000003</v>
          </cell>
          <cell r="S110">
            <v>221.48</v>
          </cell>
        </row>
        <row r="115">
          <cell r="J115">
            <v>735.09</v>
          </cell>
          <cell r="S115">
            <v>362.27799999999996</v>
          </cell>
        </row>
        <row r="138">
          <cell r="J138">
            <v>476.685</v>
          </cell>
          <cell r="S138">
            <v>234.92700000000002</v>
          </cell>
        </row>
        <row r="170">
          <cell r="J170">
            <v>200</v>
          </cell>
          <cell r="S170">
            <v>50</v>
          </cell>
        </row>
        <row r="263">
          <cell r="J263">
            <v>114</v>
          </cell>
          <cell r="S263">
            <v>28.5</v>
          </cell>
        </row>
        <row r="295">
          <cell r="J295">
            <v>800</v>
          </cell>
          <cell r="S295">
            <v>200</v>
          </cell>
        </row>
      </sheetData>
      <sheetData sheetId="9">
        <row r="6">
          <cell r="J6">
            <v>4453.875</v>
          </cell>
          <cell r="S6">
            <v>2195.0249999999996</v>
          </cell>
        </row>
        <row r="9">
          <cell r="J9">
            <v>785.395</v>
          </cell>
          <cell r="S9">
            <v>442.169</v>
          </cell>
        </row>
        <row r="57">
          <cell r="J57">
            <v>1505.49</v>
          </cell>
          <cell r="S57">
            <v>741.9580000000001</v>
          </cell>
        </row>
        <row r="64">
          <cell r="J64">
            <v>200.625</v>
          </cell>
          <cell r="S64">
            <v>98.875</v>
          </cell>
        </row>
        <row r="106">
          <cell r="J106">
            <v>3306.3</v>
          </cell>
          <cell r="S106">
            <v>1629.46</v>
          </cell>
        </row>
        <row r="109">
          <cell r="J109">
            <v>449.40000000000003</v>
          </cell>
          <cell r="S109">
            <v>221.48</v>
          </cell>
        </row>
        <row r="114">
          <cell r="J114">
            <v>735.09</v>
          </cell>
          <cell r="S114">
            <v>362.27799999999996</v>
          </cell>
        </row>
        <row r="137">
          <cell r="J137">
            <v>476.685</v>
          </cell>
          <cell r="S137">
            <v>234.92700000000002</v>
          </cell>
        </row>
        <row r="169">
          <cell r="J169">
            <v>200</v>
          </cell>
          <cell r="S169">
            <v>50</v>
          </cell>
        </row>
        <row r="262">
          <cell r="J262">
            <v>114</v>
          </cell>
          <cell r="S262">
            <v>28.5</v>
          </cell>
        </row>
        <row r="294">
          <cell r="J294">
            <v>800</v>
          </cell>
          <cell r="S294">
            <v>200</v>
          </cell>
        </row>
      </sheetData>
      <sheetData sheetId="10">
        <row r="6">
          <cell r="J6">
            <v>4453.875</v>
          </cell>
          <cell r="S6">
            <v>2195.0249999999996</v>
          </cell>
        </row>
        <row r="9">
          <cell r="J9">
            <v>785.395</v>
          </cell>
          <cell r="S9">
            <v>442.169</v>
          </cell>
        </row>
        <row r="57">
          <cell r="J57">
            <v>1505.49</v>
          </cell>
          <cell r="S57">
            <v>741.9580000000001</v>
          </cell>
        </row>
        <row r="64">
          <cell r="J64">
            <v>200.625</v>
          </cell>
          <cell r="S64">
            <v>98.875</v>
          </cell>
        </row>
        <row r="106">
          <cell r="J106">
            <v>3306.3</v>
          </cell>
          <cell r="S106">
            <v>1629.46</v>
          </cell>
        </row>
        <row r="109">
          <cell r="J109">
            <v>449.40000000000003</v>
          </cell>
          <cell r="S109">
            <v>221.48</v>
          </cell>
        </row>
        <row r="114">
          <cell r="J114">
            <v>735.09</v>
          </cell>
          <cell r="S114">
            <v>362.27799999999996</v>
          </cell>
        </row>
        <row r="137">
          <cell r="J137">
            <v>476.685</v>
          </cell>
          <cell r="S137">
            <v>234.92700000000002</v>
          </cell>
        </row>
        <row r="171">
          <cell r="J171">
            <v>200</v>
          </cell>
          <cell r="S171">
            <v>50</v>
          </cell>
        </row>
        <row r="264">
          <cell r="J264">
            <v>114</v>
          </cell>
          <cell r="S264">
            <v>28.5</v>
          </cell>
        </row>
        <row r="296">
          <cell r="J296">
            <v>800</v>
          </cell>
          <cell r="S296">
            <v>200</v>
          </cell>
        </row>
      </sheetData>
      <sheetData sheetId="11">
        <row r="6">
          <cell r="J6">
            <v>4453.875</v>
          </cell>
          <cell r="S6">
            <v>2195.0249999999996</v>
          </cell>
        </row>
        <row r="9">
          <cell r="J9">
            <v>785.395</v>
          </cell>
          <cell r="S9">
            <v>442.169</v>
          </cell>
        </row>
        <row r="57">
          <cell r="J57">
            <v>1505.49</v>
          </cell>
          <cell r="S57">
            <v>741.9580000000001</v>
          </cell>
        </row>
        <row r="64">
          <cell r="J64">
            <v>200.625</v>
          </cell>
          <cell r="S64">
            <v>98.875</v>
          </cell>
        </row>
        <row r="106">
          <cell r="J106">
            <v>3306.3</v>
          </cell>
          <cell r="S106">
            <v>1629.46</v>
          </cell>
        </row>
        <row r="109">
          <cell r="J109">
            <v>449.40000000000003</v>
          </cell>
          <cell r="S109">
            <v>221.48</v>
          </cell>
        </row>
        <row r="114">
          <cell r="J114">
            <v>735.09</v>
          </cell>
          <cell r="S114">
            <v>362.27799999999996</v>
          </cell>
        </row>
        <row r="137">
          <cell r="J137">
            <v>476.685</v>
          </cell>
          <cell r="S137">
            <v>234.92700000000002</v>
          </cell>
        </row>
        <row r="173">
          <cell r="J173">
            <v>200</v>
          </cell>
          <cell r="S173">
            <v>50</v>
          </cell>
        </row>
        <row r="266">
          <cell r="J266">
            <v>114</v>
          </cell>
          <cell r="S266">
            <v>28.5</v>
          </cell>
        </row>
        <row r="298">
          <cell r="J298">
            <v>800</v>
          </cell>
          <cell r="S298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8">
          <cell r="I18">
            <v>3605.2345</v>
          </cell>
        </row>
        <row r="22">
          <cell r="I22">
            <v>614.1062199999999</v>
          </cell>
        </row>
      </sheetData>
      <sheetData sheetId="1">
        <row r="18">
          <cell r="I18">
            <v>3605.2345</v>
          </cell>
        </row>
        <row r="22">
          <cell r="I22">
            <v>614.1062199999999</v>
          </cell>
        </row>
      </sheetData>
      <sheetData sheetId="6">
        <row r="19">
          <cell r="I19">
            <v>3605.2345</v>
          </cell>
        </row>
        <row r="23">
          <cell r="I23">
            <v>614.1062199999999</v>
          </cell>
        </row>
        <row r="56">
          <cell r="I56">
            <v>162.40749999999997</v>
          </cell>
        </row>
        <row r="84">
          <cell r="I84">
            <v>636.5881999999999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8">
          <cell r="O18">
            <v>1296.0954405000002</v>
          </cell>
        </row>
        <row r="22">
          <cell r="O22">
            <v>261.08733378</v>
          </cell>
        </row>
      </sheetData>
      <sheetData sheetId="1">
        <row r="18">
          <cell r="O18">
            <v>1298.043768</v>
          </cell>
        </row>
        <row r="22">
          <cell r="O22">
            <v>261.47980768</v>
          </cell>
        </row>
      </sheetData>
      <sheetData sheetId="2">
        <row r="18">
          <cell r="O18">
            <v>1270.81793775</v>
          </cell>
        </row>
        <row r="22">
          <cell r="O22">
            <v>255.99539718999998</v>
          </cell>
        </row>
      </sheetData>
      <sheetData sheetId="3">
        <row r="18">
          <cell r="I18">
            <v>3048.5695</v>
          </cell>
          <cell r="O18">
            <v>1307.074839</v>
          </cell>
        </row>
        <row r="22">
          <cell r="I22">
            <v>614.1062199999999</v>
          </cell>
          <cell r="O22">
            <v>263.29903964</v>
          </cell>
        </row>
      </sheetData>
      <sheetData sheetId="4">
        <row r="18">
          <cell r="O18">
            <v>1459.0839936500001</v>
          </cell>
        </row>
        <row r="22">
          <cell r="O22">
            <v>293.922359874</v>
          </cell>
        </row>
      </sheetData>
      <sheetData sheetId="5">
        <row r="18">
          <cell r="I18">
            <v>4718.5645</v>
          </cell>
          <cell r="O18">
            <v>1381.3110285</v>
          </cell>
        </row>
        <row r="22">
          <cell r="I22">
            <v>614.1062199999999</v>
          </cell>
          <cell r="O22">
            <v>278.25328466</v>
          </cell>
        </row>
      </sheetData>
      <sheetData sheetId="6">
        <row r="19">
          <cell r="O19">
            <v>1440.6253215</v>
          </cell>
        </row>
        <row r="23">
          <cell r="O23">
            <v>290.20164134</v>
          </cell>
        </row>
        <row r="56">
          <cell r="O56">
            <v>64.8930325</v>
          </cell>
        </row>
        <row r="84">
          <cell r="O84">
            <v>254.38068740000006</v>
          </cell>
        </row>
      </sheetData>
      <sheetData sheetId="7">
        <row r="19">
          <cell r="O19">
            <v>1439.9707489500001</v>
          </cell>
        </row>
        <row r="23">
          <cell r="O23">
            <v>290.069783302</v>
          </cell>
        </row>
        <row r="57">
          <cell r="O57">
            <v>64.86354725</v>
          </cell>
        </row>
        <row r="85">
          <cell r="O85">
            <v>254.26510522</v>
          </cell>
        </row>
      </sheetData>
      <sheetData sheetId="8">
        <row r="19">
          <cell r="O19">
            <v>1439.7529619549998</v>
          </cell>
        </row>
        <row r="23">
          <cell r="O23">
            <v>290.0259119758</v>
          </cell>
        </row>
        <row r="57">
          <cell r="O57">
            <v>64.853737025</v>
          </cell>
        </row>
        <row r="85">
          <cell r="O85">
            <v>254.22664913800003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9">
          <cell r="O19">
            <v>1451.0571499999999</v>
          </cell>
        </row>
        <row r="24">
          <cell r="O24">
            <v>292.279614</v>
          </cell>
        </row>
        <row r="59">
          <cell r="O59">
            <v>65.33285</v>
          </cell>
        </row>
        <row r="92">
          <cell r="O92">
            <v>256.19634</v>
          </cell>
        </row>
        <row r="116">
          <cell r="O116">
            <v>29.7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19">
          <cell r="I19">
            <v>3605.2445000000002</v>
          </cell>
        </row>
        <row r="24">
          <cell r="I24">
            <v>614.1062199999999</v>
          </cell>
        </row>
        <row r="57">
          <cell r="I57">
            <v>162.40749999999997</v>
          </cell>
        </row>
        <row r="90">
          <cell r="I90">
            <v>636.5881999999999</v>
          </cell>
        </row>
        <row r="115">
          <cell r="I115">
            <v>385.85645999999997</v>
          </cell>
        </row>
      </sheetData>
      <sheetData sheetId="2">
        <row r="19">
          <cell r="M19">
            <v>1451.325</v>
          </cell>
        </row>
        <row r="24">
          <cell r="M24">
            <v>292.35699999999997</v>
          </cell>
        </row>
        <row r="58">
          <cell r="M58">
            <v>65.375</v>
          </cell>
        </row>
        <row r="91">
          <cell r="M91">
            <v>256.27</v>
          </cell>
        </row>
        <row r="116">
          <cell r="M116">
            <v>155.331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19">
          <cell r="I19">
            <v>3605.2445000000002</v>
          </cell>
          <cell r="M19">
            <v>1451.325</v>
          </cell>
        </row>
        <row r="24">
          <cell r="I24">
            <v>614.1062199999999</v>
          </cell>
          <cell r="M24">
            <v>292.35699999999997</v>
          </cell>
        </row>
        <row r="58">
          <cell r="I58">
            <v>162.40749999999997</v>
          </cell>
          <cell r="M58">
            <v>65.375</v>
          </cell>
        </row>
        <row r="91">
          <cell r="I91">
            <v>636.5881999999999</v>
          </cell>
          <cell r="M91">
            <v>256.27</v>
          </cell>
        </row>
        <row r="116">
          <cell r="I116">
            <v>385.85645999999997</v>
          </cell>
          <cell r="M116">
            <v>155.331</v>
          </cell>
        </row>
      </sheetData>
      <sheetData sheetId="4">
        <row r="19">
          <cell r="I19">
            <v>3605.2445000000002</v>
          </cell>
          <cell r="M19">
            <v>1451.325</v>
          </cell>
        </row>
        <row r="24">
          <cell r="I24">
            <v>614.1062199999999</v>
          </cell>
          <cell r="M24">
            <v>292.35699999999997</v>
          </cell>
        </row>
        <row r="58">
          <cell r="I58">
            <v>162.40749999999997</v>
          </cell>
          <cell r="M58">
            <v>65.375</v>
          </cell>
        </row>
        <row r="91">
          <cell r="I91">
            <v>636.5881999999999</v>
          </cell>
          <cell r="M91">
            <v>256.27</v>
          </cell>
        </row>
        <row r="116">
          <cell r="I116">
            <v>385.85645999999997</v>
          </cell>
          <cell r="M116">
            <v>155.331</v>
          </cell>
        </row>
      </sheetData>
      <sheetData sheetId="5">
        <row r="19">
          <cell r="I19">
            <v>3605.2445000000002</v>
          </cell>
          <cell r="M19">
            <v>1451.325</v>
          </cell>
        </row>
        <row r="24">
          <cell r="I24">
            <v>614.1062199999999</v>
          </cell>
          <cell r="M24">
            <v>292.35699999999997</v>
          </cell>
        </row>
        <row r="89">
          <cell r="I89">
            <v>636.5881999999999</v>
          </cell>
          <cell r="M89">
            <v>256.27</v>
          </cell>
        </row>
        <row r="113">
          <cell r="I113">
            <v>385.85645999999997</v>
          </cell>
          <cell r="M113">
            <v>155.331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18">
          <cell r="I18">
            <v>3605.2445000000002</v>
          </cell>
        </row>
        <row r="23">
          <cell r="I23">
            <v>614.1062199999999</v>
          </cell>
        </row>
        <row r="88">
          <cell r="I88">
            <v>636.5881999999999</v>
          </cell>
        </row>
        <row r="112">
          <cell r="I112">
            <v>385.85645999999997</v>
          </cell>
        </row>
      </sheetData>
      <sheetData sheetId="9">
        <row r="18">
          <cell r="I18">
            <v>3605.2445000000002</v>
          </cell>
          <cell r="M18">
            <v>1451.325</v>
          </cell>
        </row>
        <row r="23">
          <cell r="I23">
            <v>614.1062199999999</v>
          </cell>
          <cell r="M23">
            <v>292.35699999999997</v>
          </cell>
        </row>
        <row r="88">
          <cell r="I88">
            <v>636.5881999999999</v>
          </cell>
          <cell r="M88">
            <v>256.27</v>
          </cell>
        </row>
        <row r="113">
          <cell r="I113">
            <v>385.85645999999997</v>
          </cell>
          <cell r="M113">
            <v>155.331</v>
          </cell>
        </row>
      </sheetData>
      <sheetData sheetId="10">
        <row r="18">
          <cell r="I18">
            <v>3605.2445000000002</v>
          </cell>
          <cell r="M18">
            <v>1451.325</v>
          </cell>
        </row>
        <row r="23">
          <cell r="I23">
            <v>614.1062199999999</v>
          </cell>
          <cell r="M23">
            <v>292.35699999999997</v>
          </cell>
        </row>
        <row r="88">
          <cell r="I88">
            <v>636.5881999999999</v>
          </cell>
          <cell r="M88">
            <v>256.27</v>
          </cell>
        </row>
        <row r="112">
          <cell r="I112">
            <v>385.85645999999997</v>
          </cell>
          <cell r="M112">
            <v>155.331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11">
        <row r="18">
          <cell r="I18">
            <v>3605.2445000000002</v>
          </cell>
          <cell r="M18">
            <v>1451.325</v>
          </cell>
        </row>
        <row r="23">
          <cell r="I23">
            <v>614.1062199999999</v>
          </cell>
          <cell r="M23">
            <v>292.35699999999997</v>
          </cell>
        </row>
        <row r="88">
          <cell r="I88">
            <v>636.5881999999999</v>
          </cell>
          <cell r="M88">
            <v>256.27</v>
          </cell>
        </row>
        <row r="97">
          <cell r="I97">
            <v>487.2025</v>
          </cell>
          <cell r="M97">
            <v>37.5</v>
          </cell>
        </row>
        <row r="113">
          <cell r="I113">
            <v>385.85645999999997</v>
          </cell>
          <cell r="M113">
            <v>155.331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M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44" sqref="AG44:BA4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6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73" t="s">
        <v>89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74" t="s">
        <v>0</v>
      </c>
      <c r="B3" s="277" t="s">
        <v>1</v>
      </c>
      <c r="C3" s="277" t="s">
        <v>2</v>
      </c>
      <c r="D3" s="277" t="s">
        <v>3</v>
      </c>
      <c r="E3" s="280" t="s">
        <v>4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97" t="s">
        <v>5</v>
      </c>
      <c r="T3" s="297"/>
      <c r="U3" s="298" t="s">
        <v>6</v>
      </c>
      <c r="V3" s="298"/>
      <c r="W3" s="298"/>
      <c r="X3" s="298"/>
      <c r="Y3" s="298"/>
      <c r="Z3" s="298"/>
      <c r="AA3" s="298"/>
      <c r="AB3" s="298"/>
      <c r="AC3" s="300" t="s">
        <v>87</v>
      </c>
      <c r="AD3" s="300" t="s">
        <v>8</v>
      </c>
      <c r="AE3" s="303" t="s">
        <v>9</v>
      </c>
      <c r="AF3" s="310" t="s">
        <v>75</v>
      </c>
      <c r="AG3" s="313" t="s">
        <v>10</v>
      </c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289" t="s">
        <v>76</v>
      </c>
      <c r="BD3" s="294" t="s">
        <v>11</v>
      </c>
      <c r="BE3" s="282" t="s">
        <v>12</v>
      </c>
    </row>
    <row r="4" spans="1:57" ht="36" customHeight="1" thickBot="1">
      <c r="A4" s="275"/>
      <c r="B4" s="278"/>
      <c r="C4" s="278"/>
      <c r="D4" s="278"/>
      <c r="E4" s="281" t="s">
        <v>13</v>
      </c>
      <c r="F4" s="281"/>
      <c r="G4" s="281" t="s">
        <v>14</v>
      </c>
      <c r="H4" s="281"/>
      <c r="I4" s="281" t="s">
        <v>15</v>
      </c>
      <c r="J4" s="281"/>
      <c r="K4" s="281" t="s">
        <v>16</v>
      </c>
      <c r="L4" s="281"/>
      <c r="M4" s="281" t="s">
        <v>17</v>
      </c>
      <c r="N4" s="281"/>
      <c r="O4" s="281" t="s">
        <v>18</v>
      </c>
      <c r="P4" s="281"/>
      <c r="Q4" s="281" t="s">
        <v>19</v>
      </c>
      <c r="R4" s="281"/>
      <c r="S4" s="281"/>
      <c r="T4" s="281"/>
      <c r="U4" s="299"/>
      <c r="V4" s="299"/>
      <c r="W4" s="299"/>
      <c r="X4" s="299"/>
      <c r="Y4" s="299"/>
      <c r="Z4" s="299"/>
      <c r="AA4" s="299"/>
      <c r="AB4" s="299"/>
      <c r="AC4" s="301"/>
      <c r="AD4" s="301"/>
      <c r="AE4" s="304"/>
      <c r="AF4" s="311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90"/>
      <c r="BD4" s="295"/>
      <c r="BE4" s="283"/>
    </row>
    <row r="5" spans="1:57" ht="29.25" customHeight="1" thickBot="1">
      <c r="A5" s="275"/>
      <c r="B5" s="278"/>
      <c r="C5" s="278"/>
      <c r="D5" s="278"/>
      <c r="E5" s="292" t="s">
        <v>20</v>
      </c>
      <c r="F5" s="292" t="s">
        <v>21</v>
      </c>
      <c r="G5" s="292" t="s">
        <v>20</v>
      </c>
      <c r="H5" s="292" t="s">
        <v>21</v>
      </c>
      <c r="I5" s="292" t="s">
        <v>20</v>
      </c>
      <c r="J5" s="292" t="s">
        <v>21</v>
      </c>
      <c r="K5" s="292" t="s">
        <v>20</v>
      </c>
      <c r="L5" s="292" t="s">
        <v>21</v>
      </c>
      <c r="M5" s="292" t="s">
        <v>20</v>
      </c>
      <c r="N5" s="292" t="s">
        <v>21</v>
      </c>
      <c r="O5" s="292" t="s">
        <v>20</v>
      </c>
      <c r="P5" s="292" t="s">
        <v>21</v>
      </c>
      <c r="Q5" s="292" t="s">
        <v>20</v>
      </c>
      <c r="R5" s="292" t="s">
        <v>21</v>
      </c>
      <c r="S5" s="292" t="s">
        <v>20</v>
      </c>
      <c r="T5" s="292" t="s">
        <v>21</v>
      </c>
      <c r="U5" s="306" t="s">
        <v>22</v>
      </c>
      <c r="V5" s="306" t="s">
        <v>23</v>
      </c>
      <c r="W5" s="306" t="s">
        <v>24</v>
      </c>
      <c r="X5" s="306" t="s">
        <v>25</v>
      </c>
      <c r="Y5" s="306" t="s">
        <v>26</v>
      </c>
      <c r="Z5" s="306" t="s">
        <v>27</v>
      </c>
      <c r="AA5" s="306" t="s">
        <v>28</v>
      </c>
      <c r="AB5" s="306" t="s">
        <v>29</v>
      </c>
      <c r="AC5" s="301"/>
      <c r="AD5" s="301"/>
      <c r="AE5" s="304"/>
      <c r="AF5" s="311"/>
      <c r="AG5" s="285" t="s">
        <v>30</v>
      </c>
      <c r="AH5" s="285" t="s">
        <v>31</v>
      </c>
      <c r="AI5" s="285" t="s">
        <v>32</v>
      </c>
      <c r="AJ5" s="285" t="s">
        <v>33</v>
      </c>
      <c r="AK5" s="285" t="s">
        <v>34</v>
      </c>
      <c r="AL5" s="285" t="s">
        <v>33</v>
      </c>
      <c r="AM5" s="285" t="s">
        <v>35</v>
      </c>
      <c r="AN5" s="285" t="s">
        <v>33</v>
      </c>
      <c r="AO5" s="285" t="s">
        <v>36</v>
      </c>
      <c r="AP5" s="285" t="s">
        <v>33</v>
      </c>
      <c r="AQ5" s="317" t="s">
        <v>80</v>
      </c>
      <c r="AR5" s="319" t="s">
        <v>33</v>
      </c>
      <c r="AS5" s="287" t="s">
        <v>81</v>
      </c>
      <c r="AT5" s="308" t="s">
        <v>82</v>
      </c>
      <c r="AU5" s="308" t="s">
        <v>33</v>
      </c>
      <c r="AV5" s="314" t="s">
        <v>83</v>
      </c>
      <c r="AW5" s="315"/>
      <c r="AX5" s="316"/>
      <c r="AY5" s="285" t="s">
        <v>19</v>
      </c>
      <c r="AZ5" s="285" t="s">
        <v>38</v>
      </c>
      <c r="BA5" s="285" t="s">
        <v>33</v>
      </c>
      <c r="BB5" s="285" t="s">
        <v>39</v>
      </c>
      <c r="BC5" s="290"/>
      <c r="BD5" s="295"/>
      <c r="BE5" s="283"/>
    </row>
    <row r="6" spans="1:57" ht="54" customHeight="1" thickBot="1">
      <c r="A6" s="276"/>
      <c r="B6" s="279"/>
      <c r="C6" s="279"/>
      <c r="D6" s="279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307"/>
      <c r="V6" s="307"/>
      <c r="W6" s="307"/>
      <c r="X6" s="307"/>
      <c r="Y6" s="307"/>
      <c r="Z6" s="307"/>
      <c r="AA6" s="307"/>
      <c r="AB6" s="307"/>
      <c r="AC6" s="302"/>
      <c r="AD6" s="302"/>
      <c r="AE6" s="305"/>
      <c r="AF6" s="312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318"/>
      <c r="AR6" s="320"/>
      <c r="AS6" s="288"/>
      <c r="AT6" s="309"/>
      <c r="AU6" s="309"/>
      <c r="AV6" s="120" t="s">
        <v>84</v>
      </c>
      <c r="AW6" s="120" t="s">
        <v>85</v>
      </c>
      <c r="AX6" s="120" t="s">
        <v>86</v>
      </c>
      <c r="AY6" s="286"/>
      <c r="AZ6" s="286"/>
      <c r="BA6" s="286"/>
      <c r="BB6" s="286"/>
      <c r="BC6" s="291"/>
      <c r="BD6" s="296"/>
      <c r="BE6" s="284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4">
        <v>5357.9</v>
      </c>
      <c r="C9" s="105">
        <f>B9*8.65</f>
        <v>46345.835</v>
      </c>
      <c r="D9" s="106">
        <f>C9*0.24088</f>
        <v>11163.7847348</v>
      </c>
      <c r="E9" s="107">
        <v>3536.74</v>
      </c>
      <c r="F9" s="107">
        <v>944.11</v>
      </c>
      <c r="G9" s="107">
        <v>4774.69</v>
      </c>
      <c r="H9" s="107">
        <v>1274.56</v>
      </c>
      <c r="I9" s="107">
        <v>11494.53</v>
      </c>
      <c r="J9" s="107">
        <v>3068.37</v>
      </c>
      <c r="K9" s="107">
        <v>7957.77</v>
      </c>
      <c r="L9" s="107">
        <v>2124.26</v>
      </c>
      <c r="M9" s="107">
        <v>2829.37</v>
      </c>
      <c r="N9" s="107">
        <v>755.31</v>
      </c>
      <c r="O9" s="107">
        <v>0</v>
      </c>
      <c r="P9" s="107">
        <v>0</v>
      </c>
      <c r="Q9" s="107">
        <v>0</v>
      </c>
      <c r="R9" s="107">
        <v>0</v>
      </c>
      <c r="S9" s="91">
        <f>E9+G9+I9+K9+M9+O9+Q9</f>
        <v>30593.1</v>
      </c>
      <c r="T9" s="108">
        <f>P9+N9+L9+J9+H9+F9+R9</f>
        <v>8166.61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109">
        <v>0</v>
      </c>
      <c r="AA9" s="109">
        <v>0</v>
      </c>
      <c r="AB9" s="109">
        <f>SUM(U9:AA9)</f>
        <v>0</v>
      </c>
      <c r="AC9" s="110">
        <f>D9+T9+AB9</f>
        <v>19330.3947348</v>
      </c>
      <c r="AD9" s="111">
        <f>P9+Z9</f>
        <v>0</v>
      </c>
      <c r="AE9" s="102">
        <f>R9+AA9</f>
        <v>0</v>
      </c>
      <c r="AF9" s="102"/>
      <c r="AG9" s="16">
        <f>0.6*B9</f>
        <v>3214.74</v>
      </c>
      <c r="AH9" s="16">
        <f>B9*0.2*1.05826</f>
        <v>1134.0102508</v>
      </c>
      <c r="AI9" s="16">
        <f>0.8518*B9-0.01</f>
        <v>4563.849219999999</v>
      </c>
      <c r="AJ9" s="16">
        <f>AI9*0.18</f>
        <v>821.4928595999999</v>
      </c>
      <c r="AK9" s="16">
        <f>1.04*B9*0.9531</f>
        <v>5310.879069599999</v>
      </c>
      <c r="AL9" s="16">
        <f>AK9*0.18</f>
        <v>955.9582325279997</v>
      </c>
      <c r="AM9" s="16">
        <f>(1.91)*B9*0.9531</f>
        <v>9753.633675899997</v>
      </c>
      <c r="AN9" s="16">
        <f>AM9*0.18</f>
        <v>1755.6540616619993</v>
      </c>
      <c r="AO9" s="16"/>
      <c r="AP9" s="16">
        <f>AO9*0.18</f>
        <v>0</v>
      </c>
      <c r="AQ9" s="16"/>
      <c r="AR9" s="16"/>
      <c r="AS9" s="97"/>
      <c r="AT9" s="97"/>
      <c r="AU9" s="48">
        <f>AS9*0.18</f>
        <v>0</v>
      </c>
      <c r="AV9" s="48"/>
      <c r="AW9" s="48"/>
      <c r="AX9" s="31">
        <v>0</v>
      </c>
      <c r="AY9" s="31">
        <v>0</v>
      </c>
      <c r="AZ9" s="31">
        <v>0</v>
      </c>
      <c r="BA9" s="14">
        <f aca="true" t="shared" si="0" ref="BA9:BA25">AZ9*0.18</f>
        <v>0</v>
      </c>
      <c r="BB9" s="14">
        <f>SUM(AG9:BA9)</f>
        <v>27510.217370089995</v>
      </c>
      <c r="BC9" s="14">
        <v>0</v>
      </c>
      <c r="BD9" s="14">
        <f>AC9-BB9</f>
        <v>-8179.822635289995</v>
      </c>
      <c r="BE9" s="30">
        <f>AB9-S9</f>
        <v>-30593.1</v>
      </c>
    </row>
    <row r="10" spans="1:57" ht="12.75">
      <c r="A10" s="11" t="s">
        <v>42</v>
      </c>
      <c r="B10" s="104">
        <v>5357.9</v>
      </c>
      <c r="C10" s="105">
        <f>B10*8.65</f>
        <v>46345.835</v>
      </c>
      <c r="D10" s="106">
        <f>C10*0.24088</f>
        <v>11163.7847348</v>
      </c>
      <c r="E10" s="107">
        <v>3343.85</v>
      </c>
      <c r="F10" s="107">
        <v>906.69</v>
      </c>
      <c r="G10" s="107">
        <v>4518.56</v>
      </c>
      <c r="H10" s="107">
        <v>1224.09</v>
      </c>
      <c r="I10" s="107">
        <v>10878.41</v>
      </c>
      <c r="J10" s="107">
        <v>2646.68</v>
      </c>
      <c r="K10" s="107">
        <v>7531.19</v>
      </c>
      <c r="L10" s="107">
        <v>2039.98</v>
      </c>
      <c r="M10" s="107">
        <v>2677.69</v>
      </c>
      <c r="N10" s="107">
        <v>725.38</v>
      </c>
      <c r="O10" s="107">
        <v>0</v>
      </c>
      <c r="P10" s="107">
        <v>0</v>
      </c>
      <c r="Q10" s="107">
        <v>0</v>
      </c>
      <c r="R10" s="107">
        <v>0</v>
      </c>
      <c r="S10" s="91">
        <f>E10+G10+I10+K10+M10+O10+Q10</f>
        <v>28949.699999999997</v>
      </c>
      <c r="T10" s="108">
        <f>P10+N10+L10+J10+H10+F10+R10</f>
        <v>7542.82</v>
      </c>
      <c r="U10" s="91">
        <v>2366.24</v>
      </c>
      <c r="V10" s="91">
        <v>3199.11</v>
      </c>
      <c r="W10" s="91">
        <v>7701.38</v>
      </c>
      <c r="X10" s="91">
        <v>5331.7</v>
      </c>
      <c r="Y10" s="91">
        <v>1895.66</v>
      </c>
      <c r="Z10" s="109">
        <v>0</v>
      </c>
      <c r="AA10" s="109">
        <v>0</v>
      </c>
      <c r="AB10" s="112">
        <f>SUM(U10:AA10)</f>
        <v>20494.09</v>
      </c>
      <c r="AC10" s="113">
        <f>D10+T10+AB10</f>
        <v>39200.694734799996</v>
      </c>
      <c r="AD10" s="102">
        <f>P10+Z10</f>
        <v>0</v>
      </c>
      <c r="AE10" s="102">
        <f>R10+AA10</f>
        <v>0</v>
      </c>
      <c r="AF10" s="102"/>
      <c r="AG10" s="16">
        <f>0.6*B10</f>
        <v>3214.74</v>
      </c>
      <c r="AH10" s="16">
        <f>B10*0.201+1</f>
        <v>1077.9379</v>
      </c>
      <c r="AI10" s="16">
        <f>0.8518*B10-0.01</f>
        <v>4563.849219999999</v>
      </c>
      <c r="AJ10" s="16">
        <f>AI10*0.18</f>
        <v>821.4928595999999</v>
      </c>
      <c r="AK10" s="16">
        <f>1.04*B10*0.9531</f>
        <v>5310.879069599999</v>
      </c>
      <c r="AL10" s="16">
        <f>AK10*0.18</f>
        <v>955.9582325279997</v>
      </c>
      <c r="AM10" s="16">
        <f>(1.91)*B10*0.9531</f>
        <v>9753.633675899997</v>
      </c>
      <c r="AN10" s="16">
        <f>AM10*0.18</f>
        <v>1755.6540616619993</v>
      </c>
      <c r="AO10" s="16"/>
      <c r="AP10" s="16">
        <f>AO10*0.18</f>
        <v>0</v>
      </c>
      <c r="AQ10" s="16"/>
      <c r="AR10" s="16"/>
      <c r="AS10" s="97">
        <v>15027</v>
      </c>
      <c r="AT10" s="97"/>
      <c r="AU10" s="48">
        <f>AS10*0.18</f>
        <v>2704.8599999999997</v>
      </c>
      <c r="AV10" s="48"/>
      <c r="AW10" s="48"/>
      <c r="AX10" s="31">
        <v>0</v>
      </c>
      <c r="AY10" s="31">
        <v>0</v>
      </c>
      <c r="AZ10" s="31">
        <v>0</v>
      </c>
      <c r="BA10" s="14">
        <f t="shared" si="0"/>
        <v>0</v>
      </c>
      <c r="BB10" s="14">
        <f>SUM(AG10:BA10)</f>
        <v>45186.005019289994</v>
      </c>
      <c r="BC10" s="14">
        <v>0</v>
      </c>
      <c r="BD10" s="14">
        <f>AC10-BB10</f>
        <v>-5985.310284489999</v>
      </c>
      <c r="BE10" s="30">
        <f>AB10-S10</f>
        <v>-8455.609999999997</v>
      </c>
    </row>
    <row r="11" spans="1:57" ht="12.75">
      <c r="A11" s="11" t="s">
        <v>43</v>
      </c>
      <c r="B11" s="104">
        <v>5357.9</v>
      </c>
      <c r="C11" s="105">
        <f>B11*8.65</f>
        <v>46345.835</v>
      </c>
      <c r="D11" s="106">
        <f>C11*0.24035</f>
        <v>11139.22144225</v>
      </c>
      <c r="E11" s="107">
        <v>3477.27</v>
      </c>
      <c r="F11" s="107">
        <v>930.3</v>
      </c>
      <c r="G11" s="107">
        <v>4694.25</v>
      </c>
      <c r="H11" s="107">
        <v>1255.93</v>
      </c>
      <c r="I11" s="107">
        <v>11301.13</v>
      </c>
      <c r="J11" s="107">
        <v>3023.44</v>
      </c>
      <c r="K11" s="107">
        <v>7823.83</v>
      </c>
      <c r="L11" s="107">
        <v>2093.14</v>
      </c>
      <c r="M11" s="107">
        <v>2781.75</v>
      </c>
      <c r="N11" s="107">
        <v>744.26</v>
      </c>
      <c r="O11" s="107">
        <v>0</v>
      </c>
      <c r="P11" s="114">
        <v>0</v>
      </c>
      <c r="Q11" s="107">
        <v>0</v>
      </c>
      <c r="R11" s="114">
        <v>0</v>
      </c>
      <c r="S11" s="91">
        <f>E11+G11+I11+K11+M11+O11+Q11</f>
        <v>30078.230000000003</v>
      </c>
      <c r="T11" s="108">
        <f>P11+N11+L11+J11+H11+F11+R11</f>
        <v>8047.070000000001</v>
      </c>
      <c r="U11" s="91">
        <v>3664.53</v>
      </c>
      <c r="V11" s="91">
        <v>4946.96</v>
      </c>
      <c r="W11" s="91">
        <v>11910.02</v>
      </c>
      <c r="X11" s="91">
        <v>8245.29</v>
      </c>
      <c r="Y11" s="91">
        <v>2931.63</v>
      </c>
      <c r="Z11" s="109">
        <v>0</v>
      </c>
      <c r="AA11" s="109">
        <v>0</v>
      </c>
      <c r="AB11" s="112">
        <f>SUM(U11:AA11)</f>
        <v>31698.430000000004</v>
      </c>
      <c r="AC11" s="113">
        <f>D11+T11+AB11</f>
        <v>50884.721442250004</v>
      </c>
      <c r="AD11" s="102">
        <f>P11+Z11</f>
        <v>0</v>
      </c>
      <c r="AE11" s="102">
        <f>R11+AA11</f>
        <v>0</v>
      </c>
      <c r="AF11" s="102"/>
      <c r="AG11" s="16">
        <f>0.6*B11</f>
        <v>3214.74</v>
      </c>
      <c r="AH11" s="16">
        <f>B11*0.2*1.02524-0.01</f>
        <v>1098.6166792</v>
      </c>
      <c r="AI11" s="16">
        <f>0.84932*B11</f>
        <v>4550.571628</v>
      </c>
      <c r="AJ11" s="16">
        <f>AI11*0.18</f>
        <v>819.1028930399999</v>
      </c>
      <c r="AK11" s="16">
        <f>1.04*B11*0.95033</f>
        <v>5295.44403128</v>
      </c>
      <c r="AL11" s="16">
        <f>AK11*0.18</f>
        <v>953.1799256303999</v>
      </c>
      <c r="AM11" s="16">
        <f>(1.91)*B11*0.95033-0.1</f>
        <v>9725.186634369999</v>
      </c>
      <c r="AN11" s="16">
        <f>AM11*0.18</f>
        <v>1750.5335941865997</v>
      </c>
      <c r="AO11" s="16"/>
      <c r="AP11" s="16">
        <f>AO11*0.18</f>
        <v>0</v>
      </c>
      <c r="AQ11" s="16"/>
      <c r="AR11" s="16"/>
      <c r="AS11" s="97">
        <v>15385</v>
      </c>
      <c r="AT11" s="97"/>
      <c r="AU11" s="48">
        <f>AS11*0.18</f>
        <v>2769.2999999999997</v>
      </c>
      <c r="AV11" s="48"/>
      <c r="AW11" s="48"/>
      <c r="AX11" s="31">
        <v>0</v>
      </c>
      <c r="AY11" s="31">
        <v>0</v>
      </c>
      <c r="AZ11" s="31">
        <v>0</v>
      </c>
      <c r="BA11" s="14">
        <f t="shared" si="0"/>
        <v>0</v>
      </c>
      <c r="BB11" s="14">
        <f>SUM(AG11:BA11)</f>
        <v>45561.675385707</v>
      </c>
      <c r="BC11" s="14">
        <v>0</v>
      </c>
      <c r="BD11" s="14">
        <f>AC11-BB11</f>
        <v>5323.046056543004</v>
      </c>
      <c r="BE11" s="30">
        <f>AB11-S11</f>
        <v>1620.2000000000007</v>
      </c>
    </row>
    <row r="12" spans="1:57" s="20" customFormat="1" ht="15" customHeight="1">
      <c r="A12" s="17" t="s">
        <v>5</v>
      </c>
      <c r="B12" s="60"/>
      <c r="C12" s="60">
        <f aca="true" t="shared" si="1" ref="C12:BE12">SUM(C9:C11)</f>
        <v>139037.505</v>
      </c>
      <c r="D12" s="60">
        <f t="shared" si="1"/>
        <v>33466.790911849996</v>
      </c>
      <c r="E12" s="57">
        <f>SUM(E9:E11)</f>
        <v>10357.86</v>
      </c>
      <c r="F12" s="57">
        <f t="shared" si="1"/>
        <v>2781.1000000000004</v>
      </c>
      <c r="G12" s="57">
        <f t="shared" si="1"/>
        <v>13987.5</v>
      </c>
      <c r="H12" s="57">
        <f t="shared" si="1"/>
        <v>3754.58</v>
      </c>
      <c r="I12" s="57">
        <f t="shared" si="1"/>
        <v>33674.07</v>
      </c>
      <c r="J12" s="57">
        <f t="shared" si="1"/>
        <v>8738.49</v>
      </c>
      <c r="K12" s="57">
        <f t="shared" si="1"/>
        <v>23312.79</v>
      </c>
      <c r="L12" s="57">
        <f t="shared" si="1"/>
        <v>6257.379999999999</v>
      </c>
      <c r="M12" s="57">
        <f t="shared" si="1"/>
        <v>8288.81</v>
      </c>
      <c r="N12" s="57">
        <f t="shared" si="1"/>
        <v>2224.95</v>
      </c>
      <c r="O12" s="57">
        <f t="shared" si="1"/>
        <v>0</v>
      </c>
      <c r="P12" s="57">
        <f t="shared" si="1"/>
        <v>0</v>
      </c>
      <c r="Q12" s="57">
        <f t="shared" si="1"/>
        <v>0</v>
      </c>
      <c r="R12" s="57">
        <f t="shared" si="1"/>
        <v>0</v>
      </c>
      <c r="S12" s="57">
        <f t="shared" si="1"/>
        <v>89621.03</v>
      </c>
      <c r="T12" s="57">
        <f t="shared" si="1"/>
        <v>23756.5</v>
      </c>
      <c r="U12" s="61">
        <f t="shared" si="1"/>
        <v>6030.77</v>
      </c>
      <c r="V12" s="61">
        <f t="shared" si="1"/>
        <v>8146.07</v>
      </c>
      <c r="W12" s="61">
        <f t="shared" si="1"/>
        <v>19611.4</v>
      </c>
      <c r="X12" s="61">
        <f t="shared" si="1"/>
        <v>13576.990000000002</v>
      </c>
      <c r="Y12" s="61">
        <f t="shared" si="1"/>
        <v>4827.29</v>
      </c>
      <c r="Z12" s="61">
        <f t="shared" si="1"/>
        <v>0</v>
      </c>
      <c r="AA12" s="61">
        <f t="shared" si="1"/>
        <v>0</v>
      </c>
      <c r="AB12" s="61">
        <f t="shared" si="1"/>
        <v>52192.520000000004</v>
      </c>
      <c r="AC12" s="61">
        <f t="shared" si="1"/>
        <v>109415.81091185</v>
      </c>
      <c r="AD12" s="61">
        <f>SUM(AD9:AD11)</f>
        <v>0</v>
      </c>
      <c r="AE12" s="100">
        <f t="shared" si="1"/>
        <v>0</v>
      </c>
      <c r="AF12" s="100">
        <f t="shared" si="1"/>
        <v>0</v>
      </c>
      <c r="AG12" s="18">
        <f t="shared" si="1"/>
        <v>9644.22</v>
      </c>
      <c r="AH12" s="18">
        <f t="shared" si="1"/>
        <v>3310.56483</v>
      </c>
      <c r="AI12" s="18">
        <f t="shared" si="1"/>
        <v>13678.270067999998</v>
      </c>
      <c r="AJ12" s="18">
        <f t="shared" si="1"/>
        <v>2462.0886122399997</v>
      </c>
      <c r="AK12" s="18">
        <f t="shared" si="1"/>
        <v>15917.202170479997</v>
      </c>
      <c r="AL12" s="18">
        <f t="shared" si="1"/>
        <v>2865.0963906863994</v>
      </c>
      <c r="AM12" s="18">
        <f>SUM(AM9:AM11)</f>
        <v>29232.453986169992</v>
      </c>
      <c r="AN12" s="18">
        <f>SUM(AN9:AN11)</f>
        <v>5261.841717510599</v>
      </c>
      <c r="AO12" s="18">
        <f t="shared" si="1"/>
        <v>0</v>
      </c>
      <c r="AP12" s="18">
        <f t="shared" si="1"/>
        <v>0</v>
      </c>
      <c r="AQ12" s="18">
        <f>SUM(AQ9:AQ11)</f>
        <v>0</v>
      </c>
      <c r="AR12" s="18">
        <f>SUM(AR9:AR11)</f>
        <v>0</v>
      </c>
      <c r="AS12" s="18">
        <f>SUM(AS9:AS11)</f>
        <v>30412</v>
      </c>
      <c r="AT12" s="18">
        <f>SUM(AT9:AT11)</f>
        <v>0</v>
      </c>
      <c r="AU12" s="18">
        <f>SUM(AU9:AU11)</f>
        <v>5474.16</v>
      </c>
      <c r="AV12" s="18"/>
      <c r="AW12" s="18"/>
      <c r="AX12" s="18">
        <f t="shared" si="1"/>
        <v>0</v>
      </c>
      <c r="AY12" s="18">
        <f t="shared" si="1"/>
        <v>0</v>
      </c>
      <c r="AZ12" s="18">
        <f t="shared" si="1"/>
        <v>0</v>
      </c>
      <c r="BA12" s="18">
        <f t="shared" si="1"/>
        <v>0</v>
      </c>
      <c r="BB12" s="18">
        <f t="shared" si="1"/>
        <v>118257.89777508698</v>
      </c>
      <c r="BC12" s="18">
        <f t="shared" si="1"/>
        <v>0</v>
      </c>
      <c r="BD12" s="18">
        <f t="shared" si="1"/>
        <v>-8842.08686323699</v>
      </c>
      <c r="BE12" s="19">
        <f t="shared" si="1"/>
        <v>-37428.509999999995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8"/>
      <c r="AD13" s="98"/>
      <c r="AE13" s="99"/>
      <c r="AF13" s="99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5"/>
      <c r="AT13" s="95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5">
        <v>5357.9</v>
      </c>
      <c r="C14" s="105">
        <f aca="true" t="shared" si="2" ref="C14:C25">B14*8.65</f>
        <v>46345.835</v>
      </c>
      <c r="D14" s="106">
        <f>C14*0.125</f>
        <v>5793.229375</v>
      </c>
      <c r="E14" s="107">
        <v>2759.26</v>
      </c>
      <c r="F14" s="107">
        <v>919.38</v>
      </c>
      <c r="G14" s="107">
        <v>3724.91</v>
      </c>
      <c r="H14" s="107">
        <v>1241.19</v>
      </c>
      <c r="I14" s="107">
        <v>11341.8</v>
      </c>
      <c r="J14" s="107">
        <v>2987.95</v>
      </c>
      <c r="K14" s="107">
        <v>8967.58</v>
      </c>
      <c r="L14" s="107">
        <v>2068.57</v>
      </c>
      <c r="M14" s="107">
        <v>2207.34</v>
      </c>
      <c r="N14" s="107">
        <v>735.53</v>
      </c>
      <c r="O14" s="107">
        <v>0</v>
      </c>
      <c r="P14" s="114">
        <v>0</v>
      </c>
      <c r="Q14" s="107">
        <v>0</v>
      </c>
      <c r="R14" s="114">
        <v>0</v>
      </c>
      <c r="S14" s="91">
        <f>E14+G14+I14+K14+M14+O14+Q14</f>
        <v>29000.890000000003</v>
      </c>
      <c r="T14" s="108">
        <f>P14+N14+L14+J14+H14+F14+R14</f>
        <v>7952.62</v>
      </c>
      <c r="U14" s="91">
        <v>2469.77</v>
      </c>
      <c r="V14" s="91">
        <v>3334.09</v>
      </c>
      <c r="W14" s="91">
        <v>8026.45</v>
      </c>
      <c r="X14" s="91">
        <v>5556.94</v>
      </c>
      <c r="Y14" s="91">
        <v>1975.73</v>
      </c>
      <c r="Z14" s="109">
        <v>0</v>
      </c>
      <c r="AA14" s="109">
        <v>0</v>
      </c>
      <c r="AB14" s="116">
        <f aca="true" t="shared" si="3" ref="AB14:AB22">SUM(U14:AA14)</f>
        <v>21362.98</v>
      </c>
      <c r="AC14" s="113">
        <f>D14+T14+AB14</f>
        <v>35108.829375</v>
      </c>
      <c r="AD14" s="102">
        <f>P14+Z14</f>
        <v>0</v>
      </c>
      <c r="AE14" s="102">
        <f>R14+AA14</f>
        <v>0</v>
      </c>
      <c r="AF14" s="102">
        <f>'[2]Т01-09'!$I$18+'[2]Т01-09'!$I$22</f>
        <v>4219.34072</v>
      </c>
      <c r="AG14" s="16">
        <f>0.6*B14*0.9</f>
        <v>2893.266</v>
      </c>
      <c r="AH14" s="16">
        <f>B14*0.2*0.891</f>
        <v>954.77778</v>
      </c>
      <c r="AI14" s="16">
        <f>0.85*B14*0.867-0.02</f>
        <v>3948.4844049999992</v>
      </c>
      <c r="AJ14" s="16">
        <f>AI14*0.18</f>
        <v>710.7271928999999</v>
      </c>
      <c r="AK14" s="16">
        <f>0.83*B14*0.8686</f>
        <v>3862.7137102</v>
      </c>
      <c r="AL14" s="16">
        <f>AK14*0.18</f>
        <v>695.288467836</v>
      </c>
      <c r="AM14" s="16">
        <f>1.91*B14*0.8686</f>
        <v>8888.895405399999</v>
      </c>
      <c r="AN14" s="16">
        <f>AM14*0.18</f>
        <v>1600.0011729719997</v>
      </c>
      <c r="AO14" s="16"/>
      <c r="AP14" s="16">
        <f>AO14*0.18</f>
        <v>0</v>
      </c>
      <c r="AQ14" s="117"/>
      <c r="AR14" s="117">
        <f>AQ14*0.18</f>
        <v>0</v>
      </c>
      <c r="AS14" s="97">
        <v>14019</v>
      </c>
      <c r="AT14" s="97"/>
      <c r="AU14" s="97">
        <f>(AS14+AT14)*0.18+0.01</f>
        <v>2523.4300000000003</v>
      </c>
      <c r="AV14" s="118"/>
      <c r="AW14" s="134">
        <v>1115</v>
      </c>
      <c r="AX14" s="16"/>
      <c r="AY14" s="121"/>
      <c r="AZ14" s="122"/>
      <c r="BA14" s="122">
        <f aca="true" t="shared" si="4" ref="BA14:BA19">AZ14*0.18</f>
        <v>0</v>
      </c>
      <c r="BB14" s="122">
        <f>SUM(AG14:AU14)</f>
        <v>40096.584134307996</v>
      </c>
      <c r="BC14" s="132">
        <f>'[3]Т01-09'!$O$18+'[3]Т01-09'!$O$22</f>
        <v>1557.18277428</v>
      </c>
      <c r="BD14" s="14">
        <f>AC14+AF14-BB14-BC14</f>
        <v>-2325.5968135879943</v>
      </c>
      <c r="BE14" s="30">
        <f>AB14-S14</f>
        <v>-7637.9100000000035</v>
      </c>
    </row>
    <row r="15" spans="1:57" ht="12.75">
      <c r="A15" s="11" t="s">
        <v>46</v>
      </c>
      <c r="B15" s="115">
        <v>5357.9</v>
      </c>
      <c r="C15" s="105">
        <f t="shared" si="2"/>
        <v>46345.835</v>
      </c>
      <c r="D15" s="106">
        <f>C15*0.125</f>
        <v>5793.229375</v>
      </c>
      <c r="E15" s="107">
        <v>3489.78</v>
      </c>
      <c r="F15" s="107">
        <v>912.1</v>
      </c>
      <c r="G15" s="107">
        <v>4711.16</v>
      </c>
      <c r="H15" s="107">
        <v>1231.36</v>
      </c>
      <c r="I15" s="107">
        <v>11341.8</v>
      </c>
      <c r="J15" s="107">
        <v>2964.29</v>
      </c>
      <c r="K15" s="107">
        <v>7851.98</v>
      </c>
      <c r="L15" s="107">
        <v>2052.19</v>
      </c>
      <c r="M15" s="107">
        <v>2791.76</v>
      </c>
      <c r="N15" s="107">
        <v>729.71</v>
      </c>
      <c r="O15" s="107">
        <v>0</v>
      </c>
      <c r="P15" s="114">
        <v>0</v>
      </c>
      <c r="Q15" s="107">
        <v>0</v>
      </c>
      <c r="R15" s="114">
        <v>0</v>
      </c>
      <c r="S15" s="91">
        <f aca="true" t="shared" si="5" ref="S15:S25">E15+G15+I15+K15+M15+O15+Q15</f>
        <v>30186.479999999996</v>
      </c>
      <c r="T15" s="108">
        <f aca="true" t="shared" si="6" ref="T15:T25">P15+N15+L15+J15+H15+F15+R15</f>
        <v>7889.650000000001</v>
      </c>
      <c r="U15" s="91">
        <v>3044.62</v>
      </c>
      <c r="V15" s="91">
        <v>4110.24</v>
      </c>
      <c r="W15" s="91">
        <v>9895.22</v>
      </c>
      <c r="X15" s="91">
        <v>6850.38</v>
      </c>
      <c r="Y15" s="91">
        <v>2435.63</v>
      </c>
      <c r="Z15" s="109">
        <v>0</v>
      </c>
      <c r="AA15" s="109">
        <v>0</v>
      </c>
      <c r="AB15" s="112">
        <f t="shared" si="3"/>
        <v>26336.09</v>
      </c>
      <c r="AC15" s="113">
        <f aca="true" t="shared" si="7" ref="AC15:AC22">D15+T15+AB15</f>
        <v>40018.969375</v>
      </c>
      <c r="AD15" s="102">
        <f aca="true" t="shared" si="8" ref="AD15:AD25">P15+Z15</f>
        <v>0</v>
      </c>
      <c r="AE15" s="102">
        <f aca="true" t="shared" si="9" ref="AE15:AE25">R15+AA15</f>
        <v>0</v>
      </c>
      <c r="AF15" s="102">
        <f>'[2]Т02-09'!$I$18+'[2]Т02-09'!$I$22</f>
        <v>4219.34072</v>
      </c>
      <c r="AG15" s="16">
        <f>0.6*B15*0.9</f>
        <v>2893.266</v>
      </c>
      <c r="AH15" s="16">
        <f>B15*0.2*0.9153</f>
        <v>980.8171739999999</v>
      </c>
      <c r="AI15" s="16">
        <f>0.85*B15*0.866</f>
        <v>3943.950189999999</v>
      </c>
      <c r="AJ15" s="16">
        <f aca="true" t="shared" si="10" ref="AJ15:AJ25">AI15*0.18</f>
        <v>709.9110341999998</v>
      </c>
      <c r="AK15" s="16">
        <f>0.83*B15*0.8684</f>
        <v>3861.8242987999997</v>
      </c>
      <c r="AL15" s="16">
        <f aca="true" t="shared" si="11" ref="AL15:AL25">AK15*0.18</f>
        <v>695.1283737839999</v>
      </c>
      <c r="AM15" s="16">
        <f>(1.91)*B15*0.8684</f>
        <v>8886.848687599997</v>
      </c>
      <c r="AN15" s="16">
        <f aca="true" t="shared" si="12" ref="AN15:AN25">AM15*0.18</f>
        <v>1599.6327637679994</v>
      </c>
      <c r="AO15" s="16"/>
      <c r="AP15" s="16">
        <f aca="true" t="shared" si="13" ref="AP15:AR25">AO15*0.18</f>
        <v>0</v>
      </c>
      <c r="AQ15" s="117"/>
      <c r="AR15" s="117">
        <f>AQ15*0.18</f>
        <v>0</v>
      </c>
      <c r="AS15" s="97">
        <f>756*8+13245</f>
        <v>19293</v>
      </c>
      <c r="AT15" s="97"/>
      <c r="AU15" s="97">
        <f aca="true" t="shared" si="14" ref="AU15:AU25">(AS15+AT15)*0.18</f>
        <v>3472.74</v>
      </c>
      <c r="AV15" s="118"/>
      <c r="AW15" s="134">
        <v>1425</v>
      </c>
      <c r="AX15" s="16"/>
      <c r="AY15" s="121"/>
      <c r="AZ15" s="122"/>
      <c r="BA15" s="122">
        <f t="shared" si="4"/>
        <v>0</v>
      </c>
      <c r="BB15" s="122">
        <f>SUM(AG15:AU15)+AY15</f>
        <v>46337.11852215199</v>
      </c>
      <c r="BC15" s="128">
        <f>'[3]Т02-09'!$O$18+'[3]Т02-09'!$O$22</f>
        <v>1559.52357568</v>
      </c>
      <c r="BD15" s="14">
        <f aca="true" t="shared" si="15" ref="BD15:BD24">AC15+AF15-BB15-BC15</f>
        <v>-3658.3320028319913</v>
      </c>
      <c r="BE15" s="30">
        <f aca="true" t="shared" si="16" ref="BE15:BE24">AB15-S15</f>
        <v>-3850.389999999996</v>
      </c>
    </row>
    <row r="16" spans="1:57" ht="12.75">
      <c r="A16" s="11" t="s">
        <v>47</v>
      </c>
      <c r="B16" s="129">
        <v>5357.9</v>
      </c>
      <c r="C16" s="105">
        <f t="shared" si="2"/>
        <v>46345.835</v>
      </c>
      <c r="D16" s="106">
        <f>C16*0.125</f>
        <v>5793.229375</v>
      </c>
      <c r="E16" s="126">
        <v>3334.36</v>
      </c>
      <c r="F16" s="126">
        <v>912.3</v>
      </c>
      <c r="G16" s="126">
        <v>4501.32</v>
      </c>
      <c r="H16" s="126">
        <v>1231.63</v>
      </c>
      <c r="I16" s="126">
        <v>10836.62</v>
      </c>
      <c r="J16" s="126">
        <v>2964.94</v>
      </c>
      <c r="K16" s="126">
        <v>7502.27</v>
      </c>
      <c r="L16" s="126">
        <v>2052.64</v>
      </c>
      <c r="M16" s="126">
        <v>2667.4</v>
      </c>
      <c r="N16" s="126">
        <v>729.87</v>
      </c>
      <c r="O16" s="126">
        <v>0</v>
      </c>
      <c r="P16" s="127">
        <v>0</v>
      </c>
      <c r="Q16" s="126">
        <v>0</v>
      </c>
      <c r="R16" s="127">
        <v>0</v>
      </c>
      <c r="S16" s="91">
        <f t="shared" si="5"/>
        <v>28841.970000000005</v>
      </c>
      <c r="T16" s="108">
        <f t="shared" si="6"/>
        <v>7891.38</v>
      </c>
      <c r="U16" s="92">
        <v>3901.54</v>
      </c>
      <c r="V16" s="92">
        <v>5266.92</v>
      </c>
      <c r="W16" s="92">
        <v>12679.76</v>
      </c>
      <c r="X16" s="92">
        <v>8778.39</v>
      </c>
      <c r="Y16" s="92">
        <v>3121.07</v>
      </c>
      <c r="Z16" s="123">
        <v>0</v>
      </c>
      <c r="AA16" s="123">
        <v>0</v>
      </c>
      <c r="AB16" s="116">
        <f t="shared" si="3"/>
        <v>33747.68</v>
      </c>
      <c r="AC16" s="113">
        <f t="shared" si="7"/>
        <v>47432.289375</v>
      </c>
      <c r="AD16" s="102">
        <f t="shared" si="8"/>
        <v>0</v>
      </c>
      <c r="AE16" s="102">
        <f t="shared" si="9"/>
        <v>0</v>
      </c>
      <c r="AF16" s="102">
        <f>'[2]Т02-09'!$I$18+'[2]Т02-09'!$I$22</f>
        <v>4219.34072</v>
      </c>
      <c r="AG16" s="16">
        <f>0.6*B16*0.9</f>
        <v>2893.266</v>
      </c>
      <c r="AH16" s="124">
        <f>B16*0.2*0.9082-0.01</f>
        <v>973.198956</v>
      </c>
      <c r="AI16" s="16">
        <f>0.85*B16*0.8675+0.01</f>
        <v>3950.7915125</v>
      </c>
      <c r="AJ16" s="16">
        <f t="shared" si="10"/>
        <v>711.14247225</v>
      </c>
      <c r="AK16" s="124">
        <f>0.83*B16*0.838</f>
        <v>3726.6337659999995</v>
      </c>
      <c r="AL16" s="16">
        <f t="shared" si="11"/>
        <v>670.7940778799999</v>
      </c>
      <c r="AM16" s="16">
        <f>1.91*B16*0.838</f>
        <v>8575.747581999998</v>
      </c>
      <c r="AN16" s="16">
        <f t="shared" si="12"/>
        <v>1543.6345647599996</v>
      </c>
      <c r="AO16" s="16"/>
      <c r="AP16" s="16">
        <f t="shared" si="13"/>
        <v>0</v>
      </c>
      <c r="AQ16" s="117"/>
      <c r="AR16" s="117">
        <f>AQ16*0.18</f>
        <v>0</v>
      </c>
      <c r="AS16" s="97">
        <v>2418</v>
      </c>
      <c r="AT16" s="97"/>
      <c r="AU16" s="97">
        <f t="shared" si="14"/>
        <v>435.24</v>
      </c>
      <c r="AV16" s="118"/>
      <c r="AW16" s="135">
        <v>803</v>
      </c>
      <c r="AX16" s="16"/>
      <c r="AY16" s="121"/>
      <c r="AZ16" s="122"/>
      <c r="BA16" s="122">
        <f t="shared" si="4"/>
        <v>0</v>
      </c>
      <c r="BB16" s="122">
        <f>SUM(AG16:AU16)</f>
        <v>25898.448931389998</v>
      </c>
      <c r="BC16" s="128">
        <f>'[3]Т03-09'!$O$18+'[3]Т03-09'!$O$22</f>
        <v>1526.81333494</v>
      </c>
      <c r="BD16" s="14">
        <f t="shared" si="15"/>
        <v>24226.36782867</v>
      </c>
      <c r="BE16" s="30">
        <f t="shared" si="16"/>
        <v>4905.7099999999955</v>
      </c>
    </row>
    <row r="17" spans="1:56" ht="12.75">
      <c r="A17" s="11" t="s">
        <v>48</v>
      </c>
      <c r="B17" s="125">
        <v>5357.9</v>
      </c>
      <c r="C17" s="105">
        <f t="shared" si="2"/>
        <v>46345.835</v>
      </c>
      <c r="D17" s="106">
        <f>C17*0.125</f>
        <v>5793.229375</v>
      </c>
      <c r="E17" s="126">
        <v>3336.76</v>
      </c>
      <c r="F17" s="126">
        <v>929.1</v>
      </c>
      <c r="G17" s="126">
        <v>4504.56</v>
      </c>
      <c r="H17" s="126">
        <v>1254.31</v>
      </c>
      <c r="I17" s="126">
        <v>10844.46</v>
      </c>
      <c r="J17" s="126">
        <v>3019.54</v>
      </c>
      <c r="K17" s="126">
        <v>7507.7</v>
      </c>
      <c r="L17" s="126">
        <v>2090.44</v>
      </c>
      <c r="M17" s="126">
        <v>2669.31</v>
      </c>
      <c r="N17" s="126">
        <v>743.31</v>
      </c>
      <c r="O17" s="126">
        <v>0</v>
      </c>
      <c r="P17" s="127">
        <v>0</v>
      </c>
      <c r="Q17" s="126">
        <v>0</v>
      </c>
      <c r="R17" s="127">
        <v>0</v>
      </c>
      <c r="S17" s="91">
        <f t="shared" si="5"/>
        <v>28862.79</v>
      </c>
      <c r="T17" s="108">
        <f t="shared" si="6"/>
        <v>8036.700000000001</v>
      </c>
      <c r="U17" s="91">
        <v>3140.95</v>
      </c>
      <c r="V17" s="91">
        <v>4240.17</v>
      </c>
      <c r="W17" s="91">
        <v>10207.98</v>
      </c>
      <c r="X17" s="91">
        <v>7067.04</v>
      </c>
      <c r="Y17" s="91">
        <v>2512.68</v>
      </c>
      <c r="Z17" s="91">
        <v>0</v>
      </c>
      <c r="AA17" s="91">
        <v>0</v>
      </c>
      <c r="AB17" s="116">
        <f t="shared" si="3"/>
        <v>27168.82</v>
      </c>
      <c r="AC17" s="113">
        <f t="shared" si="7"/>
        <v>40998.749375</v>
      </c>
      <c r="AD17" s="102">
        <f t="shared" si="8"/>
        <v>0</v>
      </c>
      <c r="AE17" s="102">
        <f t="shared" si="9"/>
        <v>0</v>
      </c>
      <c r="AF17" s="102">
        <f>'[3]Т04-09'!$I$18+'[3]Т04-09'!$I$22</f>
        <v>3662.67572</v>
      </c>
      <c r="AG17" s="16">
        <f>0.6*B17*0.9</f>
        <v>2893.266</v>
      </c>
      <c r="AH17" s="124">
        <f>B17*0.2*0.9234</f>
        <v>989.4969719999999</v>
      </c>
      <c r="AI17" s="16">
        <f>0.85*B17*0.8934</f>
        <v>4068.735680999999</v>
      </c>
      <c r="AJ17" s="16">
        <f t="shared" si="10"/>
        <v>732.3724225799998</v>
      </c>
      <c r="AK17" s="16">
        <f>0.83*B17*0.8498</f>
        <v>3779.1090385999996</v>
      </c>
      <c r="AL17" s="16">
        <f t="shared" si="11"/>
        <v>680.2396269479999</v>
      </c>
      <c r="AM17" s="16">
        <f>(1.91)*B17*0.8498-0.01</f>
        <v>8696.493932199997</v>
      </c>
      <c r="AN17" s="16">
        <f t="shared" si="12"/>
        <v>1565.3689077959993</v>
      </c>
      <c r="AO17" s="16"/>
      <c r="AP17" s="16">
        <f t="shared" si="13"/>
        <v>0</v>
      </c>
      <c r="AQ17" s="117"/>
      <c r="AR17" s="117">
        <f t="shared" si="13"/>
        <v>0</v>
      </c>
      <c r="AS17" s="97">
        <v>6580.3</v>
      </c>
      <c r="AT17" s="97"/>
      <c r="AU17" s="97">
        <f t="shared" si="14"/>
        <v>1184.454</v>
      </c>
      <c r="AV17" s="118"/>
      <c r="AW17" s="119">
        <v>776</v>
      </c>
      <c r="AX17" s="16">
        <v>5443.67</v>
      </c>
      <c r="AY17" s="121"/>
      <c r="AZ17" s="122"/>
      <c r="BA17" s="122">
        <f t="shared" si="4"/>
        <v>0</v>
      </c>
      <c r="BB17" s="122">
        <f aca="true" t="shared" si="17" ref="BB17:BB22">SUM(AG17:BA17)-AV17-AW17</f>
        <v>36613.506581124</v>
      </c>
      <c r="BC17" s="128">
        <f>'[3]Т04-09'!$O$18+'[3]Т04-09'!$O$22</f>
        <v>1570.3738786400002</v>
      </c>
      <c r="BD17" s="14">
        <f t="shared" si="15"/>
        <v>6477.544635236</v>
      </c>
    </row>
    <row r="18" spans="1:57" ht="12.75">
      <c r="A18" s="11" t="s">
        <v>49</v>
      </c>
      <c r="B18" s="129">
        <v>5357.9</v>
      </c>
      <c r="C18" s="105">
        <f t="shared" si="2"/>
        <v>46345.835</v>
      </c>
      <c r="D18" s="130">
        <f>C18-E18-F18-G18-H18-I18-J18-K18-L18-M18-N18</f>
        <v>4641.775000000007</v>
      </c>
      <c r="E18" s="126">
        <v>3773.56</v>
      </c>
      <c r="F18" s="126">
        <v>1040.45</v>
      </c>
      <c r="G18" s="126">
        <v>5109.65</v>
      </c>
      <c r="H18" s="126">
        <v>1410.34</v>
      </c>
      <c r="I18" s="126">
        <v>12279.2</v>
      </c>
      <c r="J18" s="126">
        <v>3387.23</v>
      </c>
      <c r="K18" s="126">
        <v>8505.65</v>
      </c>
      <c r="L18" s="126">
        <v>2346.81</v>
      </c>
      <c r="M18" s="126">
        <v>3018.82</v>
      </c>
      <c r="N18" s="126">
        <v>832.35</v>
      </c>
      <c r="O18" s="126">
        <v>0</v>
      </c>
      <c r="P18" s="127">
        <v>0</v>
      </c>
      <c r="Q18" s="126">
        <v>0</v>
      </c>
      <c r="R18" s="127">
        <v>0</v>
      </c>
      <c r="S18" s="91">
        <f t="shared" si="5"/>
        <v>32686.879999999997</v>
      </c>
      <c r="T18" s="108">
        <f t="shared" si="6"/>
        <v>9017.18</v>
      </c>
      <c r="U18" s="92">
        <v>2652.41</v>
      </c>
      <c r="V18" s="92">
        <v>3580.72</v>
      </c>
      <c r="W18" s="92">
        <v>8620.29</v>
      </c>
      <c r="X18" s="92">
        <v>5967.87</v>
      </c>
      <c r="Y18" s="92">
        <v>2121.91</v>
      </c>
      <c r="Z18" s="123">
        <v>0</v>
      </c>
      <c r="AA18" s="123">
        <v>0</v>
      </c>
      <c r="AB18" s="116">
        <f t="shared" si="3"/>
        <v>22943.2</v>
      </c>
      <c r="AC18" s="113">
        <f t="shared" si="7"/>
        <v>36602.155000000006</v>
      </c>
      <c r="AD18" s="102">
        <f t="shared" si="8"/>
        <v>0</v>
      </c>
      <c r="AE18" s="102">
        <f t="shared" si="9"/>
        <v>0</v>
      </c>
      <c r="AF18" s="102">
        <f>'[3]Т04-09'!$I$18+'[3]Т04-09'!$I$22</f>
        <v>3662.67572</v>
      </c>
      <c r="AG18" s="16">
        <f>0.6*B18</f>
        <v>3214.74</v>
      </c>
      <c r="AH18" s="16">
        <f>B18*0.2*1.01</f>
        <v>1082.2957999999999</v>
      </c>
      <c r="AI18" s="16">
        <f>0.85*B18</f>
        <v>4554.214999999999</v>
      </c>
      <c r="AJ18" s="16">
        <f t="shared" si="10"/>
        <v>819.7586999999999</v>
      </c>
      <c r="AK18" s="16">
        <f>0.83*B18</f>
        <v>4447.057</v>
      </c>
      <c r="AL18" s="16">
        <f t="shared" si="11"/>
        <v>800.4702599999999</v>
      </c>
      <c r="AM18" s="16">
        <f>(1.91)*B18-0.01</f>
        <v>10233.578999999998</v>
      </c>
      <c r="AN18" s="16">
        <f t="shared" si="12"/>
        <v>1842.0442199999995</v>
      </c>
      <c r="AO18" s="16"/>
      <c r="AP18" s="16">
        <f t="shared" si="13"/>
        <v>0</v>
      </c>
      <c r="AQ18" s="117"/>
      <c r="AR18" s="117">
        <f t="shared" si="13"/>
        <v>0</v>
      </c>
      <c r="AS18" s="97">
        <v>0</v>
      </c>
      <c r="AT18" s="97">
        <v>800</v>
      </c>
      <c r="AU18" s="97">
        <f t="shared" si="14"/>
        <v>144</v>
      </c>
      <c r="AV18" s="118"/>
      <c r="AW18" s="136">
        <v>581</v>
      </c>
      <c r="AX18" s="16">
        <f aca="true" t="shared" si="18" ref="AX18:AX25">AW18*1.12*1.18</f>
        <v>767.8496</v>
      </c>
      <c r="AY18" s="121"/>
      <c r="AZ18" s="122"/>
      <c r="BA18" s="122">
        <f t="shared" si="4"/>
        <v>0</v>
      </c>
      <c r="BB18" s="122">
        <f t="shared" si="17"/>
        <v>28706.009579999994</v>
      </c>
      <c r="BC18" s="128">
        <f>'[3]Т05-09'!$O$18+'[3]Т05-09'!$O$22</f>
        <v>1753.0063535240001</v>
      </c>
      <c r="BD18" s="14">
        <f t="shared" si="15"/>
        <v>9805.81478647601</v>
      </c>
      <c r="BE18" s="30">
        <f>AB18-S18</f>
        <v>-9743.679999999997</v>
      </c>
    </row>
    <row r="19" spans="1:57" ht="12.75">
      <c r="A19" s="11" t="s">
        <v>50</v>
      </c>
      <c r="B19" s="129">
        <v>5357.9</v>
      </c>
      <c r="C19" s="105">
        <f t="shared" si="2"/>
        <v>46345.835</v>
      </c>
      <c r="D19" s="130">
        <f>C19-E19-F19-G19-H19-I19-J19-K19-L19-M19-N19</f>
        <v>4391.145000000004</v>
      </c>
      <c r="E19" s="126">
        <v>3817.43</v>
      </c>
      <c r="F19" s="126">
        <v>1025.59</v>
      </c>
      <c r="G19" s="126">
        <v>5168.88</v>
      </c>
      <c r="H19" s="126">
        <v>1390.16</v>
      </c>
      <c r="I19" s="126">
        <v>12421.85</v>
      </c>
      <c r="J19" s="126">
        <v>3338.75</v>
      </c>
      <c r="K19" s="126">
        <v>8604.4</v>
      </c>
      <c r="L19" s="126">
        <v>2313.23</v>
      </c>
      <c r="M19" s="126">
        <v>3053.95</v>
      </c>
      <c r="N19" s="126">
        <v>820.45</v>
      </c>
      <c r="O19" s="126">
        <v>0</v>
      </c>
      <c r="P19" s="127">
        <v>0</v>
      </c>
      <c r="Q19" s="126">
        <v>0</v>
      </c>
      <c r="R19" s="127">
        <v>0</v>
      </c>
      <c r="S19" s="91">
        <f t="shared" si="5"/>
        <v>33066.509999999995</v>
      </c>
      <c r="T19" s="108">
        <f t="shared" si="6"/>
        <v>8888.18</v>
      </c>
      <c r="U19" s="92">
        <v>3053.66</v>
      </c>
      <c r="V19" s="92">
        <v>4133.17</v>
      </c>
      <c r="W19" s="92">
        <v>9935.08</v>
      </c>
      <c r="X19" s="92">
        <v>6881.21</v>
      </c>
      <c r="Y19" s="92">
        <v>2442.9</v>
      </c>
      <c r="Z19" s="123">
        <v>0</v>
      </c>
      <c r="AA19" s="123">
        <v>0</v>
      </c>
      <c r="AB19" s="116">
        <f t="shared" si="3"/>
        <v>26446.02</v>
      </c>
      <c r="AC19" s="113">
        <f t="shared" si="7"/>
        <v>39725.345</v>
      </c>
      <c r="AD19" s="102">
        <f t="shared" si="8"/>
        <v>0</v>
      </c>
      <c r="AE19" s="102">
        <f t="shared" si="9"/>
        <v>0</v>
      </c>
      <c r="AF19" s="102">
        <f>'[3]Т06-09'!$I$18+'[3]Т06-09'!$I$22</f>
        <v>5332.67072</v>
      </c>
      <c r="AG19" s="16">
        <f>0.6*B19</f>
        <v>3214.74</v>
      </c>
      <c r="AH19" s="16">
        <f>B19*0.2*1.01045-0.01</f>
        <v>1082.7680110000001</v>
      </c>
      <c r="AI19" s="16">
        <f>0.85*B19+0.01</f>
        <v>4554.224999999999</v>
      </c>
      <c r="AJ19" s="16">
        <f t="shared" si="10"/>
        <v>819.7604999999999</v>
      </c>
      <c r="AK19" s="16">
        <f>0.83*B19</f>
        <v>4447.057</v>
      </c>
      <c r="AL19" s="16">
        <f t="shared" si="11"/>
        <v>800.4702599999999</v>
      </c>
      <c r="AM19" s="16">
        <f>(1.91)*B19+0.01</f>
        <v>10233.598999999998</v>
      </c>
      <c r="AN19" s="16">
        <f t="shared" si="12"/>
        <v>1842.0478199999995</v>
      </c>
      <c r="AO19" s="16"/>
      <c r="AP19" s="16">
        <f t="shared" si="13"/>
        <v>0</v>
      </c>
      <c r="AQ19" s="117"/>
      <c r="AR19" s="117">
        <f t="shared" si="13"/>
        <v>0</v>
      </c>
      <c r="AS19" s="97">
        <v>6092.82</v>
      </c>
      <c r="AT19" s="97"/>
      <c r="AU19" s="97">
        <f t="shared" si="14"/>
        <v>1096.7076</v>
      </c>
      <c r="AV19" s="118"/>
      <c r="AW19" s="136">
        <v>600</v>
      </c>
      <c r="AX19" s="16">
        <f t="shared" si="18"/>
        <v>792.96</v>
      </c>
      <c r="AY19" s="121"/>
      <c r="AZ19" s="122"/>
      <c r="BA19" s="122">
        <f t="shared" si="4"/>
        <v>0</v>
      </c>
      <c r="BB19" s="122">
        <f t="shared" si="17"/>
        <v>34977.155191</v>
      </c>
      <c r="BC19" s="128">
        <f>'[3]Т06-09'!$O$18+'[3]Т06-09'!$O$22</f>
        <v>1659.56431316</v>
      </c>
      <c r="BD19" s="14">
        <f t="shared" si="15"/>
        <v>8421.296215840004</v>
      </c>
      <c r="BE19" s="30">
        <f t="shared" si="16"/>
        <v>-6620.489999999994</v>
      </c>
    </row>
    <row r="20" spans="1:57" ht="12.75">
      <c r="A20" s="11" t="s">
        <v>51</v>
      </c>
      <c r="B20" s="115">
        <v>5357.9</v>
      </c>
      <c r="C20" s="105">
        <f t="shared" si="2"/>
        <v>46345.835</v>
      </c>
      <c r="D20" s="130">
        <f aca="true" t="shared" si="19" ref="D20:D25">C20-E20-F20-G20-H20-I20-J20-K20-L20-M20-N20</f>
        <v>4403.425000000005</v>
      </c>
      <c r="E20" s="126">
        <v>3825.27</v>
      </c>
      <c r="F20" s="126">
        <v>1016.32</v>
      </c>
      <c r="G20" s="126">
        <v>5179.5</v>
      </c>
      <c r="H20" s="126">
        <v>1377.65</v>
      </c>
      <c r="I20" s="126">
        <v>12447.31</v>
      </c>
      <c r="J20" s="126">
        <v>3308.7</v>
      </c>
      <c r="K20" s="126">
        <v>8622.06</v>
      </c>
      <c r="L20" s="126">
        <v>2292.39</v>
      </c>
      <c r="M20" s="126">
        <v>3060.15</v>
      </c>
      <c r="N20" s="126">
        <v>813.06</v>
      </c>
      <c r="O20" s="126">
        <v>0</v>
      </c>
      <c r="P20" s="127">
        <v>0</v>
      </c>
      <c r="Q20" s="126">
        <v>0</v>
      </c>
      <c r="R20" s="127">
        <v>0</v>
      </c>
      <c r="S20" s="91">
        <f t="shared" si="5"/>
        <v>33134.29</v>
      </c>
      <c r="T20" s="108">
        <f t="shared" si="6"/>
        <v>8808.119999999999</v>
      </c>
      <c r="U20" s="92">
        <v>4052.94</v>
      </c>
      <c r="V20" s="92">
        <v>5486.52</v>
      </c>
      <c r="W20" s="92">
        <v>13187.07</v>
      </c>
      <c r="X20" s="92">
        <v>9133.9</v>
      </c>
      <c r="Y20" s="92">
        <v>3242.38</v>
      </c>
      <c r="Z20" s="123">
        <v>0</v>
      </c>
      <c r="AA20" s="123">
        <v>0</v>
      </c>
      <c r="AB20" s="116">
        <f t="shared" si="3"/>
        <v>35102.81</v>
      </c>
      <c r="AC20" s="113">
        <f t="shared" si="7"/>
        <v>48314.355</v>
      </c>
      <c r="AD20" s="102">
        <f t="shared" si="8"/>
        <v>0</v>
      </c>
      <c r="AE20" s="102">
        <f t="shared" si="9"/>
        <v>0</v>
      </c>
      <c r="AF20" s="102">
        <f>'[2]Т07-09'!$I$19+'[2]Т07-09'!$I$23+'[2]Т07-09'!$I$56+'[2]Т07-09'!$I$84</f>
        <v>5018.3364200000005</v>
      </c>
      <c r="AG20" s="16">
        <f aca="true" t="shared" si="20" ref="AG20:AG25">0.6*B20</f>
        <v>3214.74</v>
      </c>
      <c r="AH20" s="16">
        <f>B20*0.2*0.99425</f>
        <v>1065.4184149999999</v>
      </c>
      <c r="AI20" s="16">
        <f>0.85*B20*0.9857</f>
        <v>4489.089725499999</v>
      </c>
      <c r="AJ20" s="16">
        <f t="shared" si="10"/>
        <v>808.0361505899998</v>
      </c>
      <c r="AK20" s="16">
        <f>0.83*B20*0.9905</f>
        <v>4404.8099585</v>
      </c>
      <c r="AL20" s="16">
        <f t="shared" si="11"/>
        <v>792.86579253</v>
      </c>
      <c r="AM20" s="16">
        <f>(1.91)*B20*0.9904</f>
        <v>10135.346545599998</v>
      </c>
      <c r="AN20" s="16">
        <f t="shared" si="12"/>
        <v>1824.3623782079994</v>
      </c>
      <c r="AO20" s="16"/>
      <c r="AP20" s="16">
        <f t="shared" si="13"/>
        <v>0</v>
      </c>
      <c r="AQ20" s="117"/>
      <c r="AR20" s="117">
        <f t="shared" si="13"/>
        <v>0</v>
      </c>
      <c r="AS20" s="97">
        <v>12816.62</v>
      </c>
      <c r="AT20" s="97"/>
      <c r="AU20" s="97">
        <f t="shared" si="14"/>
        <v>2306.9916</v>
      </c>
      <c r="AV20" s="118"/>
      <c r="AW20" s="136">
        <v>1112</v>
      </c>
      <c r="AX20" s="16">
        <f t="shared" si="18"/>
        <v>1469.6192</v>
      </c>
      <c r="AY20" s="121"/>
      <c r="AZ20" s="122"/>
      <c r="BA20" s="122">
        <f t="shared" si="0"/>
        <v>0</v>
      </c>
      <c r="BB20" s="122">
        <f t="shared" si="17"/>
        <v>43327.899765928</v>
      </c>
      <c r="BC20" s="128">
        <f>'[3]Т07-09'!$O$19+'[3]Т07-09'!$O$23+'[3]Т07-09'!$O$56+'[3]Т07-09'!$O$84</f>
        <v>2050.10068274</v>
      </c>
      <c r="BD20" s="14">
        <f t="shared" si="15"/>
        <v>7954.690971332004</v>
      </c>
      <c r="BE20" s="30">
        <f t="shared" si="16"/>
        <v>1968.5199999999968</v>
      </c>
    </row>
    <row r="21" spans="1:57" ht="12.75">
      <c r="A21" s="11" t="s">
        <v>52</v>
      </c>
      <c r="B21" s="115">
        <v>5357.9</v>
      </c>
      <c r="C21" s="105">
        <f t="shared" si="2"/>
        <v>46345.835</v>
      </c>
      <c r="D21" s="130">
        <f t="shared" si="19"/>
        <v>4972.285000000001</v>
      </c>
      <c r="E21" s="126">
        <v>3742.32</v>
      </c>
      <c r="F21" s="126">
        <v>1033.42</v>
      </c>
      <c r="G21" s="126">
        <v>5067.67</v>
      </c>
      <c r="H21" s="126">
        <v>1400.82</v>
      </c>
      <c r="I21" s="126">
        <v>12177.9</v>
      </c>
      <c r="J21" s="126">
        <v>3364.34</v>
      </c>
      <c r="K21" s="126">
        <v>8435.61</v>
      </c>
      <c r="L21" s="126">
        <v>2330.94</v>
      </c>
      <c r="M21" s="126">
        <v>2993.81</v>
      </c>
      <c r="N21" s="126">
        <v>826.72</v>
      </c>
      <c r="O21" s="126">
        <v>0</v>
      </c>
      <c r="P21" s="127">
        <v>0</v>
      </c>
      <c r="Q21" s="92">
        <v>0</v>
      </c>
      <c r="R21" s="92">
        <v>0</v>
      </c>
      <c r="S21" s="91">
        <f t="shared" si="5"/>
        <v>32417.31</v>
      </c>
      <c r="T21" s="108">
        <f t="shared" si="6"/>
        <v>8956.24</v>
      </c>
      <c r="U21" s="92">
        <v>3405.52</v>
      </c>
      <c r="V21" s="92">
        <v>4610.54</v>
      </c>
      <c r="W21" s="92">
        <v>11080.79</v>
      </c>
      <c r="X21" s="92">
        <v>7675.46</v>
      </c>
      <c r="Y21" s="92">
        <v>2724.38</v>
      </c>
      <c r="Z21" s="123">
        <v>0</v>
      </c>
      <c r="AA21" s="123">
        <v>0</v>
      </c>
      <c r="AB21" s="116">
        <f t="shared" si="3"/>
        <v>29496.69</v>
      </c>
      <c r="AC21" s="113">
        <f t="shared" si="7"/>
        <v>43425.215</v>
      </c>
      <c r="AD21" s="102">
        <f t="shared" si="8"/>
        <v>0</v>
      </c>
      <c r="AE21" s="102">
        <f t="shared" si="9"/>
        <v>0</v>
      </c>
      <c r="AF21" s="102">
        <f>'[2]Т07-09'!$I$19+'[2]Т07-09'!$I$23+'[2]Т07-09'!$I$56+'[2]Т07-09'!$I$84</f>
        <v>5018.3364200000005</v>
      </c>
      <c r="AG21" s="16">
        <f t="shared" si="20"/>
        <v>3214.74</v>
      </c>
      <c r="AH21" s="16">
        <f>B21*0.2*0.99876</f>
        <v>1070.2512408</v>
      </c>
      <c r="AI21" s="16">
        <f>0.85*B21*0.98525</f>
        <v>4487.040328749999</v>
      </c>
      <c r="AJ21" s="16">
        <f t="shared" si="10"/>
        <v>807.6672591749999</v>
      </c>
      <c r="AK21" s="16">
        <f>0.83*B21*0.99</f>
        <v>4402.586429999999</v>
      </c>
      <c r="AL21" s="16">
        <f t="shared" si="11"/>
        <v>792.4655573999999</v>
      </c>
      <c r="AM21" s="16">
        <f>(1.91)*B21*0.9899</f>
        <v>10130.229751099998</v>
      </c>
      <c r="AN21" s="16">
        <f t="shared" si="12"/>
        <v>1823.4413551979997</v>
      </c>
      <c r="AO21" s="16"/>
      <c r="AP21" s="16">
        <f t="shared" si="13"/>
        <v>0</v>
      </c>
      <c r="AQ21" s="117">
        <f>1525.04+14710.8</f>
        <v>16235.84</v>
      </c>
      <c r="AR21" s="117">
        <f t="shared" si="13"/>
        <v>2922.4512</v>
      </c>
      <c r="AS21" s="97">
        <v>3907</v>
      </c>
      <c r="AT21" s="97"/>
      <c r="AU21" s="97">
        <f t="shared" si="14"/>
        <v>703.26</v>
      </c>
      <c r="AV21" s="118"/>
      <c r="AW21" s="136">
        <v>808</v>
      </c>
      <c r="AX21" s="16">
        <f t="shared" si="18"/>
        <v>1067.8528</v>
      </c>
      <c r="AY21" s="121"/>
      <c r="AZ21" s="122"/>
      <c r="BA21" s="122">
        <f t="shared" si="0"/>
        <v>0</v>
      </c>
      <c r="BB21" s="122">
        <f t="shared" si="17"/>
        <v>51564.825922423</v>
      </c>
      <c r="BC21" s="128">
        <f>'[3]Т08-09'!$O$19+'[3]Т08-09'!$O$23+'[3]Т08-09'!$O$57+'[3]Т08-09'!$O$85</f>
        <v>2049.169184722</v>
      </c>
      <c r="BD21" s="14">
        <f t="shared" si="15"/>
        <v>-5170.4436871450025</v>
      </c>
      <c r="BE21" s="30">
        <f t="shared" si="16"/>
        <v>-2920.6200000000026</v>
      </c>
    </row>
    <row r="22" spans="1:57" ht="12.75">
      <c r="A22" s="11" t="s">
        <v>53</v>
      </c>
      <c r="B22" s="104">
        <v>5356.5</v>
      </c>
      <c r="C22" s="105">
        <f t="shared" si="2"/>
        <v>46333.725</v>
      </c>
      <c r="D22" s="130">
        <f t="shared" si="19"/>
        <v>4360.805000000004</v>
      </c>
      <c r="E22" s="107">
        <v>3810.6</v>
      </c>
      <c r="F22" s="107">
        <v>1034.59</v>
      </c>
      <c r="G22" s="107">
        <v>5159.46</v>
      </c>
      <c r="H22" s="107">
        <v>1402.36</v>
      </c>
      <c r="I22" s="107">
        <v>12399.42</v>
      </c>
      <c r="J22" s="107">
        <v>3368.06</v>
      </c>
      <c r="K22" s="107">
        <v>8588.82</v>
      </c>
      <c r="L22" s="107">
        <v>2333.52</v>
      </c>
      <c r="M22" s="107">
        <v>3048.45</v>
      </c>
      <c r="N22" s="107">
        <v>827.64</v>
      </c>
      <c r="O22" s="107">
        <v>0</v>
      </c>
      <c r="P22" s="114">
        <v>0</v>
      </c>
      <c r="Q22" s="107">
        <v>0</v>
      </c>
      <c r="R22" s="114">
        <v>0</v>
      </c>
      <c r="S22" s="91">
        <f t="shared" si="5"/>
        <v>33006.75</v>
      </c>
      <c r="T22" s="108">
        <f t="shared" si="6"/>
        <v>8966.169999999998</v>
      </c>
      <c r="U22" s="91">
        <v>3411.22</v>
      </c>
      <c r="V22" s="91">
        <v>4618.81</v>
      </c>
      <c r="W22" s="91">
        <v>11099.96</v>
      </c>
      <c r="X22" s="91">
        <v>7688.63</v>
      </c>
      <c r="Y22" s="91">
        <v>2728.94</v>
      </c>
      <c r="Z22" s="109">
        <v>0</v>
      </c>
      <c r="AA22" s="109">
        <v>0</v>
      </c>
      <c r="AB22" s="116">
        <f t="shared" si="3"/>
        <v>29547.559999999998</v>
      </c>
      <c r="AC22" s="113">
        <f t="shared" si="7"/>
        <v>42874.535</v>
      </c>
      <c r="AD22" s="102">
        <f t="shared" si="8"/>
        <v>0</v>
      </c>
      <c r="AE22" s="102">
        <f t="shared" si="9"/>
        <v>0</v>
      </c>
      <c r="AF22" s="102">
        <f>'[2]Т07-09'!$I$19+'[2]Т07-09'!$I$23+'[2]Т07-09'!$I$56+'[2]Т07-09'!$I$84</f>
        <v>5018.3364200000005</v>
      </c>
      <c r="AG22" s="16">
        <f t="shared" si="20"/>
        <v>3213.9</v>
      </c>
      <c r="AH22" s="16">
        <f>B22*0.2*0.9997</f>
        <v>1070.97861</v>
      </c>
      <c r="AI22" s="16">
        <f>0.85*B22*0.98508</f>
        <v>4485.093867</v>
      </c>
      <c r="AJ22" s="16">
        <f t="shared" si="10"/>
        <v>807.3168960599999</v>
      </c>
      <c r="AK22" s="16">
        <f>0.83*B22*0.98981</f>
        <v>4400.59132995</v>
      </c>
      <c r="AL22" s="16">
        <f t="shared" si="11"/>
        <v>792.106439391</v>
      </c>
      <c r="AM22" s="16">
        <f>(1.91)*B22*0.98981</f>
        <v>10126.661976149999</v>
      </c>
      <c r="AN22" s="16">
        <f t="shared" si="12"/>
        <v>1822.7991557069997</v>
      </c>
      <c r="AO22" s="16"/>
      <c r="AP22" s="16">
        <f t="shared" si="13"/>
        <v>0</v>
      </c>
      <c r="AQ22" s="117"/>
      <c r="AR22" s="117">
        <f t="shared" si="13"/>
        <v>0</v>
      </c>
      <c r="AS22" s="97"/>
      <c r="AT22" s="97"/>
      <c r="AU22" s="97">
        <f t="shared" si="14"/>
        <v>0</v>
      </c>
      <c r="AV22" s="118"/>
      <c r="AW22" s="136">
        <v>701</v>
      </c>
      <c r="AX22" s="16">
        <f t="shared" si="18"/>
        <v>926.4416000000001</v>
      </c>
      <c r="AY22" s="121"/>
      <c r="AZ22" s="122"/>
      <c r="BA22" s="122">
        <f t="shared" si="0"/>
        <v>0</v>
      </c>
      <c r="BB22" s="122">
        <f t="shared" si="17"/>
        <v>27645.889874258</v>
      </c>
      <c r="BC22" s="128">
        <f>'[3]Т09-09'!$O$19+'[3]Т09-09'!$O$23+'[3]Т09-09'!$O$57+'[3]Т09-09'!$O$85</f>
        <v>2048.8592600938</v>
      </c>
      <c r="BD22" s="14">
        <f t="shared" si="15"/>
        <v>18198.122285648205</v>
      </c>
      <c r="BE22" s="30">
        <f>AB22-S22</f>
        <v>-3459.1900000000023</v>
      </c>
    </row>
    <row r="23" spans="1:57" ht="12.75">
      <c r="A23" s="11" t="s">
        <v>41</v>
      </c>
      <c r="B23" s="104">
        <v>5355.7</v>
      </c>
      <c r="C23" s="131">
        <f t="shared" si="2"/>
        <v>46326.805</v>
      </c>
      <c r="D23" s="130">
        <f t="shared" si="19"/>
        <v>4362.4749999999985</v>
      </c>
      <c r="E23" s="93">
        <f>3807.41-13.16</f>
        <v>3794.25</v>
      </c>
      <c r="F23" s="91">
        <v>1049.93</v>
      </c>
      <c r="G23" s="91">
        <f>5155.17-17.84</f>
        <v>5137.33</v>
      </c>
      <c r="H23" s="91">
        <v>1423.16</v>
      </c>
      <c r="I23" s="91">
        <f>12389.06-42.86</f>
        <v>12346.199999999999</v>
      </c>
      <c r="J23" s="91">
        <v>3418.05</v>
      </c>
      <c r="K23" s="91">
        <f>8581.66-29.7</f>
        <v>8551.96</v>
      </c>
      <c r="L23" s="91">
        <v>2368.16</v>
      </c>
      <c r="M23" s="91">
        <f>3045.89-10.54</f>
        <v>3035.35</v>
      </c>
      <c r="N23" s="91">
        <v>839.94</v>
      </c>
      <c r="O23" s="91">
        <v>0</v>
      </c>
      <c r="P23" s="109">
        <v>0</v>
      </c>
      <c r="Q23" s="91">
        <v>0</v>
      </c>
      <c r="R23" s="91">
        <v>0</v>
      </c>
      <c r="S23" s="91">
        <f t="shared" si="5"/>
        <v>32865.09</v>
      </c>
      <c r="T23" s="108">
        <f t="shared" si="6"/>
        <v>9099.24</v>
      </c>
      <c r="U23" s="94">
        <f>3300.7+385.94</f>
        <v>3686.64</v>
      </c>
      <c r="V23" s="91">
        <f>4468.21+522.63</f>
        <v>4990.84</v>
      </c>
      <c r="W23" s="91">
        <f>10739.2+1255.99</f>
        <v>11995.19</v>
      </c>
      <c r="X23" s="91">
        <f>7438.64+869.98</f>
        <v>8308.62</v>
      </c>
      <c r="Y23" s="91">
        <f>2640.39+308.83</f>
        <v>2949.22</v>
      </c>
      <c r="Z23" s="109">
        <v>0</v>
      </c>
      <c r="AA23" s="109">
        <v>0</v>
      </c>
      <c r="AB23" s="109">
        <f>SUM(U23:AA23)</f>
        <v>31930.510000000002</v>
      </c>
      <c r="AC23" s="113">
        <f>AB23+T23+D23</f>
        <v>45392.225</v>
      </c>
      <c r="AD23" s="102">
        <f t="shared" si="8"/>
        <v>0</v>
      </c>
      <c r="AE23" s="102">
        <f t="shared" si="9"/>
        <v>0</v>
      </c>
      <c r="AF23" s="102">
        <f>'[1]Т10'!$I$19+'[1]Т10'!$I$24+'[1]Т10'!$I$59+'[1]Т10'!$I$92+'[1]Т10'!$I$116</f>
        <v>5404.1928800000005</v>
      </c>
      <c r="AG23" s="16">
        <f t="shared" si="20"/>
        <v>3213.4199999999996</v>
      </c>
      <c r="AH23" s="16">
        <f>B23*0.2</f>
        <v>1071.14</v>
      </c>
      <c r="AI23" s="16">
        <f>0.847*B23</f>
        <v>4536.2779</v>
      </c>
      <c r="AJ23" s="16">
        <f t="shared" si="10"/>
        <v>816.530022</v>
      </c>
      <c r="AK23" s="16">
        <f>0.83*B23</f>
        <v>4445.231</v>
      </c>
      <c r="AL23" s="16">
        <f t="shared" si="11"/>
        <v>800.14158</v>
      </c>
      <c r="AM23" s="16">
        <f>(2.25/1.18)*B23</f>
        <v>10212.139830508475</v>
      </c>
      <c r="AN23" s="16">
        <f t="shared" si="12"/>
        <v>1838.1851694915254</v>
      </c>
      <c r="AO23" s="16"/>
      <c r="AP23" s="16">
        <f t="shared" si="13"/>
        <v>0</v>
      </c>
      <c r="AQ23" s="117"/>
      <c r="AR23" s="117">
        <f t="shared" si="13"/>
        <v>0</v>
      </c>
      <c r="AS23" s="97">
        <f>7751.49</f>
        <v>7751.49</v>
      </c>
      <c r="AT23" s="97">
        <f>153+145.76</f>
        <v>298.76</v>
      </c>
      <c r="AU23" s="97">
        <f t="shared" si="14"/>
        <v>1449.0449999999998</v>
      </c>
      <c r="AV23" s="118"/>
      <c r="AW23" s="134">
        <v>968</v>
      </c>
      <c r="AX23" s="16">
        <f t="shared" si="18"/>
        <v>1279.3088</v>
      </c>
      <c r="AY23" s="121"/>
      <c r="AZ23" s="137"/>
      <c r="BA23" s="122">
        <f t="shared" si="0"/>
        <v>0</v>
      </c>
      <c r="BB23" s="122">
        <f>SUM(AG23:AU23)+AX23+AY23+AZ23+BA23</f>
        <v>37711.669301999995</v>
      </c>
      <c r="BC23" s="128">
        <f>'[4]Т10'!$O$19+'[4]Т10'!$O$24+'[4]Т10'!$O$59+'[4]Т10'!$O$92+'[4]Т10'!$O$116</f>
        <v>2094.5659539999997</v>
      </c>
      <c r="BD23" s="14">
        <f t="shared" si="15"/>
        <v>10990.182624000006</v>
      </c>
      <c r="BE23" s="30">
        <f>AB23-S23</f>
        <v>-934.5799999999945</v>
      </c>
    </row>
    <row r="24" spans="1:57" ht="12.75">
      <c r="A24" s="11" t="s">
        <v>42</v>
      </c>
      <c r="B24" s="115">
        <v>5355.7</v>
      </c>
      <c r="C24" s="131">
        <f t="shared" si="2"/>
        <v>46326.805</v>
      </c>
      <c r="D24" s="130">
        <f t="shared" si="19"/>
        <v>4396.1749999999965</v>
      </c>
      <c r="E24" s="107">
        <v>3787.22</v>
      </c>
      <c r="F24" s="107">
        <v>1053.06</v>
      </c>
      <c r="G24" s="107">
        <v>5127.84</v>
      </c>
      <c r="H24" s="107">
        <v>1427.4</v>
      </c>
      <c r="I24" s="107">
        <v>12323.34</v>
      </c>
      <c r="J24" s="107">
        <v>3428.24</v>
      </c>
      <c r="K24" s="107">
        <v>8536.13</v>
      </c>
      <c r="L24" s="107">
        <v>2375.22</v>
      </c>
      <c r="M24" s="107">
        <v>3029.73</v>
      </c>
      <c r="N24" s="107">
        <v>842.45</v>
      </c>
      <c r="O24" s="107">
        <v>0</v>
      </c>
      <c r="P24" s="114">
        <v>0</v>
      </c>
      <c r="Q24" s="114">
        <v>0</v>
      </c>
      <c r="R24" s="114">
        <v>0</v>
      </c>
      <c r="S24" s="91">
        <f t="shared" si="5"/>
        <v>32804.26</v>
      </c>
      <c r="T24" s="108">
        <f t="shared" si="6"/>
        <v>9126.369999999999</v>
      </c>
      <c r="U24" s="91">
        <v>3541.11</v>
      </c>
      <c r="V24" s="91">
        <v>4795.48</v>
      </c>
      <c r="W24" s="91">
        <v>11523.39</v>
      </c>
      <c r="X24" s="91">
        <v>7981.94</v>
      </c>
      <c r="Y24" s="91">
        <v>2832.87</v>
      </c>
      <c r="Z24" s="109">
        <v>0</v>
      </c>
      <c r="AA24" s="109">
        <v>0</v>
      </c>
      <c r="AB24" s="109">
        <f>SUM(U24:AA24)</f>
        <v>30674.789999999997</v>
      </c>
      <c r="AC24" s="113">
        <f>D24+T24+AB24</f>
        <v>44197.33499999999</v>
      </c>
      <c r="AD24" s="102">
        <f t="shared" si="8"/>
        <v>0</v>
      </c>
      <c r="AE24" s="102">
        <f t="shared" si="9"/>
        <v>0</v>
      </c>
      <c r="AF24" s="102">
        <f>'[1]Т11'!$I$19+'[1]Т11'!$I$24+'[1]Т11'!$I$59+'[1]Т11'!$I$92+'[1]Т11'!$I$116</f>
        <v>5404.1928800000005</v>
      </c>
      <c r="AG24" s="16">
        <f t="shared" si="20"/>
        <v>3213.4199999999996</v>
      </c>
      <c r="AH24" s="16">
        <f>B24*0.2</f>
        <v>1071.14</v>
      </c>
      <c r="AI24" s="16">
        <f>0.85*B24</f>
        <v>4552.344999999999</v>
      </c>
      <c r="AJ24" s="16">
        <f t="shared" si="10"/>
        <v>819.4220999999999</v>
      </c>
      <c r="AK24" s="16">
        <f>0.83*B24</f>
        <v>4445.231</v>
      </c>
      <c r="AL24" s="16">
        <f t="shared" si="11"/>
        <v>800.14158</v>
      </c>
      <c r="AM24" s="16">
        <f>(1.91)*B24</f>
        <v>10229.386999999999</v>
      </c>
      <c r="AN24" s="16">
        <f t="shared" si="12"/>
        <v>1841.2896599999997</v>
      </c>
      <c r="AO24" s="16"/>
      <c r="AP24" s="16">
        <f t="shared" si="13"/>
        <v>0</v>
      </c>
      <c r="AQ24" s="117"/>
      <c r="AR24" s="117">
        <f t="shared" si="13"/>
        <v>0</v>
      </c>
      <c r="AS24" s="97">
        <v>6183</v>
      </c>
      <c r="AT24" s="97"/>
      <c r="AU24" s="97">
        <f t="shared" si="14"/>
        <v>1112.94</v>
      </c>
      <c r="AV24" s="118"/>
      <c r="AW24" s="134">
        <v>1038</v>
      </c>
      <c r="AX24" s="16">
        <f t="shared" si="18"/>
        <v>1371.8208000000002</v>
      </c>
      <c r="AY24" s="121"/>
      <c r="AZ24" s="122"/>
      <c r="BA24" s="122">
        <f t="shared" si="0"/>
        <v>0</v>
      </c>
      <c r="BB24" s="122">
        <f>SUM(AG24:AU24)+AX24+AY24+AZ24+BA24</f>
        <v>35640.13714</v>
      </c>
      <c r="BC24" s="132">
        <f>'[1]Т11'!$O$19+'[1]Т11'!$O$24+'[1]Т11'!$O$59+'[1]Т11'!$O$92+'[1]Т11'!$O$116</f>
        <v>2223.29052</v>
      </c>
      <c r="BD24" s="14">
        <f t="shared" si="15"/>
        <v>11738.100219999995</v>
      </c>
      <c r="BE24" s="30">
        <f t="shared" si="16"/>
        <v>-2129.470000000005</v>
      </c>
    </row>
    <row r="25" spans="1:57" ht="12.75">
      <c r="A25" s="11" t="s">
        <v>43</v>
      </c>
      <c r="B25" s="104">
        <v>5356</v>
      </c>
      <c r="C25" s="131">
        <f t="shared" si="2"/>
        <v>46329.4</v>
      </c>
      <c r="D25" s="130">
        <f t="shared" si="19"/>
        <v>-383.7100000000032</v>
      </c>
      <c r="E25" s="107">
        <v>4338.48</v>
      </c>
      <c r="F25" s="107">
        <v>1053.2</v>
      </c>
      <c r="G25" s="107">
        <v>5876.27</v>
      </c>
      <c r="H25" s="107">
        <v>1427.58</v>
      </c>
      <c r="I25" s="107">
        <v>14119.28</v>
      </c>
      <c r="J25" s="107">
        <v>3428.68</v>
      </c>
      <c r="K25" s="107">
        <v>9780.82</v>
      </c>
      <c r="L25" s="107">
        <v>2375.52</v>
      </c>
      <c r="M25" s="107">
        <v>3470.72</v>
      </c>
      <c r="N25" s="107">
        <v>842.56</v>
      </c>
      <c r="O25" s="107">
        <v>0</v>
      </c>
      <c r="P25" s="114">
        <v>0</v>
      </c>
      <c r="Q25" s="114"/>
      <c r="R25" s="114"/>
      <c r="S25" s="91">
        <f t="shared" si="5"/>
        <v>37585.57</v>
      </c>
      <c r="T25" s="108">
        <f t="shared" si="6"/>
        <v>9127.54</v>
      </c>
      <c r="U25" s="91">
        <v>4864.11</v>
      </c>
      <c r="V25" s="91">
        <v>6585.37</v>
      </c>
      <c r="W25" s="91">
        <v>15826.91</v>
      </c>
      <c r="X25" s="91">
        <v>10962.98</v>
      </c>
      <c r="Y25" s="91">
        <v>3891.35</v>
      </c>
      <c r="Z25" s="109">
        <v>0</v>
      </c>
      <c r="AA25" s="109">
        <v>0</v>
      </c>
      <c r="AB25" s="109">
        <f>SUM(U25:AA25)</f>
        <v>42130.719999999994</v>
      </c>
      <c r="AC25" s="113">
        <f>D25+T25+AB25</f>
        <v>50874.54999999999</v>
      </c>
      <c r="AD25" s="102">
        <f t="shared" si="8"/>
        <v>0</v>
      </c>
      <c r="AE25" s="102">
        <f t="shared" si="9"/>
        <v>0</v>
      </c>
      <c r="AF25" s="102">
        <f>'[1]Т12'!$I$19+'[1]Т12'!$I$24+'[1]Т12'!$I$60+'[1]Т12'!$I$93+'[1]Т12'!$I$118</f>
        <v>5404.1928800000005</v>
      </c>
      <c r="AG25" s="16">
        <f t="shared" si="20"/>
        <v>3213.6</v>
      </c>
      <c r="AH25" s="16">
        <f>B25*0.2</f>
        <v>1071.2</v>
      </c>
      <c r="AI25" s="16">
        <f>0.85*B25</f>
        <v>4552.599999999999</v>
      </c>
      <c r="AJ25" s="16">
        <f t="shared" si="10"/>
        <v>819.4679999999998</v>
      </c>
      <c r="AK25" s="16">
        <f>0.83*B25</f>
        <v>4445.48</v>
      </c>
      <c r="AL25" s="16">
        <f t="shared" si="11"/>
        <v>800.1863999999999</v>
      </c>
      <c r="AM25" s="16">
        <f>(1.91)*B25</f>
        <v>10229.96</v>
      </c>
      <c r="AN25" s="16">
        <f t="shared" si="12"/>
        <v>1841.3927999999999</v>
      </c>
      <c r="AO25" s="16"/>
      <c r="AP25" s="16">
        <f t="shared" si="13"/>
        <v>0</v>
      </c>
      <c r="AQ25" s="117"/>
      <c r="AR25" s="117">
        <f t="shared" si="13"/>
        <v>0</v>
      </c>
      <c r="AS25" s="97">
        <v>3352</v>
      </c>
      <c r="AT25" s="97"/>
      <c r="AU25" s="97">
        <f t="shared" si="14"/>
        <v>603.36</v>
      </c>
      <c r="AV25" s="118"/>
      <c r="AW25" s="134">
        <v>1286</v>
      </c>
      <c r="AX25" s="16">
        <f t="shared" si="18"/>
        <v>1699.5776</v>
      </c>
      <c r="AY25" s="121"/>
      <c r="AZ25" s="122"/>
      <c r="BA25" s="122">
        <f t="shared" si="0"/>
        <v>0</v>
      </c>
      <c r="BB25" s="122">
        <f>SUM(AG25:BA25)-AV25-AW25</f>
        <v>32628.824799999995</v>
      </c>
      <c r="BC25" s="132">
        <f>'[1]Т12'!$O$19+'[1]Т12'!$O$24+'[1]Т12'!$O$60+'[1]Т12'!$O$93+'[1]Т12'!$O$118</f>
        <v>2223.29052</v>
      </c>
      <c r="BD25" s="14">
        <f>AC25+AF25-BB25-BC25</f>
        <v>21426.627559999997</v>
      </c>
      <c r="BE25" s="30">
        <f>AB25-S25</f>
        <v>4545.149999999994</v>
      </c>
    </row>
    <row r="26" spans="1:57" s="20" customFormat="1" ht="12.75">
      <c r="A26" s="17" t="s">
        <v>5</v>
      </c>
      <c r="B26" s="60"/>
      <c r="C26" s="60">
        <f aca="true" t="shared" si="21" ref="C26:BC26">SUM(C14:C25)</f>
        <v>556083.415</v>
      </c>
      <c r="D26" s="60">
        <f t="shared" si="21"/>
        <v>54317.29250000001</v>
      </c>
      <c r="E26" s="57">
        <f t="shared" si="21"/>
        <v>43809.28999999999</v>
      </c>
      <c r="F26" s="57">
        <f t="shared" si="21"/>
        <v>11979.44</v>
      </c>
      <c r="G26" s="57">
        <f t="shared" si="21"/>
        <v>59268.55</v>
      </c>
      <c r="H26" s="57">
        <f t="shared" si="21"/>
        <v>16217.96</v>
      </c>
      <c r="I26" s="57">
        <f t="shared" si="21"/>
        <v>144879.18</v>
      </c>
      <c r="J26" s="57">
        <f t="shared" si="21"/>
        <v>38978.770000000004</v>
      </c>
      <c r="K26" s="57">
        <f t="shared" si="21"/>
        <v>101454.98000000001</v>
      </c>
      <c r="L26" s="57">
        <f t="shared" si="21"/>
        <v>26999.63</v>
      </c>
      <c r="M26" s="57">
        <f t="shared" si="21"/>
        <v>35046.79</v>
      </c>
      <c r="N26" s="57">
        <f t="shared" si="21"/>
        <v>9583.590000000002</v>
      </c>
      <c r="O26" s="57">
        <f t="shared" si="21"/>
        <v>0</v>
      </c>
      <c r="P26" s="57">
        <f t="shared" si="21"/>
        <v>0</v>
      </c>
      <c r="Q26" s="57">
        <f t="shared" si="21"/>
        <v>0</v>
      </c>
      <c r="R26" s="57">
        <f t="shared" si="21"/>
        <v>0</v>
      </c>
      <c r="S26" s="57">
        <f t="shared" si="21"/>
        <v>384458.79</v>
      </c>
      <c r="T26" s="57">
        <f t="shared" si="21"/>
        <v>103759.39000000001</v>
      </c>
      <c r="U26" s="61">
        <f t="shared" si="21"/>
        <v>41224.490000000005</v>
      </c>
      <c r="V26" s="61">
        <f t="shared" si="21"/>
        <v>55752.86999999999</v>
      </c>
      <c r="W26" s="61">
        <f t="shared" si="21"/>
        <v>134078.09</v>
      </c>
      <c r="X26" s="61">
        <f t="shared" si="21"/>
        <v>92853.36</v>
      </c>
      <c r="Y26" s="61">
        <f t="shared" si="21"/>
        <v>32979.06</v>
      </c>
      <c r="Z26" s="61">
        <f t="shared" si="21"/>
        <v>0</v>
      </c>
      <c r="AA26" s="61">
        <f t="shared" si="21"/>
        <v>0</v>
      </c>
      <c r="AB26" s="61">
        <f t="shared" si="21"/>
        <v>356887.86999999994</v>
      </c>
      <c r="AC26" s="61">
        <f t="shared" si="21"/>
        <v>514964.55249999993</v>
      </c>
      <c r="AD26" s="61">
        <f t="shared" si="21"/>
        <v>0</v>
      </c>
      <c r="AE26" s="100">
        <f t="shared" si="21"/>
        <v>0</v>
      </c>
      <c r="AF26" s="100">
        <f t="shared" si="21"/>
        <v>56583.63222000001</v>
      </c>
      <c r="AG26" s="18">
        <f t="shared" si="21"/>
        <v>37286.363999999994</v>
      </c>
      <c r="AH26" s="18">
        <f t="shared" si="21"/>
        <v>12483.4829588</v>
      </c>
      <c r="AI26" s="18">
        <f t="shared" si="21"/>
        <v>52122.84860974999</v>
      </c>
      <c r="AJ26" s="18">
        <f t="shared" si="21"/>
        <v>9382.112749755</v>
      </c>
      <c r="AK26" s="18">
        <f t="shared" si="21"/>
        <v>50668.32453205</v>
      </c>
      <c r="AL26" s="18">
        <f t="shared" si="21"/>
        <v>9120.298415769</v>
      </c>
      <c r="AM26" s="18">
        <f t="shared" si="21"/>
        <v>116578.88871055844</v>
      </c>
      <c r="AN26" s="18">
        <f t="shared" si="21"/>
        <v>20984.19996790052</v>
      </c>
      <c r="AO26" s="18">
        <f t="shared" si="21"/>
        <v>0</v>
      </c>
      <c r="AP26" s="18">
        <f t="shared" si="21"/>
        <v>0</v>
      </c>
      <c r="AQ26" s="18">
        <f>SUM(AQ14:AQ25)</f>
        <v>16235.84</v>
      </c>
      <c r="AR26" s="18">
        <f>SUM(AR14:AR25)</f>
        <v>2922.4512</v>
      </c>
      <c r="AS26" s="18">
        <f>SUM(AS14:AS25)</f>
        <v>82413.23000000001</v>
      </c>
      <c r="AT26" s="18">
        <f>SUM(AT14:AT25)</f>
        <v>1098.76</v>
      </c>
      <c r="AU26" s="18">
        <f>SUM(AU14:AU25)</f>
        <v>15032.1682</v>
      </c>
      <c r="AV26" s="18"/>
      <c r="AW26" s="18"/>
      <c r="AX26" s="18">
        <f t="shared" si="21"/>
        <v>14819.100400000001</v>
      </c>
      <c r="AY26" s="18">
        <f t="shared" si="21"/>
        <v>0</v>
      </c>
      <c r="AZ26" s="18">
        <f t="shared" si="21"/>
        <v>0</v>
      </c>
      <c r="BA26" s="18">
        <f t="shared" si="21"/>
        <v>0</v>
      </c>
      <c r="BB26" s="18">
        <f t="shared" si="21"/>
        <v>441148.0697445829</v>
      </c>
      <c r="BC26" s="18">
        <f t="shared" si="21"/>
        <v>22315.740351779794</v>
      </c>
      <c r="BD26" s="18">
        <f>SUM(BD14:BD25)</f>
        <v>108084.37462363724</v>
      </c>
      <c r="BE26" s="19">
        <f>SUM(BE14:BE25)</f>
        <v>-25876.950000000008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101"/>
      <c r="AD27" s="101"/>
      <c r="AE27" s="102"/>
      <c r="AF27" s="102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6"/>
      <c r="AT27" s="96"/>
      <c r="AU27" s="97"/>
      <c r="AV27" s="97"/>
      <c r="AW27" s="97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695120.92</v>
      </c>
      <c r="D28" s="23">
        <f>D12+D26</f>
        <v>87784.08341185</v>
      </c>
      <c r="E28" s="50">
        <f aca="true" t="shared" si="22" ref="E28:BC28">E12+E26</f>
        <v>54167.149999999994</v>
      </c>
      <c r="F28" s="50">
        <f t="shared" si="22"/>
        <v>14760.54</v>
      </c>
      <c r="G28" s="50">
        <f t="shared" si="22"/>
        <v>73256.05</v>
      </c>
      <c r="H28" s="50">
        <f t="shared" si="22"/>
        <v>19972.54</v>
      </c>
      <c r="I28" s="50">
        <f t="shared" si="22"/>
        <v>178553.25</v>
      </c>
      <c r="J28" s="50">
        <f t="shared" si="22"/>
        <v>47717.26</v>
      </c>
      <c r="K28" s="50">
        <f t="shared" si="22"/>
        <v>124767.77000000002</v>
      </c>
      <c r="L28" s="50">
        <f t="shared" si="22"/>
        <v>33257.01</v>
      </c>
      <c r="M28" s="50">
        <f t="shared" si="22"/>
        <v>43335.6</v>
      </c>
      <c r="N28" s="50">
        <f>N12+N26</f>
        <v>11808.54</v>
      </c>
      <c r="O28" s="50">
        <f t="shared" si="22"/>
        <v>0</v>
      </c>
      <c r="P28" s="50">
        <f t="shared" si="22"/>
        <v>0</v>
      </c>
      <c r="Q28" s="50">
        <f t="shared" si="22"/>
        <v>0</v>
      </c>
      <c r="R28" s="50">
        <f t="shared" si="22"/>
        <v>0</v>
      </c>
      <c r="S28" s="50">
        <f t="shared" si="22"/>
        <v>474079.81999999995</v>
      </c>
      <c r="T28" s="50">
        <f t="shared" si="22"/>
        <v>127515.89000000001</v>
      </c>
      <c r="U28" s="53">
        <f t="shared" si="22"/>
        <v>47255.26000000001</v>
      </c>
      <c r="V28" s="53">
        <f t="shared" si="22"/>
        <v>63898.93999999999</v>
      </c>
      <c r="W28" s="53">
        <f t="shared" si="22"/>
        <v>153689.49</v>
      </c>
      <c r="X28" s="53">
        <f t="shared" si="22"/>
        <v>106430.35</v>
      </c>
      <c r="Y28" s="53">
        <f t="shared" si="22"/>
        <v>37806.35</v>
      </c>
      <c r="Z28" s="53">
        <f t="shared" si="22"/>
        <v>0</v>
      </c>
      <c r="AA28" s="53">
        <f t="shared" si="22"/>
        <v>0</v>
      </c>
      <c r="AB28" s="53">
        <f t="shared" si="22"/>
        <v>409080.38999999996</v>
      </c>
      <c r="AC28" s="53">
        <f t="shared" si="22"/>
        <v>624380.36341185</v>
      </c>
      <c r="AD28" s="53">
        <f t="shared" si="22"/>
        <v>0</v>
      </c>
      <c r="AE28" s="53">
        <f>AE12+AE26</f>
        <v>0</v>
      </c>
      <c r="AF28" s="53">
        <f t="shared" si="22"/>
        <v>56583.63222000001</v>
      </c>
      <c r="AG28" s="23">
        <f t="shared" si="22"/>
        <v>46930.583999999995</v>
      </c>
      <c r="AH28" s="23">
        <f t="shared" si="22"/>
        <v>15794.047788799999</v>
      </c>
      <c r="AI28" s="23">
        <f t="shared" si="22"/>
        <v>65801.11867775</v>
      </c>
      <c r="AJ28" s="23">
        <f t="shared" si="22"/>
        <v>11844.201361995001</v>
      </c>
      <c r="AK28" s="23">
        <f t="shared" si="22"/>
        <v>66585.52670253</v>
      </c>
      <c r="AL28" s="23">
        <f t="shared" si="22"/>
        <v>11985.3948064554</v>
      </c>
      <c r="AM28" s="23">
        <f t="shared" si="22"/>
        <v>145811.34269672845</v>
      </c>
      <c r="AN28" s="23">
        <f t="shared" si="22"/>
        <v>26246.041685411117</v>
      </c>
      <c r="AO28" s="23">
        <f t="shared" si="22"/>
        <v>0</v>
      </c>
      <c r="AP28" s="23">
        <f t="shared" si="22"/>
        <v>0</v>
      </c>
      <c r="AQ28" s="23">
        <f t="shared" si="22"/>
        <v>16235.84</v>
      </c>
      <c r="AR28" s="23">
        <f t="shared" si="22"/>
        <v>2922.4512</v>
      </c>
      <c r="AS28" s="23">
        <f t="shared" si="22"/>
        <v>112825.23000000001</v>
      </c>
      <c r="AT28" s="23">
        <f t="shared" si="22"/>
        <v>1098.76</v>
      </c>
      <c r="AU28" s="23">
        <f t="shared" si="22"/>
        <v>20506.3282</v>
      </c>
      <c r="AV28" s="23"/>
      <c r="AW28" s="23"/>
      <c r="AX28" s="23">
        <f t="shared" si="22"/>
        <v>14819.100400000001</v>
      </c>
      <c r="AY28" s="23">
        <f t="shared" si="22"/>
        <v>0</v>
      </c>
      <c r="AZ28" s="23">
        <f t="shared" si="22"/>
        <v>0</v>
      </c>
      <c r="BA28" s="23">
        <f t="shared" si="22"/>
        <v>0</v>
      </c>
      <c r="BB28" s="23">
        <f t="shared" si="22"/>
        <v>559405.9675196699</v>
      </c>
      <c r="BC28" s="23">
        <f t="shared" si="22"/>
        <v>22315.740351779794</v>
      </c>
      <c r="BD28" s="23">
        <f>BD12+BD26</f>
        <v>99242.28776040024</v>
      </c>
      <c r="BE28" s="24">
        <f>BE12+BE26</f>
        <v>-63305.46000000001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8"/>
      <c r="AD29" s="98"/>
      <c r="AE29" s="99"/>
      <c r="AF29" s="99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5"/>
      <c r="AT29" s="95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4">
        <v>5356</v>
      </c>
      <c r="C30" s="131">
        <f>B30*8.65</f>
        <v>46329.4</v>
      </c>
      <c r="D30" s="130">
        <f>C30-E30-F30-G30-H30-I30-J30-K30-L30-M30-N30</f>
        <v>4374.910000000007</v>
      </c>
      <c r="E30" s="107">
        <v>3789.83</v>
      </c>
      <c r="F30" s="107">
        <v>1053.21</v>
      </c>
      <c r="G30" s="107">
        <v>5131.38</v>
      </c>
      <c r="H30" s="107">
        <v>1427.57</v>
      </c>
      <c r="I30" s="107">
        <v>12331.85</v>
      </c>
      <c r="J30" s="107">
        <v>3428.71</v>
      </c>
      <c r="K30" s="107">
        <v>8542.05</v>
      </c>
      <c r="L30" s="107">
        <v>2375.52</v>
      </c>
      <c r="M30" s="107">
        <v>3031.81</v>
      </c>
      <c r="N30" s="107">
        <v>842.56</v>
      </c>
      <c r="O30" s="107">
        <v>0</v>
      </c>
      <c r="P30" s="114">
        <v>0</v>
      </c>
      <c r="Q30" s="114"/>
      <c r="R30" s="114"/>
      <c r="S30" s="91">
        <f>E30+G30+I30+K30+M30+O30+Q30</f>
        <v>32826.92</v>
      </c>
      <c r="T30" s="108">
        <f>P30+N30+L30+J30+H30+F30+R30</f>
        <v>9127.57</v>
      </c>
      <c r="U30" s="91">
        <v>2563.44</v>
      </c>
      <c r="V30" s="91">
        <v>3471.43</v>
      </c>
      <c r="W30" s="91">
        <v>8341.93</v>
      </c>
      <c r="X30" s="91">
        <v>5778.46</v>
      </c>
      <c r="Y30" s="91">
        <v>2050.75</v>
      </c>
      <c r="Z30" s="109">
        <v>0</v>
      </c>
      <c r="AA30" s="109">
        <v>0</v>
      </c>
      <c r="AB30" s="109">
        <f>SUM(U30:AA30)</f>
        <v>22206.01</v>
      </c>
      <c r="AC30" s="113">
        <f>D30+T30+AB30</f>
        <v>35708.490000000005</v>
      </c>
      <c r="AD30" s="102">
        <f>P30+Z30</f>
        <v>0</v>
      </c>
      <c r="AE30" s="102">
        <f>R30+AA30</f>
        <v>0</v>
      </c>
      <c r="AF30" s="102">
        <f>'[5]Т01-10'!$I$19+'[5]Т01-10'!$I$24+'[5]Т01-10'!$I$57+'[5]Т01-10'!$I$90+'[5]Т01-10'!$I$115</f>
        <v>5404.202880000001</v>
      </c>
      <c r="AG30" s="16">
        <f>0.6*B30</f>
        <v>3213.6</v>
      </c>
      <c r="AH30" s="16">
        <f>B30*0.2</f>
        <v>1071.2</v>
      </c>
      <c r="AI30" s="16">
        <f>1*B30</f>
        <v>5356</v>
      </c>
      <c r="AJ30" s="16">
        <v>0</v>
      </c>
      <c r="AK30" s="16">
        <f>0.98*B30</f>
        <v>5248.88</v>
      </c>
      <c r="AL30" s="16">
        <v>0</v>
      </c>
      <c r="AM30" s="16">
        <f>2.25*B30</f>
        <v>12051</v>
      </c>
      <c r="AN30" s="16">
        <v>0</v>
      </c>
      <c r="AO30" s="16"/>
      <c r="AP30" s="16">
        <v>0</v>
      </c>
      <c r="AQ30" s="117"/>
      <c r="AR30" s="117"/>
      <c r="AS30" s="97">
        <v>25649</v>
      </c>
      <c r="AT30" s="97"/>
      <c r="AU30" s="97">
        <f aca="true" t="shared" si="23" ref="AU30:AU36">AT30*0.18</f>
        <v>0</v>
      </c>
      <c r="AV30" s="118"/>
      <c r="AW30" s="134">
        <v>1149</v>
      </c>
      <c r="AX30" s="16">
        <f>AW30*1.4</f>
        <v>1608.6</v>
      </c>
      <c r="AY30" s="121"/>
      <c r="AZ30" s="122"/>
      <c r="BA30" s="122">
        <f>AZ30*0.18</f>
        <v>0</v>
      </c>
      <c r="BB30" s="122">
        <f>SUM(AG30:BA30)-AV30-AW30</f>
        <v>54198.28</v>
      </c>
      <c r="BC30" s="132">
        <f>'[5]Т03-10'!$M$19+'[5]Т03-10'!$M$24+'[5]Т03-10'!$M$58+'[5]Т03-10'!$M$91+'[5]Т03-10'!$M$116</f>
        <v>2220.6580000000004</v>
      </c>
      <c r="BD30" s="14">
        <f>AC30+AF30-BB30-BC30</f>
        <v>-15306.245119999996</v>
      </c>
      <c r="BE30" s="30">
        <f>AB30-S30</f>
        <v>-10620.91</v>
      </c>
    </row>
    <row r="31" spans="1:57" ht="12.75">
      <c r="A31" s="11" t="s">
        <v>46</v>
      </c>
      <c r="B31" s="115">
        <v>5356</v>
      </c>
      <c r="C31" s="131">
        <f>B31*8.65</f>
        <v>46329.4</v>
      </c>
      <c r="D31" s="130">
        <f>C31-E31-F31-G31-H31-I31-J31-K31-L31-M31-N31</f>
        <v>4420.879999999992</v>
      </c>
      <c r="E31" s="138">
        <v>3785.55</v>
      </c>
      <c r="F31" s="139">
        <v>1052.08</v>
      </c>
      <c r="G31" s="139">
        <v>5125.83</v>
      </c>
      <c r="H31" s="139">
        <v>1426.08</v>
      </c>
      <c r="I31" s="139">
        <v>12318.22</v>
      </c>
      <c r="J31" s="139">
        <v>3425.04</v>
      </c>
      <c r="K31" s="139">
        <v>8532.73</v>
      </c>
      <c r="L31" s="139">
        <v>2372.95</v>
      </c>
      <c r="M31" s="139">
        <v>3028.39</v>
      </c>
      <c r="N31" s="139">
        <v>841.65</v>
      </c>
      <c r="O31" s="139">
        <v>0</v>
      </c>
      <c r="P31" s="140">
        <v>0</v>
      </c>
      <c r="Q31" s="139">
        <v>0</v>
      </c>
      <c r="R31" s="140">
        <v>0</v>
      </c>
      <c r="S31" s="91">
        <f>E31+G31+I31+K31+M31+O31+Q31</f>
        <v>32790.72</v>
      </c>
      <c r="T31" s="108">
        <f>P31+N31+L31+J31+H31+F31+R31</f>
        <v>9117.8</v>
      </c>
      <c r="U31" s="91">
        <v>3828.6</v>
      </c>
      <c r="V31" s="91">
        <v>5184.27</v>
      </c>
      <c r="W31" s="91">
        <v>12458.25</v>
      </c>
      <c r="X31" s="91">
        <v>8629.69</v>
      </c>
      <c r="Y31" s="91">
        <v>3062.85</v>
      </c>
      <c r="Z31" s="109">
        <v>0</v>
      </c>
      <c r="AA31" s="109">
        <v>0</v>
      </c>
      <c r="AB31" s="109">
        <f>SUM(U31:AA31)</f>
        <v>33163.66</v>
      </c>
      <c r="AC31" s="113">
        <f>D31+T31+AB31</f>
        <v>46702.34</v>
      </c>
      <c r="AD31" s="102">
        <f>P31+Z31</f>
        <v>0</v>
      </c>
      <c r="AE31" s="102">
        <f>R31+AA31</f>
        <v>0</v>
      </c>
      <c r="AF31" s="102">
        <f>'[5]Т01-10'!$I$19+'[5]Т01-10'!$I$24+'[5]Т01-10'!$I$57+'[5]Т01-10'!$I$90+'[5]Т01-10'!$I$115</f>
        <v>5404.202880000001</v>
      </c>
      <c r="AG31" s="16">
        <f>0.6*B31</f>
        <v>3213.6</v>
      </c>
      <c r="AH31" s="16">
        <f>B31*0.2</f>
        <v>1071.2</v>
      </c>
      <c r="AI31" s="16">
        <f>1*B31</f>
        <v>5356</v>
      </c>
      <c r="AJ31" s="16">
        <v>0</v>
      </c>
      <c r="AK31" s="16">
        <f>0.98*B31</f>
        <v>5248.88</v>
      </c>
      <c r="AL31" s="16">
        <v>0</v>
      </c>
      <c r="AM31" s="16">
        <f>2.25*B31</f>
        <v>12051</v>
      </c>
      <c r="AN31" s="16">
        <v>0</v>
      </c>
      <c r="AO31" s="16"/>
      <c r="AP31" s="16"/>
      <c r="AQ31" s="117"/>
      <c r="AR31" s="117"/>
      <c r="AS31" s="97">
        <v>5173</v>
      </c>
      <c r="AT31" s="97"/>
      <c r="AU31" s="97">
        <f t="shared" si="23"/>
        <v>0</v>
      </c>
      <c r="AV31" s="118"/>
      <c r="AW31" s="134">
        <v>834</v>
      </c>
      <c r="AX31" s="16">
        <f>AW31*1.4</f>
        <v>1167.6</v>
      </c>
      <c r="AY31" s="121"/>
      <c r="AZ31" s="122"/>
      <c r="BA31" s="122">
        <f>AZ31*0.18</f>
        <v>0</v>
      </c>
      <c r="BB31" s="122">
        <f>SUM(AG31:BA31)-AV31-AW31</f>
        <v>33281.28</v>
      </c>
      <c r="BC31" s="132">
        <f>'[5]Т03-10'!$M$19+'[5]Т03-10'!$M$24+'[5]Т03-10'!$M$58+'[5]Т03-10'!$M$91+'[5]Т03-10'!$M$116</f>
        <v>2220.6580000000004</v>
      </c>
      <c r="BD31" s="14">
        <f aca="true" t="shared" si="24" ref="BD31:BD41">AC31+AF31-BB31-BC31</f>
        <v>16604.604879999995</v>
      </c>
      <c r="BE31" s="30">
        <f aca="true" t="shared" si="25" ref="BE31:BE41">AB31-S31</f>
        <v>372.9400000000023</v>
      </c>
    </row>
    <row r="32" spans="1:57" ht="12.75">
      <c r="A32" s="11" t="s">
        <v>47</v>
      </c>
      <c r="B32" s="104">
        <v>5356</v>
      </c>
      <c r="C32" s="131">
        <f aca="true" t="shared" si="26" ref="C32:C41">B32*8.65</f>
        <v>46329.4</v>
      </c>
      <c r="D32" s="130">
        <f aca="true" t="shared" si="27" ref="D32:D41">C32-E32-F32-G32-H32-I32-J32-K32-L32-M32-N32</f>
        <v>4410.679999999997</v>
      </c>
      <c r="E32" s="107">
        <v>3788.75</v>
      </c>
      <c r="F32" s="107">
        <v>1050.08</v>
      </c>
      <c r="G32" s="107">
        <v>5130.1</v>
      </c>
      <c r="H32" s="107">
        <v>1423.37</v>
      </c>
      <c r="I32" s="107">
        <v>12328.58</v>
      </c>
      <c r="J32" s="107">
        <v>3418.53</v>
      </c>
      <c r="K32" s="107">
        <v>8539.86</v>
      </c>
      <c r="L32" s="107">
        <v>2368.45</v>
      </c>
      <c r="M32" s="107">
        <v>3030.96</v>
      </c>
      <c r="N32" s="107">
        <v>840.04</v>
      </c>
      <c r="O32" s="107">
        <v>0</v>
      </c>
      <c r="P32" s="114">
        <v>0</v>
      </c>
      <c r="Q32" s="114">
        <v>0</v>
      </c>
      <c r="R32" s="114">
        <v>0</v>
      </c>
      <c r="S32" s="91">
        <f aca="true" t="shared" si="28" ref="S32:S41">E32+G32+I32+K32+M32+O32+Q32</f>
        <v>32818.25</v>
      </c>
      <c r="T32" s="108">
        <f aca="true" t="shared" si="29" ref="T32:T41">P32+N32+L32+J32+H32+F32+R32</f>
        <v>9100.470000000001</v>
      </c>
      <c r="U32" s="91">
        <v>3744.47</v>
      </c>
      <c r="V32" s="91">
        <v>5070.62</v>
      </c>
      <c r="W32" s="91">
        <v>12100.97</v>
      </c>
      <c r="X32" s="91">
        <v>8382.32</v>
      </c>
      <c r="Y32" s="91">
        <v>2993</v>
      </c>
      <c r="Z32" s="109">
        <v>0</v>
      </c>
      <c r="AA32" s="109">
        <v>0</v>
      </c>
      <c r="AB32" s="109">
        <f>SUM(U32:AA32)</f>
        <v>32291.379999999997</v>
      </c>
      <c r="AC32" s="113">
        <f aca="true" t="shared" si="30" ref="AC32:AC41">D32+T32+AB32</f>
        <v>45802.53</v>
      </c>
      <c r="AD32" s="102">
        <f aca="true" t="shared" si="31" ref="AD32:AD41">P32+Z32</f>
        <v>0</v>
      </c>
      <c r="AE32" s="102">
        <f aca="true" t="shared" si="32" ref="AE32:AE41">R32+AA32</f>
        <v>0</v>
      </c>
      <c r="AF32" s="102">
        <f>'[5]Т01-10'!$I$19+'[5]Т01-10'!$I$24+'[5]Т01-10'!$I$57+'[5]Т01-10'!$I$90+'[5]Т01-10'!$I$115</f>
        <v>5404.202880000001</v>
      </c>
      <c r="AG32" s="16">
        <f aca="true" t="shared" si="33" ref="AG32:AG41">0.6*B32</f>
        <v>3213.6</v>
      </c>
      <c r="AH32" s="16">
        <f aca="true" t="shared" si="34" ref="AH32:AH41">B32*0.2</f>
        <v>1071.2</v>
      </c>
      <c r="AI32" s="16">
        <f aca="true" t="shared" si="35" ref="AI32:AI41">1*B32</f>
        <v>5356</v>
      </c>
      <c r="AJ32" s="16">
        <v>0</v>
      </c>
      <c r="AK32" s="16">
        <f aca="true" t="shared" si="36" ref="AK32:AK41">0.98*B32</f>
        <v>5248.88</v>
      </c>
      <c r="AL32" s="16">
        <v>0</v>
      </c>
      <c r="AM32" s="16">
        <f aca="true" t="shared" si="37" ref="AM32:AM41">2.25*B32</f>
        <v>12051</v>
      </c>
      <c r="AN32" s="16">
        <v>0</v>
      </c>
      <c r="AO32" s="16"/>
      <c r="AP32" s="16"/>
      <c r="AQ32" s="117">
        <v>10330</v>
      </c>
      <c r="AR32" s="117"/>
      <c r="AS32" s="97">
        <v>735</v>
      </c>
      <c r="AT32" s="97"/>
      <c r="AU32" s="97">
        <f t="shared" si="23"/>
        <v>0</v>
      </c>
      <c r="AV32" s="118"/>
      <c r="AW32" s="134">
        <v>647</v>
      </c>
      <c r="AX32" s="16">
        <f>AW32*1.4</f>
        <v>905.8</v>
      </c>
      <c r="AY32" s="121"/>
      <c r="AZ32" s="122"/>
      <c r="BA32" s="122">
        <f aca="true" t="shared" si="38" ref="BA32:BA41">AZ32*0.18</f>
        <v>0</v>
      </c>
      <c r="BB32" s="122">
        <f>SUM(AG32:BA32)-AV32-AW32</f>
        <v>38911.48</v>
      </c>
      <c r="BC32" s="132">
        <f>'[5]Т03-10'!$M$19+'[5]Т03-10'!$M$24+'[5]Т03-10'!$M$58+'[5]Т03-10'!$M$91+'[5]Т03-10'!$M$116</f>
        <v>2220.6580000000004</v>
      </c>
      <c r="BD32" s="14">
        <f t="shared" si="24"/>
        <v>10074.594879999993</v>
      </c>
      <c r="BE32" s="30">
        <f t="shared" si="25"/>
        <v>-526.8700000000026</v>
      </c>
    </row>
    <row r="33" spans="1:57" ht="12.75">
      <c r="A33" s="11" t="s">
        <v>48</v>
      </c>
      <c r="B33" s="104">
        <v>5356</v>
      </c>
      <c r="C33" s="131">
        <f t="shared" si="26"/>
        <v>46329.4</v>
      </c>
      <c r="D33" s="130">
        <f t="shared" si="27"/>
        <v>4399.559999999997</v>
      </c>
      <c r="E33" s="107">
        <v>3837.99</v>
      </c>
      <c r="F33" s="107">
        <v>1002.15</v>
      </c>
      <c r="G33" s="107">
        <v>5196.76</v>
      </c>
      <c r="H33" s="107">
        <v>1358.4</v>
      </c>
      <c r="I33" s="107">
        <v>12488.78</v>
      </c>
      <c r="J33" s="107">
        <v>3262.51</v>
      </c>
      <c r="K33" s="107">
        <v>8650.84</v>
      </c>
      <c r="L33" s="107">
        <v>2260.35</v>
      </c>
      <c r="M33" s="107">
        <v>3070.36</v>
      </c>
      <c r="N33" s="107">
        <v>801.7</v>
      </c>
      <c r="O33" s="107">
        <v>0</v>
      </c>
      <c r="P33" s="114">
        <v>0</v>
      </c>
      <c r="Q33" s="114"/>
      <c r="R33" s="114"/>
      <c r="S33" s="91">
        <f t="shared" si="28"/>
        <v>33244.729999999996</v>
      </c>
      <c r="T33" s="108">
        <f t="shared" si="29"/>
        <v>8685.11</v>
      </c>
      <c r="U33" s="91">
        <v>3140.95</v>
      </c>
      <c r="V33" s="91">
        <v>4240.17</v>
      </c>
      <c r="W33" s="91">
        <v>10207.98</v>
      </c>
      <c r="X33" s="91">
        <v>7067.04</v>
      </c>
      <c r="Y33" s="91">
        <v>2512.68</v>
      </c>
      <c r="Z33" s="109">
        <v>0</v>
      </c>
      <c r="AA33" s="109">
        <v>0</v>
      </c>
      <c r="AB33" s="109">
        <f>SUM(U33:AA33)</f>
        <v>27168.82</v>
      </c>
      <c r="AC33" s="113">
        <f t="shared" si="30"/>
        <v>40253.49</v>
      </c>
      <c r="AD33" s="102">
        <f t="shared" si="31"/>
        <v>0</v>
      </c>
      <c r="AE33" s="102">
        <f t="shared" si="32"/>
        <v>0</v>
      </c>
      <c r="AF33" s="102">
        <f>'[6]Т04-10'!$I$19+'[6]Т04-10'!$I$24+'[6]Т04-10'!$I$58+'[6]Т04-10'!$I$91+'[6]Т04-10'!$I$116</f>
        <v>5404.202880000001</v>
      </c>
      <c r="AG33" s="16">
        <f t="shared" si="33"/>
        <v>3213.6</v>
      </c>
      <c r="AH33" s="16">
        <f t="shared" si="34"/>
        <v>1071.2</v>
      </c>
      <c r="AI33" s="16">
        <f t="shared" si="35"/>
        <v>5356</v>
      </c>
      <c r="AJ33" s="16">
        <v>0</v>
      </c>
      <c r="AK33" s="16">
        <f t="shared" si="36"/>
        <v>5248.88</v>
      </c>
      <c r="AL33" s="16">
        <v>0</v>
      </c>
      <c r="AM33" s="16">
        <f t="shared" si="37"/>
        <v>12051</v>
      </c>
      <c r="AN33" s="16">
        <v>0</v>
      </c>
      <c r="AO33" s="16"/>
      <c r="AP33" s="16"/>
      <c r="AQ33" s="117"/>
      <c r="AR33" s="117"/>
      <c r="AS33" s="97">
        <v>11303</v>
      </c>
      <c r="AT33" s="97">
        <f>500</f>
        <v>500</v>
      </c>
      <c r="AU33" s="97"/>
      <c r="AV33" s="118"/>
      <c r="AW33" s="134">
        <v>636</v>
      </c>
      <c r="AX33" s="16">
        <f>AW33*1.4</f>
        <v>890.4</v>
      </c>
      <c r="AY33" s="121"/>
      <c r="AZ33" s="122"/>
      <c r="BA33" s="122">
        <f t="shared" si="38"/>
        <v>0</v>
      </c>
      <c r="BB33" s="122">
        <f aca="true" t="shared" si="39" ref="BB33:BB41">SUM(AG33:BA33)-AV33-AW33</f>
        <v>39634.08</v>
      </c>
      <c r="BC33" s="132">
        <f>'[6]Т04-10'!$M$19+'[6]Т04-10'!$M$24+'[6]Т04-10'!$M$58+'[6]Т04-10'!$M$91+'[6]Т04-10'!$M$116</f>
        <v>2220.6580000000004</v>
      </c>
      <c r="BD33" s="14">
        <f t="shared" si="24"/>
        <v>3802.9548800000002</v>
      </c>
      <c r="BE33" s="30">
        <f t="shared" si="25"/>
        <v>-6075.909999999996</v>
      </c>
    </row>
    <row r="34" spans="1:57" ht="12.75">
      <c r="A34" s="11" t="s">
        <v>49</v>
      </c>
      <c r="B34" s="104">
        <v>5355.65</v>
      </c>
      <c r="C34" s="131">
        <f t="shared" si="26"/>
        <v>46326.3725</v>
      </c>
      <c r="D34" s="130">
        <f t="shared" si="27"/>
        <v>4428.452499999987</v>
      </c>
      <c r="E34" s="107">
        <v>3805.04</v>
      </c>
      <c r="F34" s="107">
        <v>1031.33</v>
      </c>
      <c r="G34" s="107">
        <v>5152.33</v>
      </c>
      <c r="H34" s="107">
        <v>1397.91</v>
      </c>
      <c r="I34" s="107">
        <v>12381.93</v>
      </c>
      <c r="J34" s="107">
        <v>3357.4</v>
      </c>
      <c r="K34" s="107">
        <v>8576.79</v>
      </c>
      <c r="L34" s="107">
        <v>2326.11</v>
      </c>
      <c r="M34" s="107">
        <v>3044.05</v>
      </c>
      <c r="N34" s="107">
        <v>825.03</v>
      </c>
      <c r="O34" s="107">
        <v>0</v>
      </c>
      <c r="P34" s="114">
        <v>0</v>
      </c>
      <c r="Q34" s="114"/>
      <c r="R34" s="114"/>
      <c r="S34" s="91">
        <f t="shared" si="28"/>
        <v>32960.14</v>
      </c>
      <c r="T34" s="108">
        <f t="shared" si="29"/>
        <v>8937.78</v>
      </c>
      <c r="U34" s="141">
        <v>4455.89</v>
      </c>
      <c r="V34" s="141">
        <v>6034.41</v>
      </c>
      <c r="W34" s="141">
        <v>14500.67</v>
      </c>
      <c r="X34" s="141">
        <v>10044.77</v>
      </c>
      <c r="Y34" s="141">
        <v>3564.71</v>
      </c>
      <c r="Z34" s="142">
        <v>0</v>
      </c>
      <c r="AA34" s="142">
        <v>0</v>
      </c>
      <c r="AB34" s="109">
        <f>SUM(U34:AA34)</f>
        <v>38600.450000000004</v>
      </c>
      <c r="AC34" s="113">
        <f t="shared" si="30"/>
        <v>51966.682499999995</v>
      </c>
      <c r="AD34" s="102">
        <f t="shared" si="31"/>
        <v>0</v>
      </c>
      <c r="AE34" s="102">
        <f t="shared" si="32"/>
        <v>0</v>
      </c>
      <c r="AF34" s="102">
        <f>'[6]Т05-10'!$I$19+'[6]Т05-10'!$I$24+'[6]Т05-10'!$I$58+'[6]Т05-10'!$I$91+'[6]Т05-10'!$I$116</f>
        <v>5404.202880000001</v>
      </c>
      <c r="AG34" s="16">
        <f t="shared" si="33"/>
        <v>3213.39</v>
      </c>
      <c r="AH34" s="16">
        <f t="shared" si="34"/>
        <v>1071.1299999999999</v>
      </c>
      <c r="AI34" s="16">
        <f t="shared" si="35"/>
        <v>5355.65</v>
      </c>
      <c r="AJ34" s="16">
        <v>0</v>
      </c>
      <c r="AK34" s="16">
        <f t="shared" si="36"/>
        <v>5248.536999999999</v>
      </c>
      <c r="AL34" s="16">
        <v>0</v>
      </c>
      <c r="AM34" s="16">
        <f t="shared" si="37"/>
        <v>12050.2125</v>
      </c>
      <c r="AN34" s="16">
        <v>0</v>
      </c>
      <c r="AO34" s="16"/>
      <c r="AP34" s="16"/>
      <c r="AQ34" s="117"/>
      <c r="AR34" s="117"/>
      <c r="AS34" s="97"/>
      <c r="AT34" s="97"/>
      <c r="AU34" s="97">
        <f t="shared" si="23"/>
        <v>0</v>
      </c>
      <c r="AV34" s="118"/>
      <c r="AW34" s="134">
        <v>586</v>
      </c>
      <c r="AX34" s="16">
        <f aca="true" t="shared" si="40" ref="AX34:AX40">AW34*1.4</f>
        <v>820.4</v>
      </c>
      <c r="AY34" s="121"/>
      <c r="AZ34" s="122"/>
      <c r="BA34" s="122">
        <f t="shared" si="38"/>
        <v>0</v>
      </c>
      <c r="BB34" s="122">
        <f t="shared" si="39"/>
        <v>27759.319499999998</v>
      </c>
      <c r="BC34" s="132">
        <f>'[6]Т05-10'!$M$19+'[6]Т05-10'!$M$24+'[6]Т05-10'!$M$58+'[6]Т05-10'!$M$91+'[6]Т05-10'!$M$116</f>
        <v>2220.6580000000004</v>
      </c>
      <c r="BD34" s="14">
        <f t="shared" si="24"/>
        <v>27390.907879999995</v>
      </c>
      <c r="BE34" s="30">
        <f t="shared" si="25"/>
        <v>5640.310000000005</v>
      </c>
    </row>
    <row r="35" spans="1:57" ht="12.75">
      <c r="A35" s="11" t="s">
        <v>50</v>
      </c>
      <c r="B35" s="104">
        <v>5355.65</v>
      </c>
      <c r="C35" s="131">
        <f t="shared" si="26"/>
        <v>46326.3725</v>
      </c>
      <c r="D35" s="130">
        <f t="shared" si="27"/>
        <v>4427.752499999999</v>
      </c>
      <c r="E35" s="107">
        <v>3814.49</v>
      </c>
      <c r="F35" s="107">
        <v>1021.97</v>
      </c>
      <c r="G35" s="107">
        <v>5165.13</v>
      </c>
      <c r="H35" s="107">
        <v>1385.22</v>
      </c>
      <c r="I35" s="107">
        <v>12412.66</v>
      </c>
      <c r="J35" s="107">
        <v>3326.92</v>
      </c>
      <c r="K35" s="107">
        <v>8598.08</v>
      </c>
      <c r="L35" s="107">
        <v>2304.99</v>
      </c>
      <c r="M35" s="107">
        <v>3051.62</v>
      </c>
      <c r="N35" s="107">
        <v>817.54</v>
      </c>
      <c r="O35" s="107">
        <v>0</v>
      </c>
      <c r="P35" s="114">
        <v>0</v>
      </c>
      <c r="Q35" s="107">
        <v>0</v>
      </c>
      <c r="R35" s="114">
        <v>0</v>
      </c>
      <c r="S35" s="91">
        <f t="shared" si="28"/>
        <v>33041.98</v>
      </c>
      <c r="T35" s="108">
        <f t="shared" si="29"/>
        <v>8856.64</v>
      </c>
      <c r="U35" s="91">
        <v>3760</v>
      </c>
      <c r="V35" s="91">
        <v>5092</v>
      </c>
      <c r="W35" s="91">
        <v>12235.92</v>
      </c>
      <c r="X35" s="91">
        <v>8475.87</v>
      </c>
      <c r="Y35" s="91">
        <v>3007.97</v>
      </c>
      <c r="Z35" s="109">
        <v>0</v>
      </c>
      <c r="AA35" s="109">
        <v>0</v>
      </c>
      <c r="AB35" s="109">
        <f aca="true" t="shared" si="41" ref="AB35:AB41">SUM(U35:AA35)</f>
        <v>32571.760000000002</v>
      </c>
      <c r="AC35" s="113">
        <f t="shared" si="30"/>
        <v>45856.1525</v>
      </c>
      <c r="AD35" s="102">
        <f t="shared" si="31"/>
        <v>0</v>
      </c>
      <c r="AE35" s="102">
        <f t="shared" si="32"/>
        <v>0</v>
      </c>
      <c r="AF35" s="102">
        <f>'[6]Т06-10'!$I$19+'[6]Т06-10'!$I$24+'[6]Т06-10'!$I$89+'[6]Т06-10'!$I$113</f>
        <v>5241.7953800000005</v>
      </c>
      <c r="AG35" s="16">
        <f t="shared" si="33"/>
        <v>3213.39</v>
      </c>
      <c r="AH35" s="16">
        <f t="shared" si="34"/>
        <v>1071.1299999999999</v>
      </c>
      <c r="AI35" s="16">
        <f t="shared" si="35"/>
        <v>5355.65</v>
      </c>
      <c r="AJ35" s="16">
        <v>0</v>
      </c>
      <c r="AK35" s="16">
        <f t="shared" si="36"/>
        <v>5248.536999999999</v>
      </c>
      <c r="AL35" s="16">
        <v>0</v>
      </c>
      <c r="AM35" s="16">
        <f t="shared" si="37"/>
        <v>12050.2125</v>
      </c>
      <c r="AN35" s="16">
        <v>0</v>
      </c>
      <c r="AO35" s="16"/>
      <c r="AP35" s="16"/>
      <c r="AQ35" s="117">
        <f>100</f>
        <v>100</v>
      </c>
      <c r="AR35" s="117"/>
      <c r="AS35" s="97">
        <v>12068</v>
      </c>
      <c r="AT35" s="97">
        <v>766.27</v>
      </c>
      <c r="AU35" s="97"/>
      <c r="AV35" s="118"/>
      <c r="AW35" s="134">
        <v>550</v>
      </c>
      <c r="AX35" s="16">
        <f t="shared" si="40"/>
        <v>770</v>
      </c>
      <c r="AY35" s="121"/>
      <c r="AZ35" s="122"/>
      <c r="BA35" s="122">
        <f t="shared" si="38"/>
        <v>0</v>
      </c>
      <c r="BB35" s="122">
        <f t="shared" si="39"/>
        <v>40643.18949999999</v>
      </c>
      <c r="BC35" s="132">
        <f>'[6]Т06-10'!$M$19+'[6]Т06-10'!$M$24+'[6]Т06-10'!$M$89+'[6]Т06-10'!$M$113</f>
        <v>2155.283</v>
      </c>
      <c r="BD35" s="14">
        <f t="shared" si="24"/>
        <v>8299.475380000007</v>
      </c>
      <c r="BE35" s="30">
        <f t="shared" si="25"/>
        <v>-470.22000000000116</v>
      </c>
    </row>
    <row r="36" spans="1:57" ht="12.75">
      <c r="A36" s="11" t="s">
        <v>51</v>
      </c>
      <c r="B36" s="104">
        <v>5355.65</v>
      </c>
      <c r="C36" s="131">
        <f t="shared" si="26"/>
        <v>46326.3725</v>
      </c>
      <c r="D36" s="130">
        <f t="shared" si="27"/>
        <v>4425.7125000000015</v>
      </c>
      <c r="E36" s="143">
        <v>4836.71</v>
      </c>
      <c r="F36" s="107">
        <v>0</v>
      </c>
      <c r="G36" s="107">
        <v>6550.66</v>
      </c>
      <c r="H36" s="107">
        <v>0</v>
      </c>
      <c r="I36" s="107">
        <v>15709.58</v>
      </c>
      <c r="J36" s="107">
        <v>30.76</v>
      </c>
      <c r="K36" s="107">
        <v>10903.6</v>
      </c>
      <c r="L36" s="107">
        <v>0</v>
      </c>
      <c r="M36" s="107">
        <v>3869.35</v>
      </c>
      <c r="N36" s="107">
        <v>0</v>
      </c>
      <c r="O36" s="107">
        <v>0</v>
      </c>
      <c r="P36" s="114">
        <v>0</v>
      </c>
      <c r="Q36" s="114"/>
      <c r="R36" s="114"/>
      <c r="S36" s="91">
        <f t="shared" si="28"/>
        <v>41869.899999999994</v>
      </c>
      <c r="T36" s="108">
        <f t="shared" si="29"/>
        <v>30.76</v>
      </c>
      <c r="U36" s="93">
        <v>3431.23</v>
      </c>
      <c r="V36" s="91">
        <v>4646.51</v>
      </c>
      <c r="W36" s="91">
        <v>11165.9</v>
      </c>
      <c r="X36" s="91">
        <v>7734.69</v>
      </c>
      <c r="Y36" s="91">
        <v>2745.02</v>
      </c>
      <c r="Z36" s="109">
        <v>0</v>
      </c>
      <c r="AA36" s="109">
        <v>0</v>
      </c>
      <c r="AB36" s="109">
        <f t="shared" si="41"/>
        <v>29723.35</v>
      </c>
      <c r="AC36" s="113">
        <f t="shared" si="30"/>
        <v>34179.8225</v>
      </c>
      <c r="AD36" s="102">
        <f t="shared" si="31"/>
        <v>0</v>
      </c>
      <c r="AE36" s="102">
        <f t="shared" si="32"/>
        <v>0</v>
      </c>
      <c r="AF36" s="102">
        <f>'[7]Т07-10'!$I$18+'[7]Т07-10'!$I$23+'[7]Т07-10'!$I$88+'[7]Т07-10'!$I$112</f>
        <v>5241.7953800000005</v>
      </c>
      <c r="AG36" s="16">
        <f t="shared" si="33"/>
        <v>3213.39</v>
      </c>
      <c r="AH36" s="16">
        <f t="shared" si="34"/>
        <v>1071.1299999999999</v>
      </c>
      <c r="AI36" s="16">
        <f t="shared" si="35"/>
        <v>5355.65</v>
      </c>
      <c r="AJ36" s="16">
        <v>0</v>
      </c>
      <c r="AK36" s="16">
        <f t="shared" si="36"/>
        <v>5248.536999999999</v>
      </c>
      <c r="AL36" s="16">
        <v>0</v>
      </c>
      <c r="AM36" s="16">
        <f t="shared" si="37"/>
        <v>12050.2125</v>
      </c>
      <c r="AN36" s="16">
        <v>0</v>
      </c>
      <c r="AO36" s="16"/>
      <c r="AP36" s="16"/>
      <c r="AQ36" s="117"/>
      <c r="AR36" s="117"/>
      <c r="AS36" s="97"/>
      <c r="AT36" s="97"/>
      <c r="AU36" s="97">
        <f t="shared" si="23"/>
        <v>0</v>
      </c>
      <c r="AV36" s="118"/>
      <c r="AW36" s="134">
        <v>778</v>
      </c>
      <c r="AX36" s="16">
        <f t="shared" si="40"/>
        <v>1089.1999999999998</v>
      </c>
      <c r="AY36" s="121"/>
      <c r="AZ36" s="122"/>
      <c r="BA36" s="122">
        <f t="shared" si="38"/>
        <v>0</v>
      </c>
      <c r="BB36" s="122">
        <f t="shared" si="39"/>
        <v>28028.119499999997</v>
      </c>
      <c r="BC36" s="132">
        <f>'[6]Т06-10'!$M$19+'[6]Т06-10'!$M$24+'[6]Т06-10'!$M$89+'[6]Т06-10'!$M$113</f>
        <v>2155.283</v>
      </c>
      <c r="BD36" s="14">
        <f t="shared" si="24"/>
        <v>9238.215380000009</v>
      </c>
      <c r="BE36" s="30">
        <f t="shared" si="25"/>
        <v>-12146.549999999996</v>
      </c>
    </row>
    <row r="37" spans="1:57" ht="12.75">
      <c r="A37" s="11" t="s">
        <v>52</v>
      </c>
      <c r="B37" s="104">
        <v>5355.65</v>
      </c>
      <c r="C37" s="131">
        <f t="shared" si="26"/>
        <v>46326.3725</v>
      </c>
      <c r="D37" s="130">
        <f t="shared" si="27"/>
        <v>4407.292499999992</v>
      </c>
      <c r="E37" s="143">
        <v>4838.87</v>
      </c>
      <c r="F37" s="107">
        <v>0</v>
      </c>
      <c r="G37" s="107">
        <v>6553.47</v>
      </c>
      <c r="H37" s="107">
        <v>0</v>
      </c>
      <c r="I37" s="107">
        <v>15716.52</v>
      </c>
      <c r="J37" s="107">
        <v>30.77</v>
      </c>
      <c r="K37" s="107">
        <v>10908.37</v>
      </c>
      <c r="L37" s="107">
        <v>0</v>
      </c>
      <c r="M37" s="107">
        <v>3871.08</v>
      </c>
      <c r="N37" s="107">
        <v>0</v>
      </c>
      <c r="O37" s="107">
        <v>0</v>
      </c>
      <c r="P37" s="114">
        <v>0</v>
      </c>
      <c r="Q37" s="114"/>
      <c r="R37" s="114"/>
      <c r="S37" s="91">
        <f t="shared" si="28"/>
        <v>41888.310000000005</v>
      </c>
      <c r="T37" s="108">
        <f t="shared" si="29"/>
        <v>30.77</v>
      </c>
      <c r="U37" s="141">
        <v>5130.9</v>
      </c>
      <c r="V37" s="141">
        <v>6948.39</v>
      </c>
      <c r="W37" s="141">
        <v>16666.19</v>
      </c>
      <c r="X37" s="141">
        <v>11565.95</v>
      </c>
      <c r="Y37" s="141">
        <v>4104.68</v>
      </c>
      <c r="Z37" s="142">
        <v>0</v>
      </c>
      <c r="AA37" s="142">
        <v>0</v>
      </c>
      <c r="AB37" s="109">
        <f t="shared" si="41"/>
        <v>44416.11</v>
      </c>
      <c r="AC37" s="113">
        <f t="shared" si="30"/>
        <v>48854.17249999999</v>
      </c>
      <c r="AD37" s="102">
        <f t="shared" si="31"/>
        <v>0</v>
      </c>
      <c r="AE37" s="102">
        <f t="shared" si="32"/>
        <v>0</v>
      </c>
      <c r="AF37" s="102">
        <f>'[7]Т07-10'!$I$18+'[7]Т07-10'!$I$23+'[7]Т07-10'!$I$88+'[7]Т07-10'!$I$112</f>
        <v>5241.7953800000005</v>
      </c>
      <c r="AG37" s="16">
        <f t="shared" si="33"/>
        <v>3213.39</v>
      </c>
      <c r="AH37" s="16">
        <f t="shared" si="34"/>
        <v>1071.1299999999999</v>
      </c>
      <c r="AI37" s="16">
        <f t="shared" si="35"/>
        <v>5355.65</v>
      </c>
      <c r="AJ37" s="16">
        <v>0</v>
      </c>
      <c r="AK37" s="16">
        <f t="shared" si="36"/>
        <v>5248.536999999999</v>
      </c>
      <c r="AL37" s="16">
        <v>0</v>
      </c>
      <c r="AM37" s="16">
        <f t="shared" si="37"/>
        <v>12050.2125</v>
      </c>
      <c r="AN37" s="16">
        <v>0</v>
      </c>
      <c r="AO37" s="16">
        <v>7583.76</v>
      </c>
      <c r="AP37" s="16"/>
      <c r="AQ37" s="117"/>
      <c r="AR37" s="117"/>
      <c r="AS37" s="97">
        <v>994</v>
      </c>
      <c r="AT37" s="97">
        <f>12000+47.8+183</f>
        <v>12230.8</v>
      </c>
      <c r="AU37" s="97"/>
      <c r="AV37" s="118"/>
      <c r="AW37" s="134">
        <v>581</v>
      </c>
      <c r="AX37" s="16">
        <f t="shared" si="40"/>
        <v>813.4</v>
      </c>
      <c r="AY37" s="121"/>
      <c r="AZ37" s="122"/>
      <c r="BA37" s="122">
        <f t="shared" si="38"/>
        <v>0</v>
      </c>
      <c r="BB37" s="122">
        <f t="shared" si="39"/>
        <v>48560.8795</v>
      </c>
      <c r="BC37" s="132">
        <f>'[6]Т06-10'!$M$19+'[6]Т06-10'!$M$24+'[6]Т06-10'!$M$89+'[6]Т06-10'!$M$113</f>
        <v>2155.283</v>
      </c>
      <c r="BD37" s="14">
        <f t="shared" si="24"/>
        <v>3379.805379999994</v>
      </c>
      <c r="BE37" s="30">
        <f t="shared" si="25"/>
        <v>2527.7999999999956</v>
      </c>
    </row>
    <row r="38" spans="1:57" ht="12.75">
      <c r="A38" s="11" t="s">
        <v>53</v>
      </c>
      <c r="B38" s="144">
        <v>5355.65</v>
      </c>
      <c r="C38" s="131">
        <f t="shared" si="26"/>
        <v>46326.3725</v>
      </c>
      <c r="D38" s="130">
        <f t="shared" si="27"/>
        <v>4367.532499999994</v>
      </c>
      <c r="E38" s="107">
        <v>4843.55</v>
      </c>
      <c r="F38" s="107">
        <v>0</v>
      </c>
      <c r="G38" s="107">
        <v>6559.55</v>
      </c>
      <c r="H38" s="107">
        <v>0</v>
      </c>
      <c r="I38" s="107">
        <v>15731.49</v>
      </c>
      <c r="J38" s="107">
        <v>30.77</v>
      </c>
      <c r="K38" s="107">
        <v>10918.66</v>
      </c>
      <c r="L38" s="107">
        <v>0</v>
      </c>
      <c r="M38" s="107">
        <v>3874.82</v>
      </c>
      <c r="N38" s="107">
        <v>0</v>
      </c>
      <c r="O38" s="107">
        <v>0</v>
      </c>
      <c r="P38" s="114">
        <v>0</v>
      </c>
      <c r="Q38" s="114"/>
      <c r="R38" s="114"/>
      <c r="S38" s="91">
        <f t="shared" si="28"/>
        <v>41928.07</v>
      </c>
      <c r="T38" s="108">
        <f t="shared" si="29"/>
        <v>30.77</v>
      </c>
      <c r="U38" s="91">
        <v>4673.42</v>
      </c>
      <c r="V38" s="91">
        <v>6330.79</v>
      </c>
      <c r="W38" s="91">
        <v>17879.52</v>
      </c>
      <c r="X38" s="91">
        <v>10536.9</v>
      </c>
      <c r="Y38" s="91">
        <v>3738.69</v>
      </c>
      <c r="Z38" s="109">
        <v>0</v>
      </c>
      <c r="AA38" s="109">
        <v>0</v>
      </c>
      <c r="AB38" s="109">
        <f t="shared" si="41"/>
        <v>43159.32</v>
      </c>
      <c r="AC38" s="113">
        <f t="shared" si="30"/>
        <v>47557.6225</v>
      </c>
      <c r="AD38" s="102">
        <f t="shared" si="31"/>
        <v>0</v>
      </c>
      <c r="AE38" s="102">
        <f t="shared" si="32"/>
        <v>0</v>
      </c>
      <c r="AF38" s="102">
        <f>'[7]Т07-10'!$I$18+'[7]Т07-10'!$I$23+'[7]Т07-10'!$I$88+'[7]Т07-10'!$I$112</f>
        <v>5241.7953800000005</v>
      </c>
      <c r="AG38" s="16">
        <f t="shared" si="33"/>
        <v>3213.39</v>
      </c>
      <c r="AH38" s="16">
        <f t="shared" si="34"/>
        <v>1071.1299999999999</v>
      </c>
      <c r="AI38" s="16">
        <f t="shared" si="35"/>
        <v>5355.65</v>
      </c>
      <c r="AJ38" s="16">
        <v>0</v>
      </c>
      <c r="AK38" s="16">
        <f t="shared" si="36"/>
        <v>5248.536999999999</v>
      </c>
      <c r="AL38" s="16">
        <v>0</v>
      </c>
      <c r="AM38" s="16">
        <f t="shared" si="37"/>
        <v>12050.2125</v>
      </c>
      <c r="AN38" s="16">
        <v>0</v>
      </c>
      <c r="AO38" s="16"/>
      <c r="AP38" s="16"/>
      <c r="AQ38" s="117"/>
      <c r="AR38" s="117"/>
      <c r="AS38" s="97">
        <v>1443</v>
      </c>
      <c r="AT38" s="97">
        <f>11999</f>
        <v>11999</v>
      </c>
      <c r="AU38" s="145">
        <f>0*0.18</f>
        <v>0</v>
      </c>
      <c r="AV38" s="118"/>
      <c r="AW38" s="134">
        <v>781</v>
      </c>
      <c r="AX38" s="16">
        <f t="shared" si="40"/>
        <v>1093.3999999999999</v>
      </c>
      <c r="AY38" s="121"/>
      <c r="AZ38" s="122"/>
      <c r="BA38" s="122">
        <f t="shared" si="38"/>
        <v>0</v>
      </c>
      <c r="BB38" s="122">
        <f t="shared" si="39"/>
        <v>41474.3195</v>
      </c>
      <c r="BC38" s="132">
        <f>'[6]Т06-10'!$M$19+'[6]Т06-10'!$M$24+'[6]Т06-10'!$M$89+'[6]Т06-10'!$M$113</f>
        <v>2155.283</v>
      </c>
      <c r="BD38" s="14">
        <f t="shared" si="24"/>
        <v>9169.815380000004</v>
      </c>
      <c r="BE38" s="30">
        <f t="shared" si="25"/>
        <v>1231.25</v>
      </c>
    </row>
    <row r="39" spans="1:57" ht="12.75">
      <c r="A39" s="11" t="s">
        <v>41</v>
      </c>
      <c r="B39" s="104">
        <v>5355.65</v>
      </c>
      <c r="C39" s="131">
        <f t="shared" si="26"/>
        <v>46326.3725</v>
      </c>
      <c r="D39" s="130">
        <f t="shared" si="27"/>
        <v>4364.722499999998</v>
      </c>
      <c r="E39" s="126">
        <v>4843.88</v>
      </c>
      <c r="F39" s="126">
        <v>0</v>
      </c>
      <c r="G39" s="126">
        <v>6559.98</v>
      </c>
      <c r="H39" s="126">
        <v>0</v>
      </c>
      <c r="I39" s="126">
        <v>15732.55</v>
      </c>
      <c r="J39" s="126">
        <v>30.77</v>
      </c>
      <c r="K39" s="126">
        <v>10919.39</v>
      </c>
      <c r="L39" s="126">
        <v>0</v>
      </c>
      <c r="M39" s="126">
        <v>3875.08</v>
      </c>
      <c r="N39" s="126">
        <v>0</v>
      </c>
      <c r="O39" s="126">
        <v>0</v>
      </c>
      <c r="P39" s="127">
        <v>0</v>
      </c>
      <c r="Q39" s="127"/>
      <c r="R39" s="127"/>
      <c r="S39" s="91">
        <f t="shared" si="28"/>
        <v>41930.880000000005</v>
      </c>
      <c r="T39" s="108">
        <f t="shared" si="29"/>
        <v>30.77</v>
      </c>
      <c r="U39" s="91">
        <v>4586.8</v>
      </c>
      <c r="V39" s="91">
        <v>6211.75</v>
      </c>
      <c r="W39" s="91">
        <v>14895.94</v>
      </c>
      <c r="X39" s="91">
        <v>10339.87</v>
      </c>
      <c r="Y39" s="91">
        <v>3689.01</v>
      </c>
      <c r="Z39" s="109">
        <v>0</v>
      </c>
      <c r="AA39" s="109">
        <v>0</v>
      </c>
      <c r="AB39" s="109">
        <f t="shared" si="41"/>
        <v>39723.37</v>
      </c>
      <c r="AC39" s="113">
        <f t="shared" si="30"/>
        <v>44118.8625</v>
      </c>
      <c r="AD39" s="102">
        <f t="shared" si="31"/>
        <v>0</v>
      </c>
      <c r="AE39" s="102">
        <f t="shared" si="32"/>
        <v>0</v>
      </c>
      <c r="AF39" s="102">
        <f>'[7]Т10-10'!$I$18+'[7]Т10-10'!$I$23+'[7]Т10-10'!$I$88+'[7]Т10-10'!$I$113+150</f>
        <v>5391.7953800000005</v>
      </c>
      <c r="AG39" s="16">
        <f t="shared" si="33"/>
        <v>3213.39</v>
      </c>
      <c r="AH39" s="16">
        <f t="shared" si="34"/>
        <v>1071.1299999999999</v>
      </c>
      <c r="AI39" s="16">
        <f t="shared" si="35"/>
        <v>5355.65</v>
      </c>
      <c r="AJ39" s="16">
        <v>0</v>
      </c>
      <c r="AK39" s="16">
        <f t="shared" si="36"/>
        <v>5248.536999999999</v>
      </c>
      <c r="AL39" s="16">
        <v>0</v>
      </c>
      <c r="AM39" s="16">
        <f t="shared" si="37"/>
        <v>12050.2125</v>
      </c>
      <c r="AN39" s="16">
        <v>0</v>
      </c>
      <c r="AO39" s="16"/>
      <c r="AP39" s="16"/>
      <c r="AQ39" s="117"/>
      <c r="AR39" s="117"/>
      <c r="AS39" s="97">
        <v>6072</v>
      </c>
      <c r="AT39" s="97">
        <f>84+11999.06</f>
        <v>12083.06</v>
      </c>
      <c r="AU39" s="97"/>
      <c r="AV39" s="118"/>
      <c r="AW39" s="134">
        <v>650</v>
      </c>
      <c r="AX39" s="16">
        <f t="shared" si="40"/>
        <v>909.9999999999999</v>
      </c>
      <c r="AY39" s="121"/>
      <c r="AZ39" s="122"/>
      <c r="BA39" s="122">
        <f t="shared" si="38"/>
        <v>0</v>
      </c>
      <c r="BB39" s="122">
        <f t="shared" si="39"/>
        <v>46003.979499999994</v>
      </c>
      <c r="BC39" s="132">
        <f>'[7]Т10-10'!$M$18+'[7]Т10-10'!$M$23+'[7]Т10-10'!$M$88+'[7]Т10-10'!$M$113+37.5</f>
        <v>2192.783</v>
      </c>
      <c r="BD39" s="14">
        <f t="shared" si="24"/>
        <v>1313.8953800000122</v>
      </c>
      <c r="BE39" s="30">
        <f t="shared" si="25"/>
        <v>-2207.510000000002</v>
      </c>
    </row>
    <row r="40" spans="1:57" ht="12.75">
      <c r="A40" s="11" t="s">
        <v>42</v>
      </c>
      <c r="B40" s="104">
        <v>5355.65</v>
      </c>
      <c r="C40" s="131">
        <f t="shared" si="26"/>
        <v>46326.3725</v>
      </c>
      <c r="D40" s="130">
        <f t="shared" si="27"/>
        <v>4360.26249999999</v>
      </c>
      <c r="E40" s="107">
        <v>4844.41</v>
      </c>
      <c r="F40" s="107">
        <v>0</v>
      </c>
      <c r="G40" s="107">
        <v>6560.66</v>
      </c>
      <c r="H40" s="107">
        <v>0</v>
      </c>
      <c r="I40" s="107">
        <v>15734.23</v>
      </c>
      <c r="J40" s="107">
        <v>30.77</v>
      </c>
      <c r="K40" s="107">
        <v>10920.54</v>
      </c>
      <c r="L40" s="107">
        <v>0</v>
      </c>
      <c r="M40" s="107">
        <v>3875.5</v>
      </c>
      <c r="N40" s="107">
        <v>0</v>
      </c>
      <c r="O40" s="107">
        <v>0</v>
      </c>
      <c r="P40" s="114">
        <v>0</v>
      </c>
      <c r="Q40" s="114"/>
      <c r="R40" s="114"/>
      <c r="S40" s="91">
        <f t="shared" si="28"/>
        <v>41935.34</v>
      </c>
      <c r="T40" s="108">
        <f t="shared" si="29"/>
        <v>30.77</v>
      </c>
      <c r="U40" s="93">
        <v>4794.39</v>
      </c>
      <c r="V40" s="91">
        <v>6491.82</v>
      </c>
      <c r="W40" s="91">
        <v>14290.3</v>
      </c>
      <c r="X40" s="91">
        <v>11086.6</v>
      </c>
      <c r="Y40" s="91">
        <v>3824.47</v>
      </c>
      <c r="Z40" s="109">
        <v>0</v>
      </c>
      <c r="AA40" s="109">
        <v>0</v>
      </c>
      <c r="AB40" s="109">
        <f t="shared" si="41"/>
        <v>40487.58</v>
      </c>
      <c r="AC40" s="113">
        <f t="shared" si="30"/>
        <v>44878.61249999999</v>
      </c>
      <c r="AD40" s="102">
        <f t="shared" si="31"/>
        <v>0</v>
      </c>
      <c r="AE40" s="102">
        <f t="shared" si="32"/>
        <v>0</v>
      </c>
      <c r="AF40" s="102">
        <f>'[7]Т11'!$I$18+'[7]Т11'!$I$23+'[7]Т11'!$I$88+'[7]Т11'!$I$112+150</f>
        <v>5391.7953800000005</v>
      </c>
      <c r="AG40" s="16">
        <f t="shared" si="33"/>
        <v>3213.39</v>
      </c>
      <c r="AH40" s="16">
        <f t="shared" si="34"/>
        <v>1071.1299999999999</v>
      </c>
      <c r="AI40" s="16">
        <f t="shared" si="35"/>
        <v>5355.65</v>
      </c>
      <c r="AJ40" s="16">
        <v>0</v>
      </c>
      <c r="AK40" s="16">
        <f t="shared" si="36"/>
        <v>5248.536999999999</v>
      </c>
      <c r="AL40" s="16">
        <v>0</v>
      </c>
      <c r="AM40" s="16">
        <f t="shared" si="37"/>
        <v>12050.2125</v>
      </c>
      <c r="AN40" s="16">
        <v>0</v>
      </c>
      <c r="AO40" s="16"/>
      <c r="AP40" s="16"/>
      <c r="AQ40" s="117"/>
      <c r="AR40" s="117"/>
      <c r="AS40" s="97">
        <v>11851</v>
      </c>
      <c r="AT40" s="97"/>
      <c r="AU40" s="97">
        <f>0*0.18</f>
        <v>0</v>
      </c>
      <c r="AV40" s="118"/>
      <c r="AW40" s="134">
        <v>872</v>
      </c>
      <c r="AX40" s="16">
        <f t="shared" si="40"/>
        <v>1220.8</v>
      </c>
      <c r="AY40" s="121"/>
      <c r="AZ40" s="122"/>
      <c r="BA40" s="122">
        <f t="shared" si="38"/>
        <v>0</v>
      </c>
      <c r="BB40" s="122">
        <f t="shared" si="39"/>
        <v>40010.7195</v>
      </c>
      <c r="BC40" s="132">
        <f>'[7]Т11'!$M$18+'[7]Т11'!$M$23+'[7]Т11'!$M$88+'[7]Т11'!$M$112+37.5</f>
        <v>2192.783</v>
      </c>
      <c r="BD40" s="14">
        <f t="shared" si="24"/>
        <v>8066.905379999993</v>
      </c>
      <c r="BE40" s="30">
        <f t="shared" si="25"/>
        <v>-1447.7599999999948</v>
      </c>
    </row>
    <row r="41" spans="1:57" ht="12.75">
      <c r="A41" s="11" t="s">
        <v>43</v>
      </c>
      <c r="B41" s="150">
        <v>5355.65</v>
      </c>
      <c r="C41" s="131">
        <f t="shared" si="26"/>
        <v>46326.3725</v>
      </c>
      <c r="D41" s="130">
        <f t="shared" si="27"/>
        <v>4360.26249999999</v>
      </c>
      <c r="E41" s="151">
        <v>4844.41</v>
      </c>
      <c r="F41" s="151">
        <v>0</v>
      </c>
      <c r="G41" s="151">
        <v>6560.66</v>
      </c>
      <c r="H41" s="151">
        <v>0</v>
      </c>
      <c r="I41" s="151">
        <v>15734.23</v>
      </c>
      <c r="J41" s="151">
        <v>30.77</v>
      </c>
      <c r="K41" s="151">
        <v>10920.54</v>
      </c>
      <c r="L41" s="151">
        <v>0</v>
      </c>
      <c r="M41" s="151">
        <v>3875.5</v>
      </c>
      <c r="N41" s="151">
        <v>0</v>
      </c>
      <c r="O41" s="151">
        <v>0</v>
      </c>
      <c r="P41" s="152">
        <v>0</v>
      </c>
      <c r="Q41" s="152"/>
      <c r="R41" s="152"/>
      <c r="S41" s="153">
        <f t="shared" si="28"/>
        <v>41935.34</v>
      </c>
      <c r="T41" s="154">
        <f t="shared" si="29"/>
        <v>30.77</v>
      </c>
      <c r="U41" s="153">
        <v>5060.48</v>
      </c>
      <c r="V41" s="153">
        <v>6854.43</v>
      </c>
      <c r="W41" s="153">
        <v>16438.64</v>
      </c>
      <c r="X41" s="153">
        <v>11408.93</v>
      </c>
      <c r="Y41" s="153">
        <v>4043.67</v>
      </c>
      <c r="Z41" s="155">
        <v>0</v>
      </c>
      <c r="AA41" s="155">
        <v>0</v>
      </c>
      <c r="AB41" s="155">
        <f t="shared" si="41"/>
        <v>43806.149999999994</v>
      </c>
      <c r="AC41" s="156">
        <f t="shared" si="30"/>
        <v>48197.18249999998</v>
      </c>
      <c r="AD41" s="157">
        <f t="shared" si="31"/>
        <v>0</v>
      </c>
      <c r="AE41" s="157">
        <f t="shared" si="32"/>
        <v>0</v>
      </c>
      <c r="AF41" s="157">
        <f>'[8]Т12'!$I$18+'[8]Т12'!$I$23+'[8]Т12'!$I$88+'[8]Т12'!$I$97+'[8]Т12'!$I$113+150</f>
        <v>5878.997880000001</v>
      </c>
      <c r="AG41" s="158">
        <f t="shared" si="33"/>
        <v>3213.39</v>
      </c>
      <c r="AH41" s="158">
        <f t="shared" si="34"/>
        <v>1071.1299999999999</v>
      </c>
      <c r="AI41" s="158">
        <f t="shared" si="35"/>
        <v>5355.65</v>
      </c>
      <c r="AJ41" s="158">
        <v>0</v>
      </c>
      <c r="AK41" s="158">
        <f t="shared" si="36"/>
        <v>5248.536999999999</v>
      </c>
      <c r="AL41" s="158">
        <v>0</v>
      </c>
      <c r="AM41" s="158">
        <f t="shared" si="37"/>
        <v>12050.2125</v>
      </c>
      <c r="AN41" s="158">
        <v>0</v>
      </c>
      <c r="AO41" s="158"/>
      <c r="AP41" s="158"/>
      <c r="AQ41" s="159"/>
      <c r="AR41" s="159"/>
      <c r="AS41" s="160">
        <v>6502</v>
      </c>
      <c r="AT41" s="146">
        <f>237.66+4491.53+463.56+1283.05+314.24+104.41-0.02+64745.68</f>
        <v>71640.11</v>
      </c>
      <c r="AU41" s="160">
        <f>(237.66+4491.53+463.56+1283.05+314.24+104.41+64745.68)*0.18</f>
        <v>12895.2234</v>
      </c>
      <c r="AV41" s="161"/>
      <c r="AW41" s="162">
        <v>1256</v>
      </c>
      <c r="AX41" s="158">
        <f>AW41*1.4</f>
        <v>1758.3999999999999</v>
      </c>
      <c r="AY41" s="121"/>
      <c r="AZ41" s="163"/>
      <c r="BA41" s="163">
        <f t="shared" si="38"/>
        <v>0</v>
      </c>
      <c r="BB41" s="163">
        <f t="shared" si="39"/>
        <v>119734.6529</v>
      </c>
      <c r="BC41" s="164">
        <f>'[8]Т12'!$M$18+'[8]Т12'!$M$23+'[8]Т12'!$M$88+'[8]Т12'!$M$97+'[8]Т12'!$M$113+37.5</f>
        <v>2230.283</v>
      </c>
      <c r="BD41" s="14">
        <f t="shared" si="24"/>
        <v>-67888.75552</v>
      </c>
      <c r="BE41" s="30">
        <f t="shared" si="25"/>
        <v>1870.8099999999977</v>
      </c>
    </row>
    <row r="42" spans="1:57" s="20" customFormat="1" ht="12.75">
      <c r="A42" s="17" t="s">
        <v>5</v>
      </c>
      <c r="B42" s="60"/>
      <c r="C42" s="60">
        <f aca="true" t="shared" si="42" ref="C42:AU42">SUM(C30:C41)</f>
        <v>555928.58</v>
      </c>
      <c r="D42" s="60">
        <f t="shared" si="42"/>
        <v>52748.01999999994</v>
      </c>
      <c r="E42" s="57">
        <f t="shared" si="42"/>
        <v>51873.479999999996</v>
      </c>
      <c r="F42" s="57">
        <f t="shared" si="42"/>
        <v>6210.82</v>
      </c>
      <c r="G42" s="57">
        <f t="shared" si="42"/>
        <v>70246.51000000001</v>
      </c>
      <c r="H42" s="57">
        <f t="shared" si="42"/>
        <v>8418.55</v>
      </c>
      <c r="I42" s="57">
        <f t="shared" si="42"/>
        <v>168620.62000000002</v>
      </c>
      <c r="J42" s="57">
        <f t="shared" si="42"/>
        <v>20403.72</v>
      </c>
      <c r="K42" s="57">
        <f t="shared" si="42"/>
        <v>116931.45000000001</v>
      </c>
      <c r="L42" s="57">
        <f t="shared" si="42"/>
        <v>14008.369999999999</v>
      </c>
      <c r="M42" s="57">
        <f t="shared" si="42"/>
        <v>41498.52</v>
      </c>
      <c r="N42" s="57">
        <f t="shared" si="42"/>
        <v>4968.5199999999995</v>
      </c>
      <c r="O42" s="57">
        <f t="shared" si="42"/>
        <v>0</v>
      </c>
      <c r="P42" s="57">
        <f t="shared" si="42"/>
        <v>0</v>
      </c>
      <c r="Q42" s="57">
        <f t="shared" si="42"/>
        <v>0</v>
      </c>
      <c r="R42" s="57">
        <f t="shared" si="42"/>
        <v>0</v>
      </c>
      <c r="S42" s="57">
        <f t="shared" si="42"/>
        <v>449170.57999999996</v>
      </c>
      <c r="T42" s="57">
        <f t="shared" si="42"/>
        <v>54009.97999999998</v>
      </c>
      <c r="U42" s="61">
        <f t="shared" si="42"/>
        <v>49170.56999999999</v>
      </c>
      <c r="V42" s="61">
        <f t="shared" si="42"/>
        <v>66576.59</v>
      </c>
      <c r="W42" s="61">
        <f t="shared" si="42"/>
        <v>161182.21000000002</v>
      </c>
      <c r="X42" s="61">
        <f t="shared" si="42"/>
        <v>111051.09</v>
      </c>
      <c r="Y42" s="61">
        <f t="shared" si="42"/>
        <v>39337.5</v>
      </c>
      <c r="Z42" s="61">
        <f t="shared" si="42"/>
        <v>0</v>
      </c>
      <c r="AA42" s="61">
        <f t="shared" si="42"/>
        <v>0</v>
      </c>
      <c r="AB42" s="61">
        <f t="shared" si="42"/>
        <v>427317.9600000001</v>
      </c>
      <c r="AC42" s="61">
        <f t="shared" si="42"/>
        <v>534075.96</v>
      </c>
      <c r="AD42" s="61">
        <f t="shared" si="42"/>
        <v>0</v>
      </c>
      <c r="AE42" s="100">
        <f t="shared" si="42"/>
        <v>0</v>
      </c>
      <c r="AF42" s="100">
        <f t="shared" si="42"/>
        <v>64650.78456000002</v>
      </c>
      <c r="AG42" s="18">
        <f t="shared" si="42"/>
        <v>38561.52</v>
      </c>
      <c r="AH42" s="18">
        <f t="shared" si="42"/>
        <v>12853.839999999997</v>
      </c>
      <c r="AI42" s="18">
        <f t="shared" si="42"/>
        <v>64269.20000000001</v>
      </c>
      <c r="AJ42" s="18">
        <f t="shared" si="42"/>
        <v>0</v>
      </c>
      <c r="AK42" s="18">
        <f t="shared" si="42"/>
        <v>62983.815999999984</v>
      </c>
      <c r="AL42" s="18">
        <f t="shared" si="42"/>
        <v>0</v>
      </c>
      <c r="AM42" s="18">
        <f t="shared" si="42"/>
        <v>144605.69999999998</v>
      </c>
      <c r="AN42" s="18">
        <f t="shared" si="42"/>
        <v>0</v>
      </c>
      <c r="AO42" s="18">
        <f t="shared" si="42"/>
        <v>7583.76</v>
      </c>
      <c r="AP42" s="18">
        <f t="shared" si="42"/>
        <v>0</v>
      </c>
      <c r="AQ42" s="18">
        <f t="shared" si="42"/>
        <v>10430</v>
      </c>
      <c r="AR42" s="18">
        <f t="shared" si="42"/>
        <v>0</v>
      </c>
      <c r="AS42" s="18">
        <f t="shared" si="42"/>
        <v>81790</v>
      </c>
      <c r="AT42" s="18">
        <f t="shared" si="42"/>
        <v>109219.23999999999</v>
      </c>
      <c r="AU42" s="18">
        <f t="shared" si="42"/>
        <v>12895.2234</v>
      </c>
      <c r="AV42" s="18"/>
      <c r="AW42" s="18"/>
      <c r="AX42" s="18">
        <f aca="true" t="shared" si="43" ref="AX42:BE42">SUM(AX30:AX41)</f>
        <v>13047.999999999998</v>
      </c>
      <c r="AY42" s="18">
        <f t="shared" si="43"/>
        <v>0</v>
      </c>
      <c r="AZ42" s="18">
        <f t="shared" si="43"/>
        <v>0</v>
      </c>
      <c r="BA42" s="18">
        <f t="shared" si="43"/>
        <v>0</v>
      </c>
      <c r="BB42" s="18">
        <f t="shared" si="43"/>
        <v>558240.2993999999</v>
      </c>
      <c r="BC42" s="18">
        <f t="shared" si="43"/>
        <v>26340.270999999997</v>
      </c>
      <c r="BD42" s="18">
        <f t="shared" si="43"/>
        <v>14146.174159999995</v>
      </c>
      <c r="BE42" s="19">
        <f t="shared" si="43"/>
        <v>-21852.61999999999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101"/>
      <c r="AD43" s="101"/>
      <c r="AE43" s="102"/>
      <c r="AF43" s="102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6"/>
      <c r="AT43" s="96"/>
      <c r="AU43" s="97"/>
      <c r="AV43" s="97"/>
      <c r="AW43" s="97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4" ref="C44:AU44">C28+C42</f>
        <v>1251049.5</v>
      </c>
      <c r="D44" s="23">
        <f t="shared" si="44"/>
        <v>140532.10341184994</v>
      </c>
      <c r="E44" s="50">
        <f t="shared" si="44"/>
        <v>106040.62999999999</v>
      </c>
      <c r="F44" s="50">
        <f t="shared" si="44"/>
        <v>20971.36</v>
      </c>
      <c r="G44" s="50">
        <f t="shared" si="44"/>
        <v>143502.56</v>
      </c>
      <c r="H44" s="50">
        <f t="shared" si="44"/>
        <v>28391.09</v>
      </c>
      <c r="I44" s="50">
        <f t="shared" si="44"/>
        <v>347173.87</v>
      </c>
      <c r="J44" s="50">
        <f t="shared" si="44"/>
        <v>68120.98000000001</v>
      </c>
      <c r="K44" s="50">
        <f t="shared" si="44"/>
        <v>241699.22000000003</v>
      </c>
      <c r="L44" s="50">
        <f t="shared" si="44"/>
        <v>47265.380000000005</v>
      </c>
      <c r="M44" s="50">
        <f t="shared" si="44"/>
        <v>84834.12</v>
      </c>
      <c r="N44" s="50">
        <f t="shared" si="44"/>
        <v>16777.06</v>
      </c>
      <c r="O44" s="50">
        <f t="shared" si="44"/>
        <v>0</v>
      </c>
      <c r="P44" s="50">
        <f t="shared" si="44"/>
        <v>0</v>
      </c>
      <c r="Q44" s="50">
        <f t="shared" si="44"/>
        <v>0</v>
      </c>
      <c r="R44" s="50">
        <f t="shared" si="44"/>
        <v>0</v>
      </c>
      <c r="S44" s="50">
        <f t="shared" si="44"/>
        <v>923250.3999999999</v>
      </c>
      <c r="T44" s="50">
        <f t="shared" si="44"/>
        <v>181525.87</v>
      </c>
      <c r="U44" s="53">
        <f t="shared" si="44"/>
        <v>96425.83</v>
      </c>
      <c r="V44" s="53">
        <f t="shared" si="44"/>
        <v>130475.52999999998</v>
      </c>
      <c r="W44" s="53">
        <f t="shared" si="44"/>
        <v>314871.7</v>
      </c>
      <c r="X44" s="53">
        <f t="shared" si="44"/>
        <v>217481.44</v>
      </c>
      <c r="Y44" s="53">
        <f t="shared" si="44"/>
        <v>77143.85</v>
      </c>
      <c r="Z44" s="53">
        <f t="shared" si="44"/>
        <v>0</v>
      </c>
      <c r="AA44" s="53">
        <f t="shared" si="44"/>
        <v>0</v>
      </c>
      <c r="AB44" s="53">
        <f t="shared" si="44"/>
        <v>836398.3500000001</v>
      </c>
      <c r="AC44" s="53">
        <f t="shared" si="44"/>
        <v>1158456.3234118498</v>
      </c>
      <c r="AD44" s="53">
        <f t="shared" si="44"/>
        <v>0</v>
      </c>
      <c r="AE44" s="53">
        <f t="shared" si="44"/>
        <v>0</v>
      </c>
      <c r="AF44" s="53">
        <f t="shared" si="44"/>
        <v>121234.41678000003</v>
      </c>
      <c r="AG44" s="23">
        <f t="shared" si="44"/>
        <v>85492.10399999999</v>
      </c>
      <c r="AH44" s="23">
        <f t="shared" si="44"/>
        <v>28647.887788799995</v>
      </c>
      <c r="AI44" s="23">
        <f t="shared" si="44"/>
        <v>130070.31867775001</v>
      </c>
      <c r="AJ44" s="23">
        <f t="shared" si="44"/>
        <v>11844.201361995001</v>
      </c>
      <c r="AK44" s="23">
        <f t="shared" si="44"/>
        <v>129569.34270252998</v>
      </c>
      <c r="AL44" s="23">
        <f t="shared" si="44"/>
        <v>11985.3948064554</v>
      </c>
      <c r="AM44" s="23">
        <f t="shared" si="44"/>
        <v>290417.04269672843</v>
      </c>
      <c r="AN44" s="23">
        <f t="shared" si="44"/>
        <v>26246.041685411117</v>
      </c>
      <c r="AO44" s="23">
        <f t="shared" si="44"/>
        <v>7583.76</v>
      </c>
      <c r="AP44" s="23">
        <f t="shared" si="44"/>
        <v>0</v>
      </c>
      <c r="AQ44" s="23">
        <f t="shared" si="44"/>
        <v>26665.84</v>
      </c>
      <c r="AR44" s="23">
        <f t="shared" si="44"/>
        <v>2922.4512</v>
      </c>
      <c r="AS44" s="23">
        <f t="shared" si="44"/>
        <v>194615.23</v>
      </c>
      <c r="AT44" s="23">
        <f t="shared" si="44"/>
        <v>110317.99999999999</v>
      </c>
      <c r="AU44" s="23">
        <f t="shared" si="44"/>
        <v>33401.5516</v>
      </c>
      <c r="AV44" s="23"/>
      <c r="AW44" s="23"/>
      <c r="AX44" s="23">
        <f aca="true" t="shared" si="45" ref="AX44:BE44">AX28+AX42</f>
        <v>27867.1004</v>
      </c>
      <c r="AY44" s="23">
        <f t="shared" si="45"/>
        <v>0</v>
      </c>
      <c r="AZ44" s="23">
        <f t="shared" si="45"/>
        <v>0</v>
      </c>
      <c r="BA44" s="23">
        <f t="shared" si="45"/>
        <v>0</v>
      </c>
      <c r="BB44" s="23">
        <f t="shared" si="45"/>
        <v>1117646.2669196697</v>
      </c>
      <c r="BC44" s="23">
        <f t="shared" si="45"/>
        <v>48656.01135177979</v>
      </c>
      <c r="BD44" s="23">
        <f t="shared" si="45"/>
        <v>113388.46192040024</v>
      </c>
      <c r="BE44" s="24">
        <f t="shared" si="45"/>
        <v>-85158.08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P55" sqref="P55"/>
    </sheetView>
  </sheetViews>
  <sheetFormatPr defaultColWidth="9.00390625" defaultRowHeight="12.75"/>
  <cols>
    <col min="1" max="1" width="10.00390625" style="2" customWidth="1"/>
    <col min="2" max="2" width="9.875" style="2" customWidth="1"/>
    <col min="3" max="3" width="12.25390625" style="2" customWidth="1"/>
    <col min="4" max="4" width="10.00390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2.25390625" style="2" customWidth="1"/>
    <col min="9" max="9" width="10.75390625" style="2" customWidth="1"/>
    <col min="10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1.75390625" style="2" customWidth="1"/>
    <col min="16" max="16" width="9.375" style="2" customWidth="1"/>
    <col min="17" max="17" width="10.75390625" style="2" customWidth="1"/>
    <col min="18" max="18" width="10.875" style="2" customWidth="1"/>
    <col min="19" max="16384" width="9.125" style="2" customWidth="1"/>
  </cols>
  <sheetData>
    <row r="1" spans="2:8" ht="20.25" customHeight="1">
      <c r="B1" s="329" t="s">
        <v>55</v>
      </c>
      <c r="C1" s="329"/>
      <c r="D1" s="329"/>
      <c r="E1" s="329"/>
      <c r="F1" s="329"/>
      <c r="G1" s="329"/>
      <c r="H1" s="329"/>
    </row>
    <row r="2" spans="2:8" ht="21" customHeight="1">
      <c r="B2" s="329" t="s">
        <v>56</v>
      </c>
      <c r="C2" s="329"/>
      <c r="D2" s="329"/>
      <c r="E2" s="329"/>
      <c r="F2" s="329"/>
      <c r="G2" s="329"/>
      <c r="H2" s="329"/>
    </row>
    <row r="5" spans="1:17" ht="12.75">
      <c r="A5" s="331" t="s">
        <v>90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ht="12.75">
      <c r="A6" s="332" t="s">
        <v>93</v>
      </c>
      <c r="B6" s="332"/>
      <c r="C6" s="332"/>
      <c r="D6" s="332"/>
      <c r="E6" s="332"/>
      <c r="F6" s="332"/>
      <c r="G6" s="332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330" t="s">
        <v>57</v>
      </c>
      <c r="B8" s="330"/>
      <c r="C8" s="330"/>
      <c r="D8" s="330"/>
      <c r="E8" s="330">
        <v>8.65</v>
      </c>
      <c r="F8" s="330"/>
    </row>
    <row r="9" spans="1:18" ht="12.75" customHeight="1">
      <c r="A9" s="274" t="s">
        <v>58</v>
      </c>
      <c r="B9" s="363" t="s">
        <v>1</v>
      </c>
      <c r="C9" s="323" t="s">
        <v>59</v>
      </c>
      <c r="D9" s="326" t="s">
        <v>3</v>
      </c>
      <c r="E9" s="344" t="s">
        <v>60</v>
      </c>
      <c r="F9" s="345"/>
      <c r="G9" s="348" t="s">
        <v>61</v>
      </c>
      <c r="H9" s="349"/>
      <c r="I9" s="355" t="str">
        <f>Лист1!AF3</f>
        <v>Доходы по нежил.помещениям</v>
      </c>
      <c r="J9" s="358" t="s">
        <v>10</v>
      </c>
      <c r="K9" s="313"/>
      <c r="L9" s="313"/>
      <c r="M9" s="313"/>
      <c r="N9" s="313"/>
      <c r="O9" s="359"/>
      <c r="P9" s="289" t="s">
        <v>76</v>
      </c>
      <c r="Q9" s="333" t="s">
        <v>62</v>
      </c>
      <c r="R9" s="333" t="s">
        <v>12</v>
      </c>
    </row>
    <row r="10" spans="1:18" ht="12.75">
      <c r="A10" s="275"/>
      <c r="B10" s="364"/>
      <c r="C10" s="324"/>
      <c r="D10" s="327"/>
      <c r="E10" s="346"/>
      <c r="F10" s="347"/>
      <c r="G10" s="350"/>
      <c r="H10" s="351"/>
      <c r="I10" s="356"/>
      <c r="J10" s="360"/>
      <c r="K10" s="285"/>
      <c r="L10" s="285"/>
      <c r="M10" s="285"/>
      <c r="N10" s="285"/>
      <c r="O10" s="361"/>
      <c r="P10" s="290"/>
      <c r="Q10" s="334"/>
      <c r="R10" s="334"/>
    </row>
    <row r="11" spans="1:18" ht="26.25" customHeight="1">
      <c r="A11" s="275"/>
      <c r="B11" s="364"/>
      <c r="C11" s="324"/>
      <c r="D11" s="327"/>
      <c r="E11" s="336" t="s">
        <v>63</v>
      </c>
      <c r="F11" s="337"/>
      <c r="G11" s="89" t="s">
        <v>64</v>
      </c>
      <c r="H11" s="338" t="s">
        <v>7</v>
      </c>
      <c r="I11" s="356"/>
      <c r="J11" s="340" t="s">
        <v>65</v>
      </c>
      <c r="K11" s="342" t="s">
        <v>32</v>
      </c>
      <c r="L11" s="342" t="s">
        <v>66</v>
      </c>
      <c r="M11" s="342" t="s">
        <v>37</v>
      </c>
      <c r="N11" s="342" t="s">
        <v>67</v>
      </c>
      <c r="O11" s="338" t="s">
        <v>39</v>
      </c>
      <c r="P11" s="290"/>
      <c r="Q11" s="334"/>
      <c r="R11" s="334"/>
    </row>
    <row r="12" spans="1:18" ht="66.75" customHeight="1" thickBot="1">
      <c r="A12" s="362"/>
      <c r="B12" s="365"/>
      <c r="C12" s="325"/>
      <c r="D12" s="328"/>
      <c r="E12" s="63" t="s">
        <v>68</v>
      </c>
      <c r="F12" s="67" t="s">
        <v>21</v>
      </c>
      <c r="G12" s="82" t="s">
        <v>69</v>
      </c>
      <c r="H12" s="339"/>
      <c r="I12" s="357"/>
      <c r="J12" s="341"/>
      <c r="K12" s="343"/>
      <c r="L12" s="343"/>
      <c r="M12" s="343"/>
      <c r="N12" s="343"/>
      <c r="O12" s="339"/>
      <c r="P12" s="291"/>
      <c r="Q12" s="335"/>
      <c r="R12" s="335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 hidden="1">
      <c r="A15" s="11" t="s">
        <v>41</v>
      </c>
      <c r="B15" s="84">
        <f>Лист1!B9</f>
        <v>5357.9</v>
      </c>
      <c r="C15" s="27">
        <f>B15*8.65</f>
        <v>46345.835</v>
      </c>
      <c r="D15" s="28">
        <f>Лист1!D9</f>
        <v>11163.7847348</v>
      </c>
      <c r="E15" s="14">
        <f>Лист1!S9</f>
        <v>30593.1</v>
      </c>
      <c r="F15" s="30">
        <f>Лист1!T9</f>
        <v>8166.61</v>
      </c>
      <c r="G15" s="29">
        <f>Лист1!AB9</f>
        <v>0</v>
      </c>
      <c r="H15" s="30">
        <f>Лист1!AC9</f>
        <v>19330.3947348</v>
      </c>
      <c r="I15" s="87">
        <f>Лист1!AD9</f>
        <v>0</v>
      </c>
      <c r="J15" s="29">
        <f>Лист1!AG9</f>
        <v>3214.74</v>
      </c>
      <c r="K15" s="14">
        <f>Лист1!AI9+Лист1!AJ9</f>
        <v>5385.342079599999</v>
      </c>
      <c r="L15" s="14">
        <f>Лист1!AH9+Лист1!AK9+Лист1!AL9+Лист1!AM9+Лист1!AN9+Лист1!AO9+Лист1!AP9</f>
        <v>18910.135290489994</v>
      </c>
      <c r="M15" s="31">
        <f>Лист1!AS9+Лист1!AU9</f>
        <v>0</v>
      </c>
      <c r="N15" s="31">
        <f>Лист1!AX9</f>
        <v>0</v>
      </c>
      <c r="O15" s="30">
        <f>Лист1!BB9</f>
        <v>27510.217370089995</v>
      </c>
      <c r="P15" s="90">
        <f>Лист1!BC9</f>
        <v>0</v>
      </c>
      <c r="Q15" s="75">
        <f>Лист1!BD9</f>
        <v>-8179.822635289995</v>
      </c>
      <c r="R15" s="75">
        <f>Лист1!BE9</f>
        <v>-30593.1</v>
      </c>
    </row>
    <row r="16" spans="1:18" ht="12.75" hidden="1">
      <c r="A16" s="11" t="s">
        <v>42</v>
      </c>
      <c r="B16" s="84">
        <f>Лист1!B10</f>
        <v>5357.9</v>
      </c>
      <c r="C16" s="27">
        <f aca="true" t="shared" si="0" ref="C16:C31">B16*8.65</f>
        <v>46345.835</v>
      </c>
      <c r="D16" s="28">
        <f>Лист1!D10</f>
        <v>11163.7847348</v>
      </c>
      <c r="E16" s="14">
        <f>Лист1!S10</f>
        <v>28949.699999999997</v>
      </c>
      <c r="F16" s="30">
        <f>Лист1!T10</f>
        <v>7542.82</v>
      </c>
      <c r="G16" s="29">
        <f>Лист1!AB10</f>
        <v>20494.09</v>
      </c>
      <c r="H16" s="30">
        <f>Лист1!AC10</f>
        <v>39200.694734799996</v>
      </c>
      <c r="I16" s="87">
        <f>Лист1!AD10</f>
        <v>0</v>
      </c>
      <c r="J16" s="29">
        <f>Лист1!AG10</f>
        <v>3214.74</v>
      </c>
      <c r="K16" s="14">
        <f>Лист1!AI10+Лист1!AJ10</f>
        <v>5385.342079599999</v>
      </c>
      <c r="L16" s="14">
        <f>Лист1!AH10+Лист1!AK10+Лист1!AL10+Лист1!AM10+Лист1!AN10+Лист1!AO10+Лист1!AP10</f>
        <v>18854.062939689997</v>
      </c>
      <c r="M16" s="31">
        <f>Лист1!AS10+Лист1!AU10</f>
        <v>17731.86</v>
      </c>
      <c r="N16" s="31">
        <f>Лист1!AX10</f>
        <v>0</v>
      </c>
      <c r="O16" s="30">
        <f>Лист1!BB10</f>
        <v>45186.005019289994</v>
      </c>
      <c r="P16" s="90">
        <f>Лист1!BC10</f>
        <v>0</v>
      </c>
      <c r="Q16" s="75">
        <f>Лист1!BD10</f>
        <v>-5985.310284489999</v>
      </c>
      <c r="R16" s="75">
        <f>Лист1!BE10</f>
        <v>-8455.609999999997</v>
      </c>
    </row>
    <row r="17" spans="1:20" ht="13.5" hidden="1" thickBot="1">
      <c r="A17" s="32" t="s">
        <v>43</v>
      </c>
      <c r="B17" s="84">
        <f>Лист1!B11</f>
        <v>5357.9</v>
      </c>
      <c r="C17" s="33">
        <f t="shared" si="0"/>
        <v>46345.835</v>
      </c>
      <c r="D17" s="28">
        <f>Лист1!D11</f>
        <v>11139.22144225</v>
      </c>
      <c r="E17" s="14">
        <f>Лист1!S11</f>
        <v>30078.230000000003</v>
      </c>
      <c r="F17" s="30">
        <f>Лист1!T11</f>
        <v>8047.070000000001</v>
      </c>
      <c r="G17" s="29">
        <f>Лист1!AB11</f>
        <v>31698.430000000004</v>
      </c>
      <c r="H17" s="30">
        <f>Лист1!AC11</f>
        <v>50884.721442250004</v>
      </c>
      <c r="I17" s="87">
        <f>Лист1!AD11</f>
        <v>0</v>
      </c>
      <c r="J17" s="29">
        <f>Лист1!AG11</f>
        <v>3214.74</v>
      </c>
      <c r="K17" s="14">
        <f>Лист1!AI11+Лист1!AJ11</f>
        <v>5369.6745210399995</v>
      </c>
      <c r="L17" s="14">
        <f>Лист1!AH11+Лист1!AK11+Лист1!AL11+Лист1!AM11+Лист1!AN11+Лист1!AO11+Лист1!AP11</f>
        <v>18822.960864667</v>
      </c>
      <c r="M17" s="31">
        <f>Лист1!AS11+Лист1!AU11</f>
        <v>18154.3</v>
      </c>
      <c r="N17" s="31">
        <f>Лист1!AX11</f>
        <v>0</v>
      </c>
      <c r="O17" s="30">
        <f>Лист1!BB11</f>
        <v>45561.675385707</v>
      </c>
      <c r="P17" s="90">
        <f>Лист1!BC11</f>
        <v>0</v>
      </c>
      <c r="Q17" s="75">
        <f>Лист1!BD11</f>
        <v>5323.046056543004</v>
      </c>
      <c r="R17" s="75">
        <f>Лист1!BE11</f>
        <v>1620.2000000000007</v>
      </c>
      <c r="S17" s="1"/>
      <c r="T17" s="1"/>
    </row>
    <row r="18" spans="1:20" s="20" customFormat="1" ht="13.5" hidden="1" thickBot="1">
      <c r="A18" s="34" t="s">
        <v>5</v>
      </c>
      <c r="B18" s="35"/>
      <c r="C18" s="36">
        <f>SUM(C15:C17)</f>
        <v>139037.505</v>
      </c>
      <c r="D18" s="68">
        <f aca="true" t="shared" si="1" ref="D18:J18">SUM(D15:D17)</f>
        <v>33466.790911849996</v>
      </c>
      <c r="E18" s="36">
        <f t="shared" si="1"/>
        <v>89621.03</v>
      </c>
      <c r="F18" s="69">
        <f t="shared" si="1"/>
        <v>23756.5</v>
      </c>
      <c r="G18" s="68">
        <f t="shared" si="1"/>
        <v>52192.520000000004</v>
      </c>
      <c r="H18" s="69">
        <f t="shared" si="1"/>
        <v>109415.81091185</v>
      </c>
      <c r="I18" s="69">
        <f t="shared" si="1"/>
        <v>0</v>
      </c>
      <c r="J18" s="68">
        <f t="shared" si="1"/>
        <v>9644.22</v>
      </c>
      <c r="K18" s="36">
        <f aca="true" t="shared" si="2" ref="K18:R18">SUM(K15:K17)</f>
        <v>16140.358680239999</v>
      </c>
      <c r="L18" s="36">
        <f t="shared" si="2"/>
        <v>56587.15909484698</v>
      </c>
      <c r="M18" s="36">
        <f t="shared" si="2"/>
        <v>35886.16</v>
      </c>
      <c r="N18" s="36">
        <f t="shared" si="2"/>
        <v>0</v>
      </c>
      <c r="O18" s="69">
        <f t="shared" si="2"/>
        <v>118257.89777508698</v>
      </c>
      <c r="P18" s="69">
        <f t="shared" si="2"/>
        <v>0</v>
      </c>
      <c r="Q18" s="76">
        <f t="shared" si="2"/>
        <v>-8842.08686323699</v>
      </c>
      <c r="R18" s="76">
        <f t="shared" si="2"/>
        <v>-37428.509999999995</v>
      </c>
      <c r="S18" s="71"/>
      <c r="T18" s="72"/>
    </row>
    <row r="19" spans="1:20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 hidden="1">
      <c r="A20" s="11" t="s">
        <v>45</v>
      </c>
      <c r="B20" s="84">
        <f>Лист1!B14</f>
        <v>5357.9</v>
      </c>
      <c r="C20" s="27">
        <f t="shared" si="0"/>
        <v>46345.835</v>
      </c>
      <c r="D20" s="28">
        <f>Лист1!D14</f>
        <v>5793.229375</v>
      </c>
      <c r="E20" s="14">
        <f>Лист1!S14</f>
        <v>29000.890000000003</v>
      </c>
      <c r="F20" s="30">
        <f>Лист1!T14</f>
        <v>7952.62</v>
      </c>
      <c r="G20" s="29">
        <f>Лист1!AB14</f>
        <v>21362.98</v>
      </c>
      <c r="H20" s="30">
        <f>Лист1!AC14</f>
        <v>35108.829375</v>
      </c>
      <c r="I20" s="87">
        <f>Лист1!AF14</f>
        <v>4219.34072</v>
      </c>
      <c r="J20" s="29">
        <f>Лист1!AG14</f>
        <v>2893.266</v>
      </c>
      <c r="K20" s="14">
        <f>Лист1!AI14+Лист1!AJ14</f>
        <v>4659.211597899999</v>
      </c>
      <c r="L20" s="14">
        <f>Лист1!AH14+Лист1!AK14+Лист1!AL14+Лист1!AM14+Лист1!AN14+Лист1!AO14+Лист1!AP14+Лист1!AQ14+Лист1!AR14</f>
        <v>16001.676536407998</v>
      </c>
      <c r="M20" s="31">
        <f>Лист1!AS14+Лист1!AT14+Лист1!AU14+Лист1!AZ14+Лист1!BA14</f>
        <v>16542.43</v>
      </c>
      <c r="N20" s="31">
        <f>Лист1!AX14</f>
        <v>0</v>
      </c>
      <c r="O20" s="30">
        <f>Лист1!BB14</f>
        <v>40096.584134307996</v>
      </c>
      <c r="P20" s="90">
        <f>Лист1!BC14</f>
        <v>1557.18277428</v>
      </c>
      <c r="Q20" s="75">
        <f>Лист1!BD14</f>
        <v>-2325.5968135879943</v>
      </c>
      <c r="R20" s="75">
        <f>Лист1!BE14</f>
        <v>-7637.9100000000035</v>
      </c>
      <c r="S20" s="1"/>
      <c r="T20" s="1"/>
    </row>
    <row r="21" spans="1:20" ht="12.75" hidden="1">
      <c r="A21" s="11" t="s">
        <v>46</v>
      </c>
      <c r="B21" s="84">
        <f>Лист1!B15</f>
        <v>5357.9</v>
      </c>
      <c r="C21" s="27">
        <f t="shared" si="0"/>
        <v>46345.835</v>
      </c>
      <c r="D21" s="28">
        <f>Лист1!D15</f>
        <v>5793.229375</v>
      </c>
      <c r="E21" s="14">
        <f>Лист1!S15</f>
        <v>30186.479999999996</v>
      </c>
      <c r="F21" s="30">
        <f>Лист1!T15</f>
        <v>7889.650000000001</v>
      </c>
      <c r="G21" s="29">
        <f>Лист1!AB15</f>
        <v>26336.09</v>
      </c>
      <c r="H21" s="30">
        <f>Лист1!AC15</f>
        <v>40018.969375</v>
      </c>
      <c r="I21" s="87">
        <f>Лист1!AF15</f>
        <v>4219.34072</v>
      </c>
      <c r="J21" s="29">
        <f>Лист1!AG15</f>
        <v>2893.266</v>
      </c>
      <c r="K21" s="14">
        <f>Лист1!AI15+Лист1!AJ15</f>
        <v>4653.861224199999</v>
      </c>
      <c r="L21" s="14">
        <f>Лист1!AH15+Лист1!AK15+Лист1!AL15+Лист1!AM15+Лист1!AN15+Лист1!AO15+Лист1!AP15+Лист1!AQ15+Лист1!AR15</f>
        <v>16024.251297951996</v>
      </c>
      <c r="M21" s="31">
        <f>Лист1!AS15+Лист1!AT15+Лист1!AU15+Лист1!AZ15+Лист1!BA15</f>
        <v>22765.739999999998</v>
      </c>
      <c r="N21" s="31">
        <f>Лист1!AX15</f>
        <v>0</v>
      </c>
      <c r="O21" s="30">
        <f>Лист1!BB15</f>
        <v>46337.11852215199</v>
      </c>
      <c r="P21" s="90">
        <f>Лист1!BC15</f>
        <v>1559.52357568</v>
      </c>
      <c r="Q21" s="75">
        <f>Лист1!BD15</f>
        <v>-3658.3320028319913</v>
      </c>
      <c r="R21" s="75">
        <f>Лист1!BE15</f>
        <v>-3850.389999999996</v>
      </c>
      <c r="S21" s="1"/>
      <c r="T21" s="1"/>
    </row>
    <row r="22" spans="1:20" ht="12.75" hidden="1">
      <c r="A22" s="11" t="s">
        <v>47</v>
      </c>
      <c r="B22" s="84">
        <f>Лист1!B16</f>
        <v>5357.9</v>
      </c>
      <c r="C22" s="27">
        <f t="shared" si="0"/>
        <v>46345.835</v>
      </c>
      <c r="D22" s="28">
        <f>Лист1!D16</f>
        <v>5793.229375</v>
      </c>
      <c r="E22" s="14">
        <f>Лист1!S16</f>
        <v>28841.970000000005</v>
      </c>
      <c r="F22" s="30">
        <f>Лист1!T16</f>
        <v>7891.38</v>
      </c>
      <c r="G22" s="29">
        <f>Лист1!AB16</f>
        <v>33747.68</v>
      </c>
      <c r="H22" s="30">
        <f>Лист1!AC16</f>
        <v>47432.289375</v>
      </c>
      <c r="I22" s="87">
        <f>Лист1!AF16</f>
        <v>4219.34072</v>
      </c>
      <c r="J22" s="29">
        <f>Лист1!AG16</f>
        <v>2893.266</v>
      </c>
      <c r="K22" s="14">
        <f>Лист1!AI16+Лист1!AJ16</f>
        <v>4661.93398475</v>
      </c>
      <c r="L22" s="14">
        <f>Лист1!AH16+Лист1!AK16+Лист1!AL16+Лист1!AM16+Лист1!AN16+Лист1!AO16+Лист1!AP16+Лист1!AQ16+Лист1!AR16</f>
        <v>15490.008946639997</v>
      </c>
      <c r="M22" s="31">
        <f>Лист1!AS16+Лист1!AT16+Лист1!AU16+Лист1!AZ16+Лист1!BA16</f>
        <v>2853.24</v>
      </c>
      <c r="N22" s="31">
        <f>Лист1!AX16</f>
        <v>0</v>
      </c>
      <c r="O22" s="30">
        <f>Лист1!BB16</f>
        <v>25898.448931389998</v>
      </c>
      <c r="P22" s="90">
        <f>Лист1!BC16</f>
        <v>1526.81333494</v>
      </c>
      <c r="Q22" s="75">
        <f>Лист1!BD16</f>
        <v>24226.36782867</v>
      </c>
      <c r="R22" s="75">
        <f>Лист1!BE16</f>
        <v>4905.7099999999955</v>
      </c>
      <c r="S22" s="1"/>
      <c r="T22" s="1"/>
    </row>
    <row r="23" spans="1:20" ht="12.75" hidden="1">
      <c r="A23" s="11" t="s">
        <v>48</v>
      </c>
      <c r="B23" s="84">
        <f>Лист1!B17</f>
        <v>5357.9</v>
      </c>
      <c r="C23" s="27">
        <f t="shared" si="0"/>
        <v>46345.835</v>
      </c>
      <c r="D23" s="28">
        <f>Лист1!D17</f>
        <v>5793.229375</v>
      </c>
      <c r="E23" s="14">
        <f>Лист1!S17</f>
        <v>28862.79</v>
      </c>
      <c r="F23" s="30">
        <f>Лист1!T17</f>
        <v>8036.700000000001</v>
      </c>
      <c r="G23" s="29">
        <f>Лист1!AB17</f>
        <v>27168.82</v>
      </c>
      <c r="H23" s="30">
        <f>Лист1!AC17</f>
        <v>40998.749375</v>
      </c>
      <c r="I23" s="87">
        <f>Лист1!AF17</f>
        <v>3662.67572</v>
      </c>
      <c r="J23" s="29">
        <f>Лист1!AG17</f>
        <v>2893.266</v>
      </c>
      <c r="K23" s="14">
        <f>Лист1!AI17+Лист1!AJ17</f>
        <v>4801.108103579999</v>
      </c>
      <c r="L23" s="14">
        <f>Лист1!AH17+Лист1!AK17+Лист1!AL17+Лист1!AM17+Лист1!AN17+Лист1!AO17+Лист1!AP17+Лист1!AQ17+Лист1!AR17</f>
        <v>15710.708477543996</v>
      </c>
      <c r="M23" s="31">
        <f>Лист1!AS17+Лист1!AT17+Лист1!AU17+Лист1!AZ17+Лист1!BA17</f>
        <v>7764.754</v>
      </c>
      <c r="N23" s="31">
        <f>Лист1!AX17-N20-N21-N22</f>
        <v>5443.67</v>
      </c>
      <c r="O23" s="30">
        <f>Лист1!BB17</f>
        <v>36613.506581124</v>
      </c>
      <c r="P23" s="90">
        <f>Лист1!BC17</f>
        <v>1570.3738786400002</v>
      </c>
      <c r="Q23" s="75">
        <f>Лист1!BD17</f>
        <v>6477.544635236</v>
      </c>
      <c r="R23" s="75">
        <f>Лист1!BE17</f>
        <v>0</v>
      </c>
      <c r="S23" s="1"/>
      <c r="T23" s="1"/>
    </row>
    <row r="24" spans="1:20" ht="12.75" hidden="1">
      <c r="A24" s="11" t="s">
        <v>49</v>
      </c>
      <c r="B24" s="84">
        <f>Лист1!B18</f>
        <v>5357.9</v>
      </c>
      <c r="C24" s="27">
        <f t="shared" si="0"/>
        <v>46345.835</v>
      </c>
      <c r="D24" s="28">
        <f>Лист1!D18</f>
        <v>4641.775000000007</v>
      </c>
      <c r="E24" s="14">
        <f>Лист1!S18</f>
        <v>32686.879999999997</v>
      </c>
      <c r="F24" s="30">
        <f>Лист1!T18</f>
        <v>9017.18</v>
      </c>
      <c r="G24" s="29">
        <f>Лист1!AB18</f>
        <v>22943.2</v>
      </c>
      <c r="H24" s="30">
        <f>Лист1!AC18</f>
        <v>36602.155000000006</v>
      </c>
      <c r="I24" s="87">
        <f>Лист1!AF18</f>
        <v>3662.67572</v>
      </c>
      <c r="J24" s="29">
        <f>Лист1!AG18</f>
        <v>3214.74</v>
      </c>
      <c r="K24" s="14">
        <f>Лист1!AI18+Лист1!AJ18</f>
        <v>5373.973699999999</v>
      </c>
      <c r="L24" s="14">
        <f>Лист1!AH18+Лист1!AK18+Лист1!AL18+Лист1!AM18+Лист1!AN18+Лист1!AO18+Лист1!AP18+Лист1!AQ18+Лист1!AR18</f>
        <v>18405.446279999996</v>
      </c>
      <c r="M24" s="31">
        <f>Лист1!AS18+Лист1!AT18+Лист1!AU18+Лист1!AZ18+Лист1!BA18</f>
        <v>944</v>
      </c>
      <c r="N24" s="31">
        <f>Лист1!AX18</f>
        <v>767.8496</v>
      </c>
      <c r="O24" s="30">
        <f>Лист1!BB18</f>
        <v>28706.009579999994</v>
      </c>
      <c r="P24" s="90">
        <f>Лист1!BC18</f>
        <v>1753.0063535240001</v>
      </c>
      <c r="Q24" s="75">
        <f>Лист1!BD18</f>
        <v>9805.81478647601</v>
      </c>
      <c r="R24" s="75">
        <f>Лист1!BE18</f>
        <v>-9743.679999999997</v>
      </c>
      <c r="S24" s="1"/>
      <c r="T24" s="1"/>
    </row>
    <row r="25" spans="1:20" ht="12.75" hidden="1">
      <c r="A25" s="11" t="s">
        <v>50</v>
      </c>
      <c r="B25" s="84">
        <f>Лист1!B19</f>
        <v>5357.9</v>
      </c>
      <c r="C25" s="27">
        <f t="shared" si="0"/>
        <v>46345.835</v>
      </c>
      <c r="D25" s="28">
        <f>Лист1!D19</f>
        <v>4391.145000000004</v>
      </c>
      <c r="E25" s="14">
        <f>Лист1!S19</f>
        <v>33066.509999999995</v>
      </c>
      <c r="F25" s="30">
        <f>Лист1!T19</f>
        <v>8888.18</v>
      </c>
      <c r="G25" s="29">
        <f>Лист1!AB19</f>
        <v>26446.02</v>
      </c>
      <c r="H25" s="30">
        <f>Лист1!AC19</f>
        <v>39725.345</v>
      </c>
      <c r="I25" s="87">
        <f>Лист1!AF19</f>
        <v>5332.67072</v>
      </c>
      <c r="J25" s="29">
        <f>Лист1!AG19</f>
        <v>3214.74</v>
      </c>
      <c r="K25" s="14">
        <f>Лист1!AI19+Лист1!AJ19</f>
        <v>5373.985499999999</v>
      </c>
      <c r="L25" s="14">
        <f>Лист1!AH19+Лист1!AK19+Лист1!AL19+Лист1!AM19+Лист1!AN19+Лист1!AO19+Лист1!AP19+Лист1!AQ19+Лист1!AR19</f>
        <v>18405.942090999997</v>
      </c>
      <c r="M25" s="31">
        <f>Лист1!AS19+Лист1!AT19+Лист1!AU19+Лист1!AZ19+Лист1!BA19</f>
        <v>7189.527599999999</v>
      </c>
      <c r="N25" s="31">
        <f>Лист1!AX19</f>
        <v>792.96</v>
      </c>
      <c r="O25" s="30">
        <f>Лист1!BB19</f>
        <v>34977.155191</v>
      </c>
      <c r="P25" s="90">
        <f>Лист1!BC19</f>
        <v>1659.56431316</v>
      </c>
      <c r="Q25" s="75">
        <f>Лист1!BD19</f>
        <v>8421.296215840004</v>
      </c>
      <c r="R25" s="75">
        <f>Лист1!BE19</f>
        <v>-6620.489999999994</v>
      </c>
      <c r="S25" s="1"/>
      <c r="T25" s="1"/>
    </row>
    <row r="26" spans="1:20" ht="12.75" hidden="1">
      <c r="A26" s="11" t="s">
        <v>51</v>
      </c>
      <c r="B26" s="84">
        <f>Лист1!B20</f>
        <v>5357.9</v>
      </c>
      <c r="C26" s="27">
        <f t="shared" si="0"/>
        <v>46345.835</v>
      </c>
      <c r="D26" s="28">
        <f>Лист1!D20</f>
        <v>4403.425000000005</v>
      </c>
      <c r="E26" s="14">
        <f>Лист1!S20</f>
        <v>33134.29</v>
      </c>
      <c r="F26" s="30">
        <f>Лист1!T20</f>
        <v>8808.119999999999</v>
      </c>
      <c r="G26" s="29">
        <f>Лист1!AB20</f>
        <v>35102.81</v>
      </c>
      <c r="H26" s="30">
        <f>Лист1!AC20</f>
        <v>48314.355</v>
      </c>
      <c r="I26" s="87">
        <f>Лист1!AF20</f>
        <v>5018.3364200000005</v>
      </c>
      <c r="J26" s="29">
        <f>Лист1!AG20</f>
        <v>3214.74</v>
      </c>
      <c r="K26" s="14">
        <f>Лист1!AI20+Лист1!AJ20</f>
        <v>5297.125876089999</v>
      </c>
      <c r="L26" s="14">
        <f>Лист1!AH20+Лист1!AK20+Лист1!AL20+Лист1!AM20+Лист1!AN20+Лист1!AO20+Лист1!AP20+Лист1!AQ20+Лист1!AR20</f>
        <v>18222.803089838</v>
      </c>
      <c r="M26" s="31">
        <f>Лист1!AS20+Лист1!AT20+Лист1!AU20+Лист1!AZ20+Лист1!BA20</f>
        <v>15123.6116</v>
      </c>
      <c r="N26" s="31">
        <f>Лист1!AX20</f>
        <v>1469.6192</v>
      </c>
      <c r="O26" s="30">
        <f>Лист1!BB20</f>
        <v>43327.899765928</v>
      </c>
      <c r="P26" s="90">
        <f>Лист1!BC20</f>
        <v>2050.10068274</v>
      </c>
      <c r="Q26" s="75">
        <f>Лист1!BD20</f>
        <v>7954.690971332004</v>
      </c>
      <c r="R26" s="75">
        <f>Лист1!BE20</f>
        <v>1968.5199999999968</v>
      </c>
      <c r="S26" s="1"/>
      <c r="T26" s="1"/>
    </row>
    <row r="27" spans="1:20" ht="12.75" hidden="1">
      <c r="A27" s="11" t="s">
        <v>52</v>
      </c>
      <c r="B27" s="84">
        <f>Лист1!B21</f>
        <v>5357.9</v>
      </c>
      <c r="C27" s="27">
        <f t="shared" si="0"/>
        <v>46345.835</v>
      </c>
      <c r="D27" s="28">
        <f>Лист1!D21</f>
        <v>4972.285000000001</v>
      </c>
      <c r="E27" s="14">
        <f>Лист1!S21</f>
        <v>32417.31</v>
      </c>
      <c r="F27" s="30">
        <f>Лист1!T21</f>
        <v>8956.24</v>
      </c>
      <c r="G27" s="29">
        <f>Лист1!AB21</f>
        <v>29496.69</v>
      </c>
      <c r="H27" s="30">
        <f>Лист1!AC21</f>
        <v>43425.215</v>
      </c>
      <c r="I27" s="87">
        <f>Лист1!AF21</f>
        <v>5018.3364200000005</v>
      </c>
      <c r="J27" s="29">
        <f>Лист1!AG21</f>
        <v>3214.74</v>
      </c>
      <c r="K27" s="14">
        <f>Лист1!AI21+Лист1!AJ21</f>
        <v>5294.707587925</v>
      </c>
      <c r="L27" s="14">
        <f>Лист1!AH21+Лист1!AK21+Лист1!AL21+Лист1!AM21+Лист1!AN21+Лист1!AO21+Лист1!AP21+Лист1!AQ21+Лист1!AR21</f>
        <v>37377.265534498</v>
      </c>
      <c r="M27" s="31">
        <f>Лист1!AS21+Лист1!AT21+Лист1!AU21+Лист1!AZ21+Лист1!BA21</f>
        <v>4610.26</v>
      </c>
      <c r="N27" s="31">
        <f>Лист1!AX21</f>
        <v>1067.8528</v>
      </c>
      <c r="O27" s="30">
        <f>Лист1!BB21</f>
        <v>51564.825922423</v>
      </c>
      <c r="P27" s="90">
        <f>Лист1!BC21</f>
        <v>2049.169184722</v>
      </c>
      <c r="Q27" s="75">
        <f>Лист1!BD21</f>
        <v>-5170.4436871450025</v>
      </c>
      <c r="R27" s="75">
        <f>Лист1!BE21</f>
        <v>-2920.6200000000026</v>
      </c>
      <c r="S27" s="1"/>
      <c r="T27" s="1"/>
    </row>
    <row r="28" spans="1:20" ht="12.75" hidden="1">
      <c r="A28" s="11" t="s">
        <v>53</v>
      </c>
      <c r="B28" s="84">
        <f>Лист1!B22</f>
        <v>5356.5</v>
      </c>
      <c r="C28" s="27">
        <f t="shared" si="0"/>
        <v>46333.725</v>
      </c>
      <c r="D28" s="28">
        <f>Лист1!D22</f>
        <v>4360.805000000004</v>
      </c>
      <c r="E28" s="14">
        <f>Лист1!S22</f>
        <v>33006.75</v>
      </c>
      <c r="F28" s="30">
        <f>Лист1!T22</f>
        <v>8966.169999999998</v>
      </c>
      <c r="G28" s="29">
        <f>Лист1!AB22</f>
        <v>29547.559999999998</v>
      </c>
      <c r="H28" s="30">
        <f>Лист1!AC22</f>
        <v>42874.535</v>
      </c>
      <c r="I28" s="87">
        <f>Лист1!AF22</f>
        <v>5018.3364200000005</v>
      </c>
      <c r="J28" s="29">
        <f>Лист1!AG22</f>
        <v>3213.9</v>
      </c>
      <c r="K28" s="14">
        <f>Лист1!AI22+Лист1!AJ22</f>
        <v>5292.410763059999</v>
      </c>
      <c r="L28" s="14">
        <f>Лист1!AH22+Лист1!AK22+Лист1!AL22+Лист1!AM22+Лист1!AN22+Лист1!AO22+Лист1!AP22+Лист1!AQ22+Лист1!AR22</f>
        <v>18213.137511197998</v>
      </c>
      <c r="M28" s="31">
        <f>Лист1!AS22+Лист1!AT22+Лист1!AU22+Лист1!AZ22+Лист1!BA22</f>
        <v>0</v>
      </c>
      <c r="N28" s="31">
        <f>Лист1!AX22</f>
        <v>926.4416000000001</v>
      </c>
      <c r="O28" s="30">
        <f>Лист1!BB22</f>
        <v>27645.889874258</v>
      </c>
      <c r="P28" s="90">
        <f>Лист1!BC22</f>
        <v>2048.8592600938</v>
      </c>
      <c r="Q28" s="75">
        <f>Лист1!BD22</f>
        <v>18198.122285648205</v>
      </c>
      <c r="R28" s="75">
        <f>Лист1!BE22</f>
        <v>-3459.1900000000023</v>
      </c>
      <c r="S28" s="1"/>
      <c r="T28" s="1"/>
    </row>
    <row r="29" spans="1:20" ht="12.75" hidden="1">
      <c r="A29" s="11" t="s">
        <v>41</v>
      </c>
      <c r="B29" s="84">
        <f>Лист1!B23</f>
        <v>5355.7</v>
      </c>
      <c r="C29" s="27">
        <f>B29*8.65</f>
        <v>46326.805</v>
      </c>
      <c r="D29" s="28">
        <f>Лист1!D23</f>
        <v>4362.4749999999985</v>
      </c>
      <c r="E29" s="14">
        <f>Лист1!S23</f>
        <v>32865.09</v>
      </c>
      <c r="F29" s="30">
        <f>Лист1!T23</f>
        <v>9099.24</v>
      </c>
      <c r="G29" s="29">
        <f>Лист1!AB23</f>
        <v>31930.510000000002</v>
      </c>
      <c r="H29" s="30">
        <f>Лист1!AC23</f>
        <v>45392.225</v>
      </c>
      <c r="I29" s="87">
        <f>Лист1!AF23</f>
        <v>5404.1928800000005</v>
      </c>
      <c r="J29" s="29">
        <f>Лист1!AG23</f>
        <v>3213.4199999999996</v>
      </c>
      <c r="K29" s="14">
        <f>Лист1!AI23+Лист1!AJ23</f>
        <v>5352.807922</v>
      </c>
      <c r="L29" s="14">
        <f>Лист1!AH23+Лист1!AK23+Лист1!AL23+Лист1!AM23+Лист1!AN23+Лист1!AO23+Лист1!AP23+Лист1!AQ23+Лист1!AR23</f>
        <v>18366.83758</v>
      </c>
      <c r="M29" s="31">
        <f>Лист1!AS23+Лист1!AT23+Лист1!AU23+Лист1!AZ23+Лист1!BA23</f>
        <v>9499.295</v>
      </c>
      <c r="N29" s="31">
        <f>Лист1!AX23</f>
        <v>1279.3088</v>
      </c>
      <c r="O29" s="30">
        <f>Лист1!BB23</f>
        <v>37711.669301999995</v>
      </c>
      <c r="P29" s="90">
        <f>Лист1!BC23</f>
        <v>2094.5659539999997</v>
      </c>
      <c r="Q29" s="75">
        <f>Лист1!BD23</f>
        <v>10990.182624000006</v>
      </c>
      <c r="R29" s="75">
        <f>Лист1!BE23</f>
        <v>-934.5799999999945</v>
      </c>
      <c r="S29" s="1"/>
      <c r="T29" s="1"/>
    </row>
    <row r="30" spans="1:20" ht="12.75" hidden="1">
      <c r="A30" s="11" t="s">
        <v>42</v>
      </c>
      <c r="B30" s="84">
        <f>Лист1!B24</f>
        <v>5355.7</v>
      </c>
      <c r="C30" s="27">
        <f t="shared" si="0"/>
        <v>46326.805</v>
      </c>
      <c r="D30" s="28">
        <f>Лист1!D24</f>
        <v>4396.1749999999965</v>
      </c>
      <c r="E30" s="14">
        <f>Лист1!S24</f>
        <v>32804.26</v>
      </c>
      <c r="F30" s="30">
        <f>Лист1!T24</f>
        <v>9126.369999999999</v>
      </c>
      <c r="G30" s="29">
        <f>Лист1!AB24</f>
        <v>30674.789999999997</v>
      </c>
      <c r="H30" s="30">
        <f>Лист1!AC24</f>
        <v>44197.33499999999</v>
      </c>
      <c r="I30" s="87">
        <f>Лист1!AF24</f>
        <v>5404.1928800000005</v>
      </c>
      <c r="J30" s="29">
        <f>Лист1!AG24</f>
        <v>3213.4199999999996</v>
      </c>
      <c r="K30" s="14">
        <f>Лист1!AI24+Лист1!AJ24</f>
        <v>5371.767099999999</v>
      </c>
      <c r="L30" s="14">
        <f>Лист1!AH24+Лист1!AK24+Лист1!AL24+Лист1!AM24+Лист1!AN24+Лист1!AO24+Лист1!AP24+Лист1!AQ24+Лист1!AR24</f>
        <v>18387.189239999996</v>
      </c>
      <c r="M30" s="31">
        <f>Лист1!AS24+Лист1!AT24+Лист1!AU24+Лист1!AZ24+Лист1!BA24</f>
        <v>7295.9400000000005</v>
      </c>
      <c r="N30" s="31">
        <f>Лист1!AX24</f>
        <v>1371.8208000000002</v>
      </c>
      <c r="O30" s="30">
        <f>Лист1!BB24</f>
        <v>35640.13714</v>
      </c>
      <c r="P30" s="90">
        <f>Лист1!BC24</f>
        <v>2223.29052</v>
      </c>
      <c r="Q30" s="75">
        <f>Лист1!BD24</f>
        <v>11738.100219999995</v>
      </c>
      <c r="R30" s="75">
        <f>Лист1!BE24</f>
        <v>-2129.470000000005</v>
      </c>
      <c r="S30" s="1"/>
      <c r="T30" s="1"/>
    </row>
    <row r="31" spans="1:20" ht="13.5" hidden="1" thickBot="1">
      <c r="A31" s="32" t="s">
        <v>43</v>
      </c>
      <c r="B31" s="84">
        <f>Лист1!B25</f>
        <v>5356</v>
      </c>
      <c r="C31" s="33">
        <f t="shared" si="0"/>
        <v>46329.4</v>
      </c>
      <c r="D31" s="28">
        <f>Лист1!D25</f>
        <v>-383.7100000000032</v>
      </c>
      <c r="E31" s="14">
        <f>Лист1!S25</f>
        <v>37585.57</v>
      </c>
      <c r="F31" s="30">
        <f>Лист1!T25</f>
        <v>9127.54</v>
      </c>
      <c r="G31" s="29">
        <f>Лист1!AB25</f>
        <v>42130.719999999994</v>
      </c>
      <c r="H31" s="30">
        <f>Лист1!AC25</f>
        <v>50874.54999999999</v>
      </c>
      <c r="I31" s="87">
        <f>Лист1!AF25</f>
        <v>5404.1928800000005</v>
      </c>
      <c r="J31" s="29">
        <f>Лист1!AG25</f>
        <v>3213.6</v>
      </c>
      <c r="K31" s="14">
        <f>Лист1!AI25+Лист1!AJ25</f>
        <v>5372.067999999999</v>
      </c>
      <c r="L31" s="14">
        <f>Лист1!AH25+Лист1!AK25+Лист1!AL25+Лист1!AM25+Лист1!AN25+Лист1!AO25+Лист1!AP25+Лист1!AQ25+Лист1!AR25</f>
        <v>18388.2192</v>
      </c>
      <c r="M31" s="31">
        <f>Лист1!AS25+Лист1!AT25+Лист1!AU25+Лист1!AZ25+Лист1!BA25</f>
        <v>3955.36</v>
      </c>
      <c r="N31" s="31">
        <f>Лист1!AX25</f>
        <v>1699.5776</v>
      </c>
      <c r="O31" s="30">
        <f>Лист1!BB25</f>
        <v>32628.824799999995</v>
      </c>
      <c r="P31" s="90">
        <f>Лист1!BC25</f>
        <v>2223.29052</v>
      </c>
      <c r="Q31" s="75">
        <f>Лист1!BD25</f>
        <v>21426.627559999997</v>
      </c>
      <c r="R31" s="75">
        <f>Лист1!BE25</f>
        <v>4545.149999999994</v>
      </c>
      <c r="S31" s="1"/>
      <c r="T31" s="1"/>
    </row>
    <row r="32" spans="1:20" s="20" customFormat="1" ht="13.5" hidden="1" thickBot="1">
      <c r="A32" s="34" t="s">
        <v>5</v>
      </c>
      <c r="B32" s="35"/>
      <c r="C32" s="36">
        <f aca="true" t="shared" si="3" ref="C32:R32">SUM(C20:C31)</f>
        <v>556083.415</v>
      </c>
      <c r="D32" s="68">
        <f t="shared" si="3"/>
        <v>54317.29250000001</v>
      </c>
      <c r="E32" s="36">
        <f t="shared" si="3"/>
        <v>384458.79</v>
      </c>
      <c r="F32" s="69">
        <f t="shared" si="3"/>
        <v>103759.39000000001</v>
      </c>
      <c r="G32" s="68">
        <f t="shared" si="3"/>
        <v>356887.86999999994</v>
      </c>
      <c r="H32" s="69">
        <f t="shared" si="3"/>
        <v>514964.55249999993</v>
      </c>
      <c r="I32" s="69">
        <f t="shared" si="3"/>
        <v>56583.63222000001</v>
      </c>
      <c r="J32" s="68">
        <f t="shared" si="3"/>
        <v>37286.363999999994</v>
      </c>
      <c r="K32" s="36">
        <f t="shared" si="3"/>
        <v>61504.96135950499</v>
      </c>
      <c r="L32" s="36">
        <f t="shared" si="3"/>
        <v>228993.485785078</v>
      </c>
      <c r="M32" s="36">
        <f>SUM(M20:M31)</f>
        <v>98544.15819999999</v>
      </c>
      <c r="N32" s="36">
        <f t="shared" si="3"/>
        <v>14819.100400000001</v>
      </c>
      <c r="O32" s="69">
        <f t="shared" si="3"/>
        <v>441148.0697445829</v>
      </c>
      <c r="P32" s="69">
        <f t="shared" si="3"/>
        <v>22315.740351779794</v>
      </c>
      <c r="Q32" s="76">
        <f>SUM(Q20:Q31)</f>
        <v>108084.37462363724</v>
      </c>
      <c r="R32" s="76">
        <f t="shared" si="3"/>
        <v>-25876.950000000008</v>
      </c>
      <c r="S32" s="72"/>
      <c r="T32" s="72"/>
    </row>
    <row r="33" spans="1:20" ht="13.5" thickBot="1">
      <c r="A33" s="321" t="s">
        <v>94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695120.92</v>
      </c>
      <c r="D34" s="37">
        <f aca="true" t="shared" si="4" ref="D34:R34">D18+D32</f>
        <v>87784.08341185</v>
      </c>
      <c r="E34" s="38">
        <f t="shared" si="4"/>
        <v>474079.81999999995</v>
      </c>
      <c r="F34" s="39">
        <f t="shared" si="4"/>
        <v>127515.89000000001</v>
      </c>
      <c r="G34" s="37">
        <f t="shared" si="4"/>
        <v>409080.38999999996</v>
      </c>
      <c r="H34" s="39">
        <f t="shared" si="4"/>
        <v>624380.36341185</v>
      </c>
      <c r="I34" s="39">
        <f t="shared" si="4"/>
        <v>56583.63222000001</v>
      </c>
      <c r="J34" s="37">
        <f t="shared" si="4"/>
        <v>46930.583999999995</v>
      </c>
      <c r="K34" s="38">
        <f t="shared" si="4"/>
        <v>77645.32003974498</v>
      </c>
      <c r="L34" s="38">
        <f t="shared" si="4"/>
        <v>285580.64487992495</v>
      </c>
      <c r="M34" s="38">
        <f t="shared" si="4"/>
        <v>134430.31819999998</v>
      </c>
      <c r="N34" s="38">
        <f t="shared" si="4"/>
        <v>14819.100400000001</v>
      </c>
      <c r="O34" s="79">
        <f t="shared" si="4"/>
        <v>559405.9675196699</v>
      </c>
      <c r="P34" s="79">
        <f>P18+P32</f>
        <v>22315.740351779794</v>
      </c>
      <c r="Q34" s="78">
        <f>Q18+Q32</f>
        <v>99242.28776040024</v>
      </c>
      <c r="R34" s="78">
        <f t="shared" si="4"/>
        <v>-63305.46000000001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5356</v>
      </c>
      <c r="C36" s="27">
        <f aca="true" t="shared" si="5" ref="C36:C47">B36*8.65</f>
        <v>46329.4</v>
      </c>
      <c r="D36" s="28">
        <f>Лист1!D30</f>
        <v>4374.910000000007</v>
      </c>
      <c r="E36" s="14">
        <f>Лист1!S30</f>
        <v>32826.92</v>
      </c>
      <c r="F36" s="30">
        <f>Лист1!T30</f>
        <v>9127.57</v>
      </c>
      <c r="G36" s="29">
        <f>Лист1!AB30</f>
        <v>22206.01</v>
      </c>
      <c r="H36" s="30">
        <f>Лист1!AC30</f>
        <v>35708.490000000005</v>
      </c>
      <c r="I36" s="87">
        <f>Лист1!AF30</f>
        <v>5404.202880000001</v>
      </c>
      <c r="J36" s="29">
        <f>Лист1!AG30</f>
        <v>3213.6</v>
      </c>
      <c r="K36" s="14">
        <f>Лист1!AI30+Лист1!AJ30</f>
        <v>5356</v>
      </c>
      <c r="L36" s="14">
        <f>Лист1!AH30+Лист1!AK30+Лист1!AL30+Лист1!AM30+Лист1!AN30+Лист1!AO30+Лист1!AP30+Лист1!AQ30+Лист1!AR30</f>
        <v>18371.08</v>
      </c>
      <c r="M36" s="31">
        <f>Лист1!AS30+Лист1!AT30+Лист1!AU30+Лист1!AZ30+Лист1!BA30</f>
        <v>25649</v>
      </c>
      <c r="N36" s="31">
        <f>Лист1!AX30</f>
        <v>1608.6</v>
      </c>
      <c r="O36" s="30">
        <f>Лист1!BB30</f>
        <v>54198.28</v>
      </c>
      <c r="P36" s="90">
        <f>Лист1!BC30</f>
        <v>2220.6580000000004</v>
      </c>
      <c r="Q36" s="75">
        <f>Лист1!BD30</f>
        <v>-15306.245119999996</v>
      </c>
      <c r="R36" s="75">
        <f>Лист1!BE30</f>
        <v>-10620.91</v>
      </c>
      <c r="S36" s="1"/>
      <c r="T36" s="1"/>
    </row>
    <row r="37" spans="1:20" ht="12.75">
      <c r="A37" s="11" t="s">
        <v>46</v>
      </c>
      <c r="B37" s="84">
        <f>Лист1!B31</f>
        <v>5356</v>
      </c>
      <c r="C37" s="27">
        <f t="shared" si="5"/>
        <v>46329.4</v>
      </c>
      <c r="D37" s="28">
        <f>Лист1!D31</f>
        <v>4420.879999999992</v>
      </c>
      <c r="E37" s="14">
        <f>Лист1!S31</f>
        <v>32790.72</v>
      </c>
      <c r="F37" s="30">
        <f>Лист1!T31</f>
        <v>9117.8</v>
      </c>
      <c r="G37" s="29">
        <f>Лист1!AB31</f>
        <v>33163.66</v>
      </c>
      <c r="H37" s="30">
        <f>Лист1!AC31</f>
        <v>46702.34</v>
      </c>
      <c r="I37" s="87">
        <f>Лист1!AF31</f>
        <v>5404.202880000001</v>
      </c>
      <c r="J37" s="29">
        <f>Лист1!AG31</f>
        <v>3213.6</v>
      </c>
      <c r="K37" s="14">
        <f>Лист1!AI31+Лист1!AJ31</f>
        <v>5356</v>
      </c>
      <c r="L37" s="14">
        <f>Лист1!AH31+Лист1!AK31+Лист1!AL31+Лист1!AM31+Лист1!AN31+Лист1!AO31+Лист1!AP31+Лист1!AQ31+Лист1!AR31</f>
        <v>18371.08</v>
      </c>
      <c r="M37" s="31">
        <f>Лист1!AS31+Лист1!AT31+Лист1!AU31+Лист1!AZ31+Лист1!BA31</f>
        <v>5173</v>
      </c>
      <c r="N37" s="31">
        <f>Лист1!AX31</f>
        <v>1167.6</v>
      </c>
      <c r="O37" s="30">
        <f>Лист1!BB31</f>
        <v>33281.28</v>
      </c>
      <c r="P37" s="90">
        <f>Лист1!BC31</f>
        <v>2220.6580000000004</v>
      </c>
      <c r="Q37" s="75">
        <f>Лист1!BD31</f>
        <v>16604.604879999995</v>
      </c>
      <c r="R37" s="75">
        <f>Лист1!BE31</f>
        <v>372.9400000000023</v>
      </c>
      <c r="S37" s="1"/>
      <c r="T37" s="1"/>
    </row>
    <row r="38" spans="1:20" ht="12.75">
      <c r="A38" s="11" t="s">
        <v>47</v>
      </c>
      <c r="B38" s="84">
        <f>Лист1!B32</f>
        <v>5356</v>
      </c>
      <c r="C38" s="27">
        <f t="shared" si="5"/>
        <v>46329.4</v>
      </c>
      <c r="D38" s="28">
        <f>Лист1!D32</f>
        <v>4410.679999999997</v>
      </c>
      <c r="E38" s="14">
        <f>Лист1!S32</f>
        <v>32818.25</v>
      </c>
      <c r="F38" s="30">
        <f>Лист1!T32</f>
        <v>9100.470000000001</v>
      </c>
      <c r="G38" s="29">
        <f>Лист1!AB32</f>
        <v>32291.379999999997</v>
      </c>
      <c r="H38" s="30">
        <f>Лист1!AC32</f>
        <v>45802.53</v>
      </c>
      <c r="I38" s="87">
        <f>Лист1!AF32</f>
        <v>5404.202880000001</v>
      </c>
      <c r="J38" s="29">
        <f>Лист1!AG32</f>
        <v>3213.6</v>
      </c>
      <c r="K38" s="14">
        <f>Лист1!AI32+Лист1!AJ32</f>
        <v>5356</v>
      </c>
      <c r="L38" s="14">
        <f>Лист1!AH32+Лист1!AK32+Лист1!AL32+Лист1!AM32+Лист1!AN32+Лист1!AO32+Лист1!AP32+Лист1!AQ32+Лист1!AR32</f>
        <v>28701.08</v>
      </c>
      <c r="M38" s="31">
        <f>Лист1!AS32+Лист1!AT32+Лист1!AU32+Лист1!AZ32+Лист1!BA32</f>
        <v>735</v>
      </c>
      <c r="N38" s="31">
        <f>Лист1!AX32</f>
        <v>905.8</v>
      </c>
      <c r="O38" s="30">
        <f>Лист1!BB32</f>
        <v>38911.48</v>
      </c>
      <c r="P38" s="90">
        <f>Лист1!BC32</f>
        <v>2220.6580000000004</v>
      </c>
      <c r="Q38" s="75">
        <f>Лист1!BD32</f>
        <v>10074.594879999993</v>
      </c>
      <c r="R38" s="75">
        <f>Лист1!BE32</f>
        <v>-526.8700000000026</v>
      </c>
      <c r="S38" s="1"/>
      <c r="T38" s="1"/>
    </row>
    <row r="39" spans="1:20" ht="12.75">
      <c r="A39" s="11" t="s">
        <v>48</v>
      </c>
      <c r="B39" s="84">
        <f>Лист1!B33</f>
        <v>5356</v>
      </c>
      <c r="C39" s="27">
        <f t="shared" si="5"/>
        <v>46329.4</v>
      </c>
      <c r="D39" s="28">
        <f>Лист1!D33</f>
        <v>4399.559999999997</v>
      </c>
      <c r="E39" s="14">
        <f>Лист1!S33</f>
        <v>33244.729999999996</v>
      </c>
      <c r="F39" s="30">
        <f>Лист1!T33</f>
        <v>8685.11</v>
      </c>
      <c r="G39" s="29">
        <f>Лист1!AB33</f>
        <v>27168.82</v>
      </c>
      <c r="H39" s="30">
        <f>Лист1!AC33</f>
        <v>40253.49</v>
      </c>
      <c r="I39" s="87">
        <f>Лист1!AF33</f>
        <v>5404.202880000001</v>
      </c>
      <c r="J39" s="29">
        <f>Лист1!AG33</f>
        <v>3213.6</v>
      </c>
      <c r="K39" s="14">
        <f>Лист1!AI33+Лист1!AJ33</f>
        <v>5356</v>
      </c>
      <c r="L39" s="14">
        <f>Лист1!AH33+Лист1!AK33+Лист1!AL33+Лист1!AM33+Лист1!AN33+Лист1!AO33+Лист1!AP33+Лист1!AQ33+Лист1!AR33</f>
        <v>18371.08</v>
      </c>
      <c r="M39" s="31">
        <f>Лист1!AS33+Лист1!AT33+Лист1!AU33+Лист1!AZ33+Лист1!BA33</f>
        <v>11803</v>
      </c>
      <c r="N39" s="31">
        <f>Лист1!AX33</f>
        <v>890.4</v>
      </c>
      <c r="O39" s="30">
        <f>Лист1!BB33</f>
        <v>39634.08</v>
      </c>
      <c r="P39" s="90">
        <f>Лист1!BC33</f>
        <v>2220.6580000000004</v>
      </c>
      <c r="Q39" s="75">
        <f>Лист1!BD33</f>
        <v>3802.9548800000002</v>
      </c>
      <c r="R39" s="75">
        <f>Лист1!BE33</f>
        <v>-6075.909999999996</v>
      </c>
      <c r="S39" s="1"/>
      <c r="T39" s="1"/>
    </row>
    <row r="40" spans="1:20" ht="12.75">
      <c r="A40" s="11" t="s">
        <v>49</v>
      </c>
      <c r="B40" s="84">
        <f>Лист1!B34</f>
        <v>5355.65</v>
      </c>
      <c r="C40" s="27">
        <f t="shared" si="5"/>
        <v>46326.3725</v>
      </c>
      <c r="D40" s="28">
        <f>Лист1!D34</f>
        <v>4428.452499999987</v>
      </c>
      <c r="E40" s="14">
        <f>Лист1!S34</f>
        <v>32960.14</v>
      </c>
      <c r="F40" s="30">
        <f>Лист1!T34</f>
        <v>8937.78</v>
      </c>
      <c r="G40" s="29">
        <f>Лист1!AB34</f>
        <v>38600.450000000004</v>
      </c>
      <c r="H40" s="30">
        <f>Лист1!AC34</f>
        <v>51966.682499999995</v>
      </c>
      <c r="I40" s="87">
        <f>Лист1!AF34</f>
        <v>5404.202880000001</v>
      </c>
      <c r="J40" s="29">
        <f>Лист1!AG34</f>
        <v>3213.39</v>
      </c>
      <c r="K40" s="14">
        <f>Лист1!AI34+Лист1!AJ34</f>
        <v>5355.65</v>
      </c>
      <c r="L40" s="14">
        <f>Лист1!AH34+Лист1!AK34+Лист1!AL34+Лист1!AM34+Лист1!AN34+Лист1!AO34+Лист1!AP34+Лист1!AQ34+Лист1!AR34</f>
        <v>18369.8795</v>
      </c>
      <c r="M40" s="31">
        <f>Лист1!AS34+Лист1!AT34+Лист1!AU34+Лист1!AZ34+Лист1!BA34</f>
        <v>0</v>
      </c>
      <c r="N40" s="31">
        <f>Лист1!AX34</f>
        <v>820.4</v>
      </c>
      <c r="O40" s="30">
        <f>Лист1!BB34</f>
        <v>27759.319499999998</v>
      </c>
      <c r="P40" s="90">
        <f>Лист1!BC34</f>
        <v>2220.6580000000004</v>
      </c>
      <c r="Q40" s="75">
        <f>Лист1!BD34</f>
        <v>27390.907879999995</v>
      </c>
      <c r="R40" s="75">
        <f>Лист1!BE34</f>
        <v>5640.310000000005</v>
      </c>
      <c r="S40" s="1"/>
      <c r="T40" s="1"/>
    </row>
    <row r="41" spans="1:20" ht="12.75">
      <c r="A41" s="11" t="s">
        <v>50</v>
      </c>
      <c r="B41" s="84">
        <f>Лист1!B35</f>
        <v>5355.65</v>
      </c>
      <c r="C41" s="27">
        <f t="shared" si="5"/>
        <v>46326.3725</v>
      </c>
      <c r="D41" s="28">
        <f>Лист1!D35</f>
        <v>4427.752499999999</v>
      </c>
      <c r="E41" s="14">
        <f>Лист1!S35</f>
        <v>33041.98</v>
      </c>
      <c r="F41" s="30">
        <f>Лист1!T35</f>
        <v>8856.64</v>
      </c>
      <c r="G41" s="29">
        <f>Лист1!AB35</f>
        <v>32571.760000000002</v>
      </c>
      <c r="H41" s="30">
        <f>Лист1!AC35</f>
        <v>45856.1525</v>
      </c>
      <c r="I41" s="87">
        <f>Лист1!AF35</f>
        <v>5241.7953800000005</v>
      </c>
      <c r="J41" s="29">
        <f>Лист1!AG35</f>
        <v>3213.39</v>
      </c>
      <c r="K41" s="14">
        <f>Лист1!AI35+Лист1!AJ35</f>
        <v>5355.65</v>
      </c>
      <c r="L41" s="14">
        <f>Лист1!AH35+Лист1!AK35+Лист1!AL35+Лист1!AM35+Лист1!AN35+Лист1!AO35+Лист1!AP35+Лист1!AQ35+Лист1!AR35</f>
        <v>18469.8795</v>
      </c>
      <c r="M41" s="31">
        <f>Лист1!AS35+Лист1!AT35+Лист1!AU35+Лист1!AZ35+Лист1!BA35</f>
        <v>12834.27</v>
      </c>
      <c r="N41" s="31">
        <f>Лист1!AX35</f>
        <v>770</v>
      </c>
      <c r="O41" s="30">
        <f>Лист1!BB35</f>
        <v>40643.18949999999</v>
      </c>
      <c r="P41" s="90">
        <f>Лист1!BC35</f>
        <v>2155.283</v>
      </c>
      <c r="Q41" s="75">
        <f>Лист1!BD35</f>
        <v>8299.475380000007</v>
      </c>
      <c r="R41" s="75">
        <f>Лист1!BE35</f>
        <v>-470.22000000000116</v>
      </c>
      <c r="S41" s="1"/>
      <c r="T41" s="1"/>
    </row>
    <row r="42" spans="1:20" ht="12.75">
      <c r="A42" s="11" t="s">
        <v>51</v>
      </c>
      <c r="B42" s="84">
        <f>Лист1!B36</f>
        <v>5355.65</v>
      </c>
      <c r="C42" s="27">
        <f t="shared" si="5"/>
        <v>46326.3725</v>
      </c>
      <c r="D42" s="28">
        <f>Лист1!D36</f>
        <v>4425.7125000000015</v>
      </c>
      <c r="E42" s="14">
        <f>Лист1!S36</f>
        <v>41869.899999999994</v>
      </c>
      <c r="F42" s="30">
        <f>Лист1!T36</f>
        <v>30.76</v>
      </c>
      <c r="G42" s="29">
        <f>Лист1!AB36</f>
        <v>29723.35</v>
      </c>
      <c r="H42" s="30">
        <f>Лист1!AC36</f>
        <v>34179.8225</v>
      </c>
      <c r="I42" s="87">
        <f>Лист1!AF36</f>
        <v>5241.7953800000005</v>
      </c>
      <c r="J42" s="29">
        <f>Лист1!AG36</f>
        <v>3213.39</v>
      </c>
      <c r="K42" s="14">
        <f>Лист1!AI36+Лист1!AJ36</f>
        <v>5355.65</v>
      </c>
      <c r="L42" s="14">
        <f>Лист1!AH36+Лист1!AK36+Лист1!AL36+Лист1!AM36+Лист1!AN36+Лист1!AO36+Лист1!AP36+Лист1!AQ36+Лист1!AR36</f>
        <v>18369.8795</v>
      </c>
      <c r="M42" s="31">
        <f>Лист1!AS36+Лист1!AT36+Лист1!AU36+Лист1!AZ36+Лист1!BA36</f>
        <v>0</v>
      </c>
      <c r="N42" s="31">
        <f>Лист1!AX36</f>
        <v>1089.1999999999998</v>
      </c>
      <c r="O42" s="30">
        <f>Лист1!BB36</f>
        <v>28028.119499999997</v>
      </c>
      <c r="P42" s="90">
        <f>Лист1!BC36</f>
        <v>2155.283</v>
      </c>
      <c r="Q42" s="75">
        <f>Лист1!BD36</f>
        <v>9238.215380000009</v>
      </c>
      <c r="R42" s="75">
        <f>Лист1!BE36</f>
        <v>-12146.549999999996</v>
      </c>
      <c r="S42" s="1"/>
      <c r="T42" s="1"/>
    </row>
    <row r="43" spans="1:20" ht="12.75">
      <c r="A43" s="11" t="s">
        <v>52</v>
      </c>
      <c r="B43" s="84">
        <f>Лист1!B37</f>
        <v>5355.65</v>
      </c>
      <c r="C43" s="27">
        <f t="shared" si="5"/>
        <v>46326.3725</v>
      </c>
      <c r="D43" s="28">
        <f>Лист1!D37</f>
        <v>4407.292499999992</v>
      </c>
      <c r="E43" s="14">
        <f>Лист1!S37</f>
        <v>41888.310000000005</v>
      </c>
      <c r="F43" s="30">
        <f>Лист1!T37</f>
        <v>30.77</v>
      </c>
      <c r="G43" s="29">
        <f>Лист1!AB37</f>
        <v>44416.11</v>
      </c>
      <c r="H43" s="30">
        <f>Лист1!AC37</f>
        <v>48854.17249999999</v>
      </c>
      <c r="I43" s="87">
        <f>Лист1!AF37</f>
        <v>5241.7953800000005</v>
      </c>
      <c r="J43" s="29">
        <f>Лист1!AG37</f>
        <v>3213.39</v>
      </c>
      <c r="K43" s="14">
        <f>Лист1!AI37+Лист1!AJ37</f>
        <v>5355.65</v>
      </c>
      <c r="L43" s="14">
        <f>Лист1!AH37+Лист1!AK37+Лист1!AL37+Лист1!AM37+Лист1!AN37+Лист1!AO37+Лист1!AP37+Лист1!AQ37+Лист1!AR37</f>
        <v>25953.639499999997</v>
      </c>
      <c r="M43" s="31">
        <f>Лист1!AS37+Лист1!AT37+Лист1!AU37+Лист1!AZ37+Лист1!BA37</f>
        <v>13224.8</v>
      </c>
      <c r="N43" s="31">
        <f>Лист1!AX37</f>
        <v>813.4</v>
      </c>
      <c r="O43" s="30">
        <f>Лист1!BB37</f>
        <v>48560.8795</v>
      </c>
      <c r="P43" s="90">
        <f>Лист1!BC37</f>
        <v>2155.283</v>
      </c>
      <c r="Q43" s="75">
        <f>Лист1!BD37</f>
        <v>3379.805379999994</v>
      </c>
      <c r="R43" s="75">
        <f>Лист1!BE37</f>
        <v>2527.7999999999956</v>
      </c>
      <c r="S43" s="1"/>
      <c r="T43" s="1"/>
    </row>
    <row r="44" spans="1:20" ht="12.75">
      <c r="A44" s="11" t="s">
        <v>53</v>
      </c>
      <c r="B44" s="84">
        <f>Лист1!B38</f>
        <v>5355.65</v>
      </c>
      <c r="C44" s="27">
        <f t="shared" si="5"/>
        <v>46326.3725</v>
      </c>
      <c r="D44" s="28">
        <f>Лист1!D38</f>
        <v>4367.532499999994</v>
      </c>
      <c r="E44" s="14">
        <f>Лист1!S38</f>
        <v>41928.07</v>
      </c>
      <c r="F44" s="30">
        <f>Лист1!T38</f>
        <v>30.77</v>
      </c>
      <c r="G44" s="29">
        <f>Лист1!AB38</f>
        <v>43159.32</v>
      </c>
      <c r="H44" s="30">
        <f>Лист1!AC38</f>
        <v>47557.6225</v>
      </c>
      <c r="I44" s="87">
        <f>Лист1!AF38</f>
        <v>5241.7953800000005</v>
      </c>
      <c r="J44" s="29">
        <f>Лист1!AG38</f>
        <v>3213.39</v>
      </c>
      <c r="K44" s="14">
        <f>Лист1!AI38+Лист1!AJ38</f>
        <v>5355.65</v>
      </c>
      <c r="L44" s="14">
        <f>Лист1!AH38+Лист1!AK38+Лист1!AL38+Лист1!AM38+Лист1!AN38+Лист1!AO38+Лист1!AP38+Лист1!AQ38+Лист1!AR38</f>
        <v>18369.8795</v>
      </c>
      <c r="M44" s="31">
        <f>Лист1!AS38+Лист1!AT38+Лист1!AU38+Лист1!AZ38+Лист1!BA38</f>
        <v>13442</v>
      </c>
      <c r="N44" s="31">
        <f>Лист1!AX38</f>
        <v>1093.3999999999999</v>
      </c>
      <c r="O44" s="30">
        <f>Лист1!BB38</f>
        <v>41474.3195</v>
      </c>
      <c r="P44" s="90">
        <f>Лист1!BC38</f>
        <v>2155.283</v>
      </c>
      <c r="Q44" s="75">
        <f>Лист1!BD38</f>
        <v>9169.815380000004</v>
      </c>
      <c r="R44" s="75">
        <f>Лист1!BE38</f>
        <v>1231.25</v>
      </c>
      <c r="S44" s="1"/>
      <c r="T44" s="1"/>
    </row>
    <row r="45" spans="1:20" ht="12.75">
      <c r="A45" s="11" t="s">
        <v>41</v>
      </c>
      <c r="B45" s="84">
        <f>Лист1!B39</f>
        <v>5355.65</v>
      </c>
      <c r="C45" s="27">
        <f>B45*8.65</f>
        <v>46326.3725</v>
      </c>
      <c r="D45" s="28">
        <f>Лист1!D39</f>
        <v>4364.722499999998</v>
      </c>
      <c r="E45" s="14">
        <f>Лист1!S39</f>
        <v>41930.880000000005</v>
      </c>
      <c r="F45" s="30">
        <f>Лист1!T39</f>
        <v>30.77</v>
      </c>
      <c r="G45" s="29">
        <f>Лист1!AB39</f>
        <v>39723.37</v>
      </c>
      <c r="H45" s="30">
        <f>Лист1!AC39</f>
        <v>44118.8625</v>
      </c>
      <c r="I45" s="87">
        <f>Лист1!AF39</f>
        <v>5391.7953800000005</v>
      </c>
      <c r="J45" s="29">
        <f>Лист1!AG39</f>
        <v>3213.39</v>
      </c>
      <c r="K45" s="14">
        <f>Лист1!AI39+Лист1!AJ39</f>
        <v>5355.65</v>
      </c>
      <c r="L45" s="14">
        <f>Лист1!AH39+Лист1!AK39+Лист1!AL39+Лист1!AM39+Лист1!AN39+Лист1!AO39+Лист1!AP39+Лист1!AQ39+Лист1!AR39</f>
        <v>18369.8795</v>
      </c>
      <c r="M45" s="31">
        <f>Лист1!AS39+Лист1!AT39+Лист1!AU39+Лист1!AZ39+Лист1!BA39</f>
        <v>18155.059999999998</v>
      </c>
      <c r="N45" s="31">
        <f>Лист1!AX39</f>
        <v>909.9999999999999</v>
      </c>
      <c r="O45" s="30">
        <f>Лист1!BB39</f>
        <v>46003.979499999994</v>
      </c>
      <c r="P45" s="90">
        <f>Лист1!BC39</f>
        <v>2192.783</v>
      </c>
      <c r="Q45" s="75">
        <f>Лист1!BD39</f>
        <v>1313.8953800000122</v>
      </c>
      <c r="R45" s="75">
        <f>Лист1!BE39</f>
        <v>-2207.510000000002</v>
      </c>
      <c r="S45" s="1"/>
      <c r="T45" s="1"/>
    </row>
    <row r="46" spans="1:20" ht="12.75">
      <c r="A46" s="11" t="s">
        <v>42</v>
      </c>
      <c r="B46" s="84">
        <f>Лист1!B40</f>
        <v>5355.65</v>
      </c>
      <c r="C46" s="27">
        <f t="shared" si="5"/>
        <v>46326.3725</v>
      </c>
      <c r="D46" s="28">
        <f>Лист1!D40</f>
        <v>4360.26249999999</v>
      </c>
      <c r="E46" s="14">
        <f>Лист1!S40</f>
        <v>41935.34</v>
      </c>
      <c r="F46" s="30">
        <f>Лист1!T40</f>
        <v>30.77</v>
      </c>
      <c r="G46" s="29">
        <f>Лист1!AB40</f>
        <v>40487.58</v>
      </c>
      <c r="H46" s="30">
        <f>Лист1!AC40</f>
        <v>44878.61249999999</v>
      </c>
      <c r="I46" s="87">
        <f>Лист1!AF40</f>
        <v>5391.7953800000005</v>
      </c>
      <c r="J46" s="29">
        <f>Лист1!AG40</f>
        <v>3213.39</v>
      </c>
      <c r="K46" s="14">
        <f>Лист1!AI40+Лист1!AJ40</f>
        <v>5355.65</v>
      </c>
      <c r="L46" s="14">
        <f>Лист1!AH40+Лист1!AK40+Лист1!AL40+Лист1!AM40+Лист1!AN40+Лист1!AO40+Лист1!AP40+Лист1!AQ40+Лист1!AR40</f>
        <v>18369.8795</v>
      </c>
      <c r="M46" s="31">
        <f>Лист1!AS40+Лист1!AT40+Лист1!AU40+Лист1!AZ40+Лист1!BA40</f>
        <v>11851</v>
      </c>
      <c r="N46" s="31">
        <f>Лист1!AX40</f>
        <v>1220.8</v>
      </c>
      <c r="O46" s="30">
        <f>Лист1!BB40</f>
        <v>40010.7195</v>
      </c>
      <c r="P46" s="90">
        <f>Лист1!BC40</f>
        <v>2192.783</v>
      </c>
      <c r="Q46" s="75">
        <f>Лист1!BD40</f>
        <v>8066.905379999993</v>
      </c>
      <c r="R46" s="75">
        <f>Лист1!BE40</f>
        <v>-1447.7599999999948</v>
      </c>
      <c r="S46" s="1"/>
      <c r="T46" s="1"/>
    </row>
    <row r="47" spans="1:20" ht="13.5" thickBot="1">
      <c r="A47" s="32" t="s">
        <v>43</v>
      </c>
      <c r="B47" s="84">
        <f>Лист1!B41</f>
        <v>5355.65</v>
      </c>
      <c r="C47" s="33">
        <f t="shared" si="5"/>
        <v>46326.3725</v>
      </c>
      <c r="D47" s="28">
        <f>Лист1!D41</f>
        <v>4360.26249999999</v>
      </c>
      <c r="E47" s="14">
        <f>Лист1!S41</f>
        <v>41935.34</v>
      </c>
      <c r="F47" s="30">
        <f>Лист1!T41</f>
        <v>30.77</v>
      </c>
      <c r="G47" s="29">
        <f>Лист1!AB41</f>
        <v>43806.149999999994</v>
      </c>
      <c r="H47" s="30">
        <f>Лист1!AC41</f>
        <v>48197.18249999998</v>
      </c>
      <c r="I47" s="87">
        <f>Лист1!AF41</f>
        <v>5878.997880000001</v>
      </c>
      <c r="J47" s="29">
        <f>Лист1!AG41</f>
        <v>3213.39</v>
      </c>
      <c r="K47" s="14">
        <f>Лист1!AI41+Лист1!AJ41</f>
        <v>5355.65</v>
      </c>
      <c r="L47" s="14">
        <f>Лист1!AH41+Лист1!AK41+Лист1!AL41+Лист1!AM41+Лист1!AN41+Лист1!AO41+Лист1!AP41+Лист1!AQ41+Лист1!AR41</f>
        <v>18369.8795</v>
      </c>
      <c r="M47" s="31">
        <f>Лист1!AS41+Лист1!AT41+Лист1!AU41+Лист1!AZ41+Лист1!BA41</f>
        <v>91037.3334</v>
      </c>
      <c r="N47" s="31">
        <f>Лист1!AX41</f>
        <v>1758.3999999999999</v>
      </c>
      <c r="O47" s="30">
        <f>Лист1!BB41</f>
        <v>119734.6529</v>
      </c>
      <c r="P47" s="90">
        <f>Лист1!BC41</f>
        <v>2230.283</v>
      </c>
      <c r="Q47" s="75">
        <f>Лист1!BD41</f>
        <v>-67888.75552</v>
      </c>
      <c r="R47" s="75">
        <f>Лист1!BE41</f>
        <v>1870.8099999999977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555928.58</v>
      </c>
      <c r="D48" s="68">
        <f t="shared" si="6"/>
        <v>52748.01999999994</v>
      </c>
      <c r="E48" s="36">
        <f t="shared" si="6"/>
        <v>449170.57999999996</v>
      </c>
      <c r="F48" s="69">
        <f t="shared" si="6"/>
        <v>54009.97999999998</v>
      </c>
      <c r="G48" s="68">
        <f t="shared" si="6"/>
        <v>427317.9600000001</v>
      </c>
      <c r="H48" s="69">
        <f t="shared" si="6"/>
        <v>534075.96</v>
      </c>
      <c r="I48" s="69">
        <f t="shared" si="6"/>
        <v>64650.78456000002</v>
      </c>
      <c r="J48" s="68">
        <f t="shared" si="6"/>
        <v>38561.52</v>
      </c>
      <c r="K48" s="36">
        <f t="shared" si="6"/>
        <v>64269.20000000001</v>
      </c>
      <c r="L48" s="36">
        <f t="shared" si="6"/>
        <v>238457.11600000004</v>
      </c>
      <c r="M48" s="36">
        <f t="shared" si="6"/>
        <v>203904.4634</v>
      </c>
      <c r="N48" s="36">
        <f t="shared" si="6"/>
        <v>13047.999999999998</v>
      </c>
      <c r="O48" s="69">
        <f t="shared" si="6"/>
        <v>558240.2993999999</v>
      </c>
      <c r="P48" s="69">
        <f t="shared" si="6"/>
        <v>26340.270999999997</v>
      </c>
      <c r="Q48" s="76">
        <f t="shared" si="6"/>
        <v>14146.174159999995</v>
      </c>
      <c r="R48" s="76">
        <f t="shared" si="6"/>
        <v>-21852.61999999999</v>
      </c>
      <c r="S48" s="72"/>
      <c r="T48" s="72"/>
    </row>
    <row r="49" spans="1:20" ht="13.5" thickBot="1">
      <c r="A49" s="321" t="s">
        <v>70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1251049.5</v>
      </c>
      <c r="D50" s="37">
        <f aca="true" t="shared" si="7" ref="D50:O50">D34+D48</f>
        <v>140532.10341184994</v>
      </c>
      <c r="E50" s="38">
        <f t="shared" si="7"/>
        <v>923250.3999999999</v>
      </c>
      <c r="F50" s="39">
        <f t="shared" si="7"/>
        <v>181525.87</v>
      </c>
      <c r="G50" s="37">
        <f t="shared" si="7"/>
        <v>836398.3500000001</v>
      </c>
      <c r="H50" s="39">
        <f t="shared" si="7"/>
        <v>1158456.3234118498</v>
      </c>
      <c r="I50" s="39">
        <f t="shared" si="7"/>
        <v>121234.41678000003</v>
      </c>
      <c r="J50" s="37">
        <f t="shared" si="7"/>
        <v>85492.10399999999</v>
      </c>
      <c r="K50" s="38">
        <f t="shared" si="7"/>
        <v>141914.520039745</v>
      </c>
      <c r="L50" s="38">
        <f t="shared" si="7"/>
        <v>524037.760879925</v>
      </c>
      <c r="M50" s="38">
        <f t="shared" si="7"/>
        <v>338334.7816</v>
      </c>
      <c r="N50" s="38">
        <f t="shared" si="7"/>
        <v>27867.1004</v>
      </c>
      <c r="O50" s="79">
        <f t="shared" si="7"/>
        <v>1117646.2669196697</v>
      </c>
      <c r="P50" s="79">
        <f>P34+P48</f>
        <v>48656.01135177979</v>
      </c>
      <c r="Q50" s="78">
        <f>Q34+Q48</f>
        <v>113388.46192040024</v>
      </c>
      <c r="R50" s="78">
        <f>R34+R48</f>
        <v>-85158.08</v>
      </c>
      <c r="S50" s="73"/>
      <c r="T50" s="72"/>
    </row>
    <row r="52" spans="1:20" ht="12.75">
      <c r="A52" s="20" t="s">
        <v>71</v>
      </c>
      <c r="D52" s="85" t="s">
        <v>92</v>
      </c>
      <c r="S52" s="1"/>
      <c r="T52" s="1"/>
    </row>
    <row r="53" spans="1:20" ht="12.75">
      <c r="A53" s="21" t="s">
        <v>72</v>
      </c>
      <c r="B53" s="21" t="s">
        <v>73</v>
      </c>
      <c r="C53" s="354" t="s">
        <v>74</v>
      </c>
      <c r="D53" s="354"/>
      <c r="S53" s="1"/>
      <c r="T53" s="1"/>
    </row>
    <row r="54" spans="1:20" ht="12.75">
      <c r="A54" s="133">
        <v>328206.7</v>
      </c>
      <c r="B54" s="133">
        <v>287801.66</v>
      </c>
      <c r="C54" s="352">
        <f>A54-B54</f>
        <v>40405.04000000004</v>
      </c>
      <c r="D54" s="353"/>
      <c r="S54" s="1"/>
      <c r="T54" s="1"/>
    </row>
    <row r="55" spans="1:20" ht="12.75">
      <c r="A55" s="46"/>
      <c r="S55" s="1"/>
      <c r="T55" s="1"/>
    </row>
    <row r="56" spans="1:20" ht="12.75">
      <c r="A56" s="2" t="s">
        <v>77</v>
      </c>
      <c r="G56" s="2" t="s">
        <v>78</v>
      </c>
      <c r="S56" s="1"/>
      <c r="T56" s="1"/>
    </row>
    <row r="57" ht="12.75">
      <c r="A57" s="1"/>
    </row>
    <row r="58" ht="12.75">
      <c r="A58" s="1"/>
    </row>
    <row r="59" ht="12.75">
      <c r="A59" s="2" t="s">
        <v>88</v>
      </c>
    </row>
    <row r="60" ht="12.75">
      <c r="A60" s="2" t="s">
        <v>79</v>
      </c>
    </row>
  </sheetData>
  <sheetProtection/>
  <mergeCells count="29">
    <mergeCell ref="C54:D54"/>
    <mergeCell ref="O11:O12"/>
    <mergeCell ref="A33:Q33"/>
    <mergeCell ref="C53:D53"/>
    <mergeCell ref="I9:I12"/>
    <mergeCell ref="P9:P12"/>
    <mergeCell ref="J9:O10"/>
    <mergeCell ref="Q9:Q12"/>
    <mergeCell ref="A9:A12"/>
    <mergeCell ref="B9:B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A49:Q49"/>
    <mergeCell ref="C9:C12"/>
    <mergeCell ref="D9:D12"/>
    <mergeCell ref="B1:H1"/>
    <mergeCell ref="B2:H2"/>
    <mergeCell ref="A8:D8"/>
    <mergeCell ref="E8:F8"/>
    <mergeCell ref="A5:Q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E10" sqref="BE10:BG40"/>
    </sheetView>
  </sheetViews>
  <sheetFormatPr defaultColWidth="9.00390625" defaultRowHeight="12.75"/>
  <cols>
    <col min="1" max="1" width="8.75390625" style="166" bestFit="1" customWidth="1"/>
    <col min="2" max="2" width="9.125" style="166" customWidth="1"/>
    <col min="3" max="3" width="11.375" style="166" customWidth="1"/>
    <col min="4" max="4" width="10.375" style="166" customWidth="1"/>
    <col min="5" max="5" width="10.125" style="166" bestFit="1" customWidth="1"/>
    <col min="6" max="6" width="9.125" style="166" customWidth="1"/>
    <col min="7" max="7" width="10.25390625" style="166" customWidth="1"/>
    <col min="8" max="8" width="9.125" style="166" customWidth="1"/>
    <col min="9" max="9" width="9.875" style="166" customWidth="1"/>
    <col min="10" max="10" width="9.125" style="166" customWidth="1"/>
    <col min="11" max="11" width="10.375" style="166" customWidth="1"/>
    <col min="12" max="12" width="9.125" style="166" customWidth="1"/>
    <col min="13" max="13" width="10.125" style="166" bestFit="1" customWidth="1"/>
    <col min="14" max="14" width="9.125" style="166" customWidth="1"/>
    <col min="15" max="15" width="10.125" style="166" bestFit="1" customWidth="1"/>
    <col min="16" max="18" width="9.125" style="166" customWidth="1"/>
    <col min="19" max="19" width="10.125" style="166" bestFit="1" customWidth="1"/>
    <col min="20" max="20" width="10.125" style="166" customWidth="1"/>
    <col min="21" max="21" width="11.75390625" style="166" bestFit="1" customWidth="1"/>
    <col min="22" max="22" width="10.25390625" style="166" customWidth="1"/>
    <col min="23" max="23" width="10.625" style="166" customWidth="1"/>
    <col min="24" max="24" width="10.125" style="166" customWidth="1"/>
    <col min="25" max="28" width="10.125" style="166" bestFit="1" customWidth="1"/>
    <col min="29" max="30" width="11.375" style="166" customWidth="1"/>
    <col min="31" max="31" width="9.25390625" style="166" bestFit="1" customWidth="1"/>
    <col min="32" max="32" width="11.75390625" style="166" bestFit="1" customWidth="1"/>
    <col min="33" max="33" width="11.375" style="166" customWidth="1"/>
    <col min="34" max="35" width="9.25390625" style="166" bestFit="1" customWidth="1"/>
    <col min="36" max="36" width="10.875" style="166" customWidth="1"/>
    <col min="37" max="38" width="9.25390625" style="166" bestFit="1" customWidth="1"/>
    <col min="39" max="39" width="10.125" style="166" bestFit="1" customWidth="1"/>
    <col min="40" max="40" width="9.25390625" style="166" bestFit="1" customWidth="1"/>
    <col min="41" max="42" width="10.125" style="166" bestFit="1" customWidth="1"/>
    <col min="43" max="44" width="9.25390625" style="166" customWidth="1"/>
    <col min="45" max="45" width="10.125" style="166" bestFit="1" customWidth="1"/>
    <col min="46" max="46" width="11.625" style="166" customWidth="1"/>
    <col min="47" max="47" width="10.875" style="166" customWidth="1"/>
    <col min="48" max="48" width="10.625" style="166" customWidth="1"/>
    <col min="49" max="49" width="10.25390625" style="166" customWidth="1"/>
    <col min="50" max="50" width="10.625" style="166" customWidth="1"/>
    <col min="51" max="51" width="9.25390625" style="166" bestFit="1" customWidth="1"/>
    <col min="52" max="53" width="10.125" style="166" bestFit="1" customWidth="1"/>
    <col min="54" max="54" width="11.625" style="166" customWidth="1"/>
    <col min="55" max="55" width="11.75390625" style="166" customWidth="1"/>
    <col min="56" max="56" width="12.125" style="166" customWidth="1"/>
    <col min="57" max="57" width="14.00390625" style="166" customWidth="1"/>
    <col min="58" max="58" width="11.00390625" style="166" customWidth="1"/>
    <col min="59" max="59" width="10.625" style="166" customWidth="1"/>
    <col min="60" max="16384" width="9.125" style="166" customWidth="1"/>
  </cols>
  <sheetData>
    <row r="1" spans="1:18" ht="21" customHeight="1">
      <c r="A1" s="273" t="s">
        <v>89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65"/>
      <c r="P1" s="165"/>
      <c r="Q1" s="165"/>
      <c r="R1" s="165"/>
    </row>
    <row r="2" spans="1:18" ht="13.5" thickBot="1">
      <c r="A2" s="165"/>
      <c r="B2" s="167"/>
      <c r="C2" s="168"/>
      <c r="D2" s="168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59" ht="29.25" customHeight="1" thickBot="1">
      <c r="A3" s="366" t="s">
        <v>0</v>
      </c>
      <c r="B3" s="368" t="s">
        <v>1</v>
      </c>
      <c r="C3" s="370" t="s">
        <v>2</v>
      </c>
      <c r="D3" s="372" t="s">
        <v>3</v>
      </c>
      <c r="E3" s="366" t="s">
        <v>95</v>
      </c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45"/>
      <c r="S3" s="366"/>
      <c r="T3" s="374"/>
      <c r="U3" s="366" t="s">
        <v>5</v>
      </c>
      <c r="V3" s="374"/>
      <c r="W3" s="378" t="s">
        <v>6</v>
      </c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80"/>
      <c r="AJ3" s="384" t="s">
        <v>75</v>
      </c>
      <c r="AK3" s="387" t="s">
        <v>10</v>
      </c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9"/>
      <c r="BF3" s="393" t="s">
        <v>11</v>
      </c>
      <c r="BG3" s="400" t="s">
        <v>12</v>
      </c>
    </row>
    <row r="4" spans="1:59" ht="51.75" customHeight="1" hidden="1" thickBot="1">
      <c r="A4" s="367"/>
      <c r="B4" s="369"/>
      <c r="C4" s="371"/>
      <c r="D4" s="373"/>
      <c r="E4" s="367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37"/>
      <c r="S4" s="376"/>
      <c r="T4" s="377"/>
      <c r="U4" s="376"/>
      <c r="V4" s="377"/>
      <c r="W4" s="381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3"/>
      <c r="AJ4" s="385"/>
      <c r="AK4" s="390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2"/>
      <c r="BF4" s="394"/>
      <c r="BG4" s="401"/>
    </row>
    <row r="5" spans="1:59" ht="19.5" customHeight="1">
      <c r="A5" s="367"/>
      <c r="B5" s="369"/>
      <c r="C5" s="371"/>
      <c r="D5" s="373"/>
      <c r="E5" s="403" t="s">
        <v>13</v>
      </c>
      <c r="F5" s="404"/>
      <c r="G5" s="403" t="s">
        <v>96</v>
      </c>
      <c r="H5" s="404"/>
      <c r="I5" s="403" t="s">
        <v>14</v>
      </c>
      <c r="J5" s="404"/>
      <c r="K5" s="403" t="s">
        <v>16</v>
      </c>
      <c r="L5" s="404"/>
      <c r="M5" s="403" t="s">
        <v>15</v>
      </c>
      <c r="N5" s="404"/>
      <c r="O5" s="407" t="s">
        <v>17</v>
      </c>
      <c r="P5" s="407"/>
      <c r="Q5" s="403" t="s">
        <v>97</v>
      </c>
      <c r="R5" s="404"/>
      <c r="S5" s="407" t="s">
        <v>98</v>
      </c>
      <c r="T5" s="404"/>
      <c r="U5" s="410" t="s">
        <v>20</v>
      </c>
      <c r="V5" s="396" t="s">
        <v>21</v>
      </c>
      <c r="W5" s="398" t="s">
        <v>22</v>
      </c>
      <c r="X5" s="398" t="s">
        <v>99</v>
      </c>
      <c r="Y5" s="398" t="s">
        <v>23</v>
      </c>
      <c r="Z5" s="398" t="s">
        <v>25</v>
      </c>
      <c r="AA5" s="398" t="s">
        <v>24</v>
      </c>
      <c r="AB5" s="398" t="s">
        <v>26</v>
      </c>
      <c r="AC5" s="398" t="s">
        <v>27</v>
      </c>
      <c r="AD5" s="412" t="s">
        <v>28</v>
      </c>
      <c r="AE5" s="412" t="s">
        <v>100</v>
      </c>
      <c r="AF5" s="414" t="s">
        <v>29</v>
      </c>
      <c r="AG5" s="416" t="s">
        <v>87</v>
      </c>
      <c r="AH5" s="418" t="s">
        <v>8</v>
      </c>
      <c r="AI5" s="420" t="s">
        <v>9</v>
      </c>
      <c r="AJ5" s="385"/>
      <c r="AK5" s="422" t="s">
        <v>101</v>
      </c>
      <c r="AL5" s="424" t="s">
        <v>102</v>
      </c>
      <c r="AM5" s="424" t="s">
        <v>103</v>
      </c>
      <c r="AN5" s="426" t="s">
        <v>104</v>
      </c>
      <c r="AO5" s="424" t="s">
        <v>105</v>
      </c>
      <c r="AP5" s="426" t="s">
        <v>106</v>
      </c>
      <c r="AQ5" s="426" t="s">
        <v>107</v>
      </c>
      <c r="AR5" s="426" t="s">
        <v>108</v>
      </c>
      <c r="AS5" s="426" t="s">
        <v>109</v>
      </c>
      <c r="AT5" s="426" t="s">
        <v>36</v>
      </c>
      <c r="AU5" s="287" t="s">
        <v>110</v>
      </c>
      <c r="AV5" s="319" t="s">
        <v>111</v>
      </c>
      <c r="AW5" s="287" t="s">
        <v>112</v>
      </c>
      <c r="AX5" s="308" t="s">
        <v>113</v>
      </c>
      <c r="AY5" s="147"/>
      <c r="AZ5" s="428" t="s">
        <v>19</v>
      </c>
      <c r="BA5" s="426" t="s">
        <v>38</v>
      </c>
      <c r="BB5" s="426" t="s">
        <v>33</v>
      </c>
      <c r="BC5" s="430" t="s">
        <v>39</v>
      </c>
      <c r="BD5" s="432" t="s">
        <v>76</v>
      </c>
      <c r="BE5" s="426" t="s">
        <v>114</v>
      </c>
      <c r="BF5" s="394"/>
      <c r="BG5" s="401"/>
    </row>
    <row r="6" spans="1:59" ht="56.25" customHeight="1" thickBot="1">
      <c r="A6" s="367"/>
      <c r="B6" s="369"/>
      <c r="C6" s="371"/>
      <c r="D6" s="373"/>
      <c r="E6" s="405"/>
      <c r="F6" s="406"/>
      <c r="G6" s="405"/>
      <c r="H6" s="406"/>
      <c r="I6" s="405"/>
      <c r="J6" s="406"/>
      <c r="K6" s="405"/>
      <c r="L6" s="406"/>
      <c r="M6" s="405"/>
      <c r="N6" s="406"/>
      <c r="O6" s="408"/>
      <c r="P6" s="408"/>
      <c r="Q6" s="405"/>
      <c r="R6" s="406"/>
      <c r="S6" s="409"/>
      <c r="T6" s="406"/>
      <c r="U6" s="411"/>
      <c r="V6" s="397"/>
      <c r="W6" s="399"/>
      <c r="X6" s="399"/>
      <c r="Y6" s="399"/>
      <c r="Z6" s="399"/>
      <c r="AA6" s="399"/>
      <c r="AB6" s="399"/>
      <c r="AC6" s="399"/>
      <c r="AD6" s="413"/>
      <c r="AE6" s="413"/>
      <c r="AF6" s="415"/>
      <c r="AG6" s="417"/>
      <c r="AH6" s="419"/>
      <c r="AI6" s="421"/>
      <c r="AJ6" s="386"/>
      <c r="AK6" s="423"/>
      <c r="AL6" s="425"/>
      <c r="AM6" s="425"/>
      <c r="AN6" s="427"/>
      <c r="AO6" s="425"/>
      <c r="AP6" s="427"/>
      <c r="AQ6" s="427"/>
      <c r="AR6" s="427"/>
      <c r="AS6" s="427"/>
      <c r="AT6" s="427"/>
      <c r="AU6" s="288"/>
      <c r="AV6" s="320"/>
      <c r="AW6" s="288"/>
      <c r="AX6" s="309"/>
      <c r="AY6" s="148" t="s">
        <v>115</v>
      </c>
      <c r="AZ6" s="429"/>
      <c r="BA6" s="427"/>
      <c r="BB6" s="427"/>
      <c r="BC6" s="431"/>
      <c r="BD6" s="433"/>
      <c r="BE6" s="427"/>
      <c r="BF6" s="395"/>
      <c r="BG6" s="402"/>
    </row>
    <row r="7" spans="1:59" ht="19.5" customHeight="1" thickBot="1">
      <c r="A7" s="169">
        <v>1</v>
      </c>
      <c r="B7" s="170">
        <v>2</v>
      </c>
      <c r="C7" s="170">
        <v>3</v>
      </c>
      <c r="D7" s="169">
        <v>4</v>
      </c>
      <c r="E7" s="170">
        <v>5</v>
      </c>
      <c r="F7" s="170">
        <v>6</v>
      </c>
      <c r="G7" s="169">
        <v>7</v>
      </c>
      <c r="H7" s="170">
        <v>8</v>
      </c>
      <c r="I7" s="170">
        <v>9</v>
      </c>
      <c r="J7" s="169">
        <v>10</v>
      </c>
      <c r="K7" s="170">
        <v>11</v>
      </c>
      <c r="L7" s="170">
        <v>12</v>
      </c>
      <c r="M7" s="169">
        <v>13</v>
      </c>
      <c r="N7" s="170">
        <v>14</v>
      </c>
      <c r="O7" s="170">
        <v>15</v>
      </c>
      <c r="P7" s="169">
        <v>16</v>
      </c>
      <c r="Q7" s="170">
        <v>17</v>
      </c>
      <c r="R7" s="170">
        <v>18</v>
      </c>
      <c r="S7" s="169">
        <v>19</v>
      </c>
      <c r="T7" s="170">
        <v>20</v>
      </c>
      <c r="U7" s="170">
        <v>21</v>
      </c>
      <c r="V7" s="169">
        <v>22</v>
      </c>
      <c r="W7" s="170">
        <v>23</v>
      </c>
      <c r="X7" s="169">
        <v>24</v>
      </c>
      <c r="Y7" s="170">
        <v>25</v>
      </c>
      <c r="Z7" s="169">
        <v>26</v>
      </c>
      <c r="AA7" s="170">
        <v>27</v>
      </c>
      <c r="AB7" s="169">
        <v>28</v>
      </c>
      <c r="AC7" s="170">
        <v>29</v>
      </c>
      <c r="AD7" s="169">
        <v>30</v>
      </c>
      <c r="AE7" s="169">
        <v>31</v>
      </c>
      <c r="AF7" s="170">
        <v>32</v>
      </c>
      <c r="AG7" s="169">
        <v>33</v>
      </c>
      <c r="AH7" s="170">
        <v>34</v>
      </c>
      <c r="AI7" s="169">
        <v>35</v>
      </c>
      <c r="AJ7" s="170">
        <v>36</v>
      </c>
      <c r="AK7" s="169">
        <v>37</v>
      </c>
      <c r="AL7" s="170">
        <v>38</v>
      </c>
      <c r="AM7" s="169">
        <v>39</v>
      </c>
      <c r="AN7" s="169">
        <v>40</v>
      </c>
      <c r="AO7" s="170">
        <v>41</v>
      </c>
      <c r="AP7" s="169">
        <v>42</v>
      </c>
      <c r="AQ7" s="170">
        <v>43</v>
      </c>
      <c r="AR7" s="169"/>
      <c r="AS7" s="169">
        <v>44</v>
      </c>
      <c r="AT7" s="170">
        <v>45</v>
      </c>
      <c r="AU7" s="169">
        <v>46</v>
      </c>
      <c r="AV7" s="170">
        <v>47</v>
      </c>
      <c r="AW7" s="169">
        <v>48</v>
      </c>
      <c r="AX7" s="169">
        <v>49</v>
      </c>
      <c r="AY7" s="170"/>
      <c r="AZ7" s="170">
        <v>50</v>
      </c>
      <c r="BA7" s="170">
        <v>51</v>
      </c>
      <c r="BB7" s="170">
        <v>52</v>
      </c>
      <c r="BC7" s="170">
        <v>53</v>
      </c>
      <c r="BD7" s="170">
        <v>54</v>
      </c>
      <c r="BE7" s="170"/>
      <c r="BF7" s="170">
        <v>55</v>
      </c>
      <c r="BG7" s="170">
        <v>56</v>
      </c>
    </row>
    <row r="8" spans="1:59" s="20" customFormat="1" ht="13.5" thickBot="1">
      <c r="A8" s="22" t="s">
        <v>54</v>
      </c>
      <c r="B8" s="171"/>
      <c r="C8" s="171">
        <f>Лист1!C44</f>
        <v>1251049.5</v>
      </c>
      <c r="D8" s="171">
        <f>Лист1!D44</f>
        <v>140532.10341184994</v>
      </c>
      <c r="E8" s="171">
        <f>Лист1!E44</f>
        <v>106040.62999999999</v>
      </c>
      <c r="F8" s="171">
        <f>Лист1!F44</f>
        <v>20971.36</v>
      </c>
      <c r="G8" s="171">
        <f>0</f>
        <v>0</v>
      </c>
      <c r="H8" s="171">
        <f>0</f>
        <v>0</v>
      </c>
      <c r="I8" s="171">
        <f>Лист1!G44</f>
        <v>143502.56</v>
      </c>
      <c r="J8" s="171">
        <f>Лист1!H44</f>
        <v>28391.09</v>
      </c>
      <c r="K8" s="171">
        <f>Лист1!K44</f>
        <v>241699.22000000003</v>
      </c>
      <c r="L8" s="171">
        <f>Лист1!L44</f>
        <v>47265.380000000005</v>
      </c>
      <c r="M8" s="171">
        <f>Лист1!I44</f>
        <v>347173.87</v>
      </c>
      <c r="N8" s="171">
        <f>Лист1!J44</f>
        <v>68120.98000000001</v>
      </c>
      <c r="O8" s="171">
        <f>Лист1!M44</f>
        <v>84834.12</v>
      </c>
      <c r="P8" s="171">
        <f>Лист1!N44</f>
        <v>16777.06</v>
      </c>
      <c r="Q8" s="171">
        <f>'[9]Лист1'!O44</f>
        <v>0</v>
      </c>
      <c r="R8" s="171">
        <f>'[9]Лист1'!P44</f>
        <v>0</v>
      </c>
      <c r="S8" s="171">
        <f>'[9]Лист1'!Q44</f>
        <v>0</v>
      </c>
      <c r="T8" s="171">
        <f>'[9]Лист1'!R44</f>
        <v>0</v>
      </c>
      <c r="U8" s="171">
        <f>Лист1!S44</f>
        <v>923250.3999999999</v>
      </c>
      <c r="V8" s="171">
        <f>Лист1!T44</f>
        <v>181525.87</v>
      </c>
      <c r="W8" s="171">
        <f>Лист1!U44</f>
        <v>96425.83</v>
      </c>
      <c r="X8" s="171">
        <v>0</v>
      </c>
      <c r="Y8" s="171">
        <f>Лист1!V44</f>
        <v>130475.52999999998</v>
      </c>
      <c r="Z8" s="171">
        <f>Лист1!X44</f>
        <v>217481.44</v>
      </c>
      <c r="AA8" s="171">
        <f>Лист1!W44</f>
        <v>314871.7</v>
      </c>
      <c r="AB8" s="171">
        <f>Лист1!Y44</f>
        <v>77143.85</v>
      </c>
      <c r="AC8" s="171">
        <f>'[10]Лист1'!Z42</f>
        <v>0</v>
      </c>
      <c r="AD8" s="171">
        <f>'[10]Лист1'!AA42</f>
        <v>0</v>
      </c>
      <c r="AE8" s="171">
        <f>0</f>
        <v>0</v>
      </c>
      <c r="AF8" s="171">
        <f>Лист1!AB44</f>
        <v>836398.3500000001</v>
      </c>
      <c r="AG8" s="171">
        <f>Лист1!AC44</f>
        <v>1158456.3234118498</v>
      </c>
      <c r="AH8" s="171">
        <f>'[10]Лист1'!AD42</f>
        <v>0</v>
      </c>
      <c r="AI8" s="171">
        <f>'[10]Лист1'!AE42</f>
        <v>0</v>
      </c>
      <c r="AJ8" s="171">
        <f>Лист1!AF44</f>
        <v>121234.41678000003</v>
      </c>
      <c r="AK8" s="171">
        <f>Лист1!AG44</f>
        <v>85492.10399999999</v>
      </c>
      <c r="AL8" s="171">
        <f>Лист1!AH44</f>
        <v>28647.887788799995</v>
      </c>
      <c r="AM8" s="171">
        <f>Лист1!AI44+Лист1!AJ44</f>
        <v>141914.52003974502</v>
      </c>
      <c r="AN8" s="171">
        <v>0</v>
      </c>
      <c r="AO8" s="171">
        <f>Лист1!AK44+Лист1!AL44</f>
        <v>141554.7375089854</v>
      </c>
      <c r="AP8" s="171">
        <f>Лист1!AM44+Лист1!AN44</f>
        <v>316663.08438213955</v>
      </c>
      <c r="AQ8" s="171">
        <v>0</v>
      </c>
      <c r="AR8" s="171">
        <v>0</v>
      </c>
      <c r="AS8" s="171">
        <f>0</f>
        <v>0</v>
      </c>
      <c r="AT8" s="171">
        <f>Лист1!AO44</f>
        <v>7583.76</v>
      </c>
      <c r="AU8" s="171">
        <f>Лист1!AS44+Лист1!AU44</f>
        <v>228016.78160000002</v>
      </c>
      <c r="AV8" s="171">
        <v>0</v>
      </c>
      <c r="AW8" s="171">
        <f>Лист1!AT44</f>
        <v>110317.99999999999</v>
      </c>
      <c r="AX8" s="171">
        <f>Лист1!AQ44+Лист1!AR44</f>
        <v>29588.2912</v>
      </c>
      <c r="AY8" s="172">
        <f>Лист1!AX44</f>
        <v>27867.1004</v>
      </c>
      <c r="AZ8" s="172">
        <f>'[9]Лист1'!AY44</f>
        <v>0</v>
      </c>
      <c r="BA8" s="172">
        <v>0</v>
      </c>
      <c r="BB8" s="172">
        <v>0</v>
      </c>
      <c r="BC8" s="172">
        <f>Лист1!BB44</f>
        <v>1117646.2669196697</v>
      </c>
      <c r="BD8" s="171">
        <f>Лист1!BC44</f>
        <v>48656.01135177979</v>
      </c>
      <c r="BE8" s="173">
        <f>Лист1!BB44+Лист1!BC44</f>
        <v>1166302.2782714495</v>
      </c>
      <c r="BF8" s="174">
        <f>Лист1!BD44</f>
        <v>113388.46192040024</v>
      </c>
      <c r="BG8" s="174">
        <f>Лист1!BE44</f>
        <v>-85158.08</v>
      </c>
    </row>
    <row r="9" spans="1:59" ht="12.75">
      <c r="A9" s="5" t="s">
        <v>116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58">
        <f>'[11]Лист1'!AB44</f>
        <v>440391.95999999996</v>
      </c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6"/>
      <c r="BF9" s="174"/>
      <c r="BG9" s="177"/>
    </row>
    <row r="10" spans="1:59" ht="12.75">
      <c r="A10" s="178" t="s">
        <v>45</v>
      </c>
      <c r="B10" s="150">
        <v>5355.65</v>
      </c>
      <c r="C10" s="131">
        <f aca="true" t="shared" si="0" ref="C10:C21">B10*8.55</f>
        <v>45790.8075</v>
      </c>
      <c r="D10" s="106">
        <v>552.84</v>
      </c>
      <c r="E10" s="151">
        <v>0</v>
      </c>
      <c r="F10" s="152">
        <v>0</v>
      </c>
      <c r="G10" s="151">
        <v>28333.59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13485.26</v>
      </c>
      <c r="N10" s="151">
        <v>26.36</v>
      </c>
      <c r="O10" s="151">
        <v>4686.57</v>
      </c>
      <c r="P10" s="152">
        <v>0</v>
      </c>
      <c r="Q10" s="191">
        <v>0</v>
      </c>
      <c r="R10" s="180">
        <v>0</v>
      </c>
      <c r="S10" s="179">
        <v>0</v>
      </c>
      <c r="T10" s="180">
        <v>0</v>
      </c>
      <c r="U10" s="181">
        <f aca="true" t="shared" si="1" ref="U10:V21">E10+G10+I10+K10+M10+O10+Q10+S10</f>
        <v>46505.42</v>
      </c>
      <c r="V10" s="182">
        <f t="shared" si="1"/>
        <v>26.36</v>
      </c>
      <c r="W10" s="153">
        <v>3466.05</v>
      </c>
      <c r="X10" s="153"/>
      <c r="Y10" s="153">
        <v>4693.1</v>
      </c>
      <c r="Z10" s="153">
        <v>7813.35</v>
      </c>
      <c r="AA10" s="153">
        <v>11248.6</v>
      </c>
      <c r="AB10" s="153">
        <v>2770.34</v>
      </c>
      <c r="AC10" s="155">
        <v>0</v>
      </c>
      <c r="AD10" s="155">
        <v>0</v>
      </c>
      <c r="AE10" s="183">
        <v>0</v>
      </c>
      <c r="AF10" s="183">
        <f>SUM(W10:AE10)</f>
        <v>29991.44</v>
      </c>
      <c r="AG10" s="184">
        <f>AF10+V10+D10</f>
        <v>30570.64</v>
      </c>
      <c r="AH10" s="185">
        <f aca="true" t="shared" si="2" ref="AH10:AI21">AC10</f>
        <v>0</v>
      </c>
      <c r="AI10" s="185">
        <f t="shared" si="2"/>
        <v>0</v>
      </c>
      <c r="AJ10" s="157">
        <f>'[12]Т01'!$I$18+'[12]Т01'!$I$23+'[12]Т01'!$I$86+'[12]Т01'!$I$95+'[12]Т01'!$I$112+'[12]Т01'!$I$133+'[12]Т01'!$I$191</f>
        <v>7775.388000000001</v>
      </c>
      <c r="AK10" s="158">
        <f aca="true" t="shared" si="3" ref="AK10:AK21">0.67*B10</f>
        <v>3588.2855</v>
      </c>
      <c r="AL10" s="158">
        <f aca="true" t="shared" si="4" ref="AL10:AL21">B10*0.2</f>
        <v>1071.1299999999999</v>
      </c>
      <c r="AM10" s="158">
        <f aca="true" t="shared" si="5" ref="AM10:AM21">B10*1</f>
        <v>5355.65</v>
      </c>
      <c r="AN10" s="158">
        <f aca="true" t="shared" si="6" ref="AN10:AN21">B10*0.21</f>
        <v>1124.6864999999998</v>
      </c>
      <c r="AO10" s="158">
        <f aca="true" t="shared" si="7" ref="AO10:AO21">2.02*B10</f>
        <v>10818.412999999999</v>
      </c>
      <c r="AP10" s="158">
        <f aca="true" t="shared" si="8" ref="AP10:AP21">B10*1.03</f>
        <v>5516.3195</v>
      </c>
      <c r="AQ10" s="158">
        <f aca="true" t="shared" si="9" ref="AQ10:AQ21">B10*0.75</f>
        <v>4016.7374999999997</v>
      </c>
      <c r="AR10" s="158">
        <f aca="true" t="shared" si="10" ref="AR10:AR21">B10*0.75</f>
        <v>4016.7374999999997</v>
      </c>
      <c r="AS10" s="158">
        <f>B10*1.15</f>
        <v>6158.9974999999995</v>
      </c>
      <c r="AT10" s="158">
        <f>1404.4*0.45</f>
        <v>631.98</v>
      </c>
      <c r="AU10" s="160"/>
      <c r="AV10" s="159"/>
      <c r="AW10" s="160"/>
      <c r="AX10" s="160">
        <f>6.04+5+48.5+23.1+1510.5+37284.7+33907.27</f>
        <v>72785.10999999999</v>
      </c>
      <c r="AY10" s="160"/>
      <c r="AZ10" s="121"/>
      <c r="BA10" s="163"/>
      <c r="BB10" s="163">
        <f>BA10*0.18</f>
        <v>0</v>
      </c>
      <c r="BC10" s="163">
        <f aca="true" t="shared" si="11" ref="BC10:BC21">SUM(AK10:BB10)</f>
        <v>115084.04699999999</v>
      </c>
      <c r="BD10" s="164">
        <f>'[12]Т01'!$R$18+'[12]Т01'!$R$23+'[12]Т01'!$R$86+'[12]Т01'!$R$95+'[12]Т01'!$R$112+'[12]Т01'!$R$133+'[12]Т01'!$R$191</f>
        <v>5041.546</v>
      </c>
      <c r="BE10" s="186">
        <f>BC10+BD10</f>
        <v>120125.593</v>
      </c>
      <c r="BF10" s="186">
        <f>AG10+AJ10-BE10</f>
        <v>-81779.565</v>
      </c>
      <c r="BG10" s="186">
        <f>AF10-U10</f>
        <v>-16513.98</v>
      </c>
    </row>
    <row r="11" spans="1:59" ht="12.75">
      <c r="A11" s="178" t="s">
        <v>46</v>
      </c>
      <c r="B11" s="150">
        <v>5355.65</v>
      </c>
      <c r="C11" s="131">
        <f t="shared" si="0"/>
        <v>45790.8075</v>
      </c>
      <c r="D11" s="106">
        <v>552.84</v>
      </c>
      <c r="E11" s="151">
        <v>0</v>
      </c>
      <c r="F11" s="152">
        <v>0</v>
      </c>
      <c r="G11" s="151">
        <v>27208.09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13487.06</v>
      </c>
      <c r="N11" s="151">
        <v>0</v>
      </c>
      <c r="O11" s="151">
        <v>4687.21</v>
      </c>
      <c r="P11" s="151">
        <v>0</v>
      </c>
      <c r="Q11" s="152">
        <v>0</v>
      </c>
      <c r="R11" s="152">
        <v>0</v>
      </c>
      <c r="S11" s="155">
        <v>0</v>
      </c>
      <c r="T11" s="153">
        <v>0</v>
      </c>
      <c r="U11" s="187">
        <f t="shared" si="1"/>
        <v>45382.36</v>
      </c>
      <c r="V11" s="182">
        <f t="shared" si="1"/>
        <v>0</v>
      </c>
      <c r="W11" s="153">
        <v>408.62</v>
      </c>
      <c r="X11" s="155">
        <v>20810.56</v>
      </c>
      <c r="Y11" s="153">
        <v>553.7</v>
      </c>
      <c r="Z11" s="153">
        <v>920.98</v>
      </c>
      <c r="AA11" s="153">
        <v>14552.32</v>
      </c>
      <c r="AB11" s="153">
        <v>4055.82</v>
      </c>
      <c r="AC11" s="155">
        <v>0</v>
      </c>
      <c r="AD11" s="155">
        <v>0</v>
      </c>
      <c r="AE11" s="155">
        <v>0</v>
      </c>
      <c r="AF11" s="183">
        <f>SUM(W11:AE11)</f>
        <v>41302</v>
      </c>
      <c r="AG11" s="184">
        <f>AF11+V11+D11</f>
        <v>41854.84</v>
      </c>
      <c r="AH11" s="185">
        <f t="shared" si="2"/>
        <v>0</v>
      </c>
      <c r="AI11" s="185">
        <f t="shared" si="2"/>
        <v>0</v>
      </c>
      <c r="AJ11" s="157">
        <f>'[12]Т02'!$J$18+'[12]Т02'!$J$23+'[12]Т02'!$J$86+'[12]Т02'!$J$95+'[12]Т02'!$J$112+'[12]Т02'!$J$133+'[12]Т02'!$J$193</f>
        <v>7775.388000000001</v>
      </c>
      <c r="AK11" s="158">
        <f t="shared" si="3"/>
        <v>3588.2855</v>
      </c>
      <c r="AL11" s="158">
        <f t="shared" si="4"/>
        <v>1071.1299999999999</v>
      </c>
      <c r="AM11" s="158">
        <f t="shared" si="5"/>
        <v>5355.65</v>
      </c>
      <c r="AN11" s="158">
        <f t="shared" si="6"/>
        <v>1124.6864999999998</v>
      </c>
      <c r="AO11" s="158">
        <f t="shared" si="7"/>
        <v>10818.412999999999</v>
      </c>
      <c r="AP11" s="158">
        <f t="shared" si="8"/>
        <v>5516.3195</v>
      </c>
      <c r="AQ11" s="158">
        <f t="shared" si="9"/>
        <v>4016.7374999999997</v>
      </c>
      <c r="AR11" s="158">
        <f t="shared" si="10"/>
        <v>4016.7374999999997</v>
      </c>
      <c r="AS11" s="158">
        <f>B11*1.15</f>
        <v>6158.9974999999995</v>
      </c>
      <c r="AT11" s="158">
        <f>1404.4*0.45</f>
        <v>631.98</v>
      </c>
      <c r="AU11" s="160">
        <v>5830</v>
      </c>
      <c r="AV11" s="159">
        <v>2407</v>
      </c>
      <c r="AW11" s="160"/>
      <c r="AX11" s="160">
        <f>33.84+150+30+36+20</f>
        <v>269.84000000000003</v>
      </c>
      <c r="AY11" s="160"/>
      <c r="AZ11" s="121"/>
      <c r="BA11" s="163"/>
      <c r="BB11" s="163">
        <f>BA11*0.18</f>
        <v>0</v>
      </c>
      <c r="BC11" s="163">
        <f t="shared" si="11"/>
        <v>50805.776999999995</v>
      </c>
      <c r="BD11" s="164">
        <f>'[12]Т02'!$S$18+'[12]Т02'!$S$23+'[12]Т02'!$S$86+'[12]Т02'!$S$95+'[12]Т02'!$S$112+'[12]Т02'!$S$133+'[12]Т02'!$S$192</f>
        <v>5041.546</v>
      </c>
      <c r="BE11" s="186">
        <f aca="true" t="shared" si="12" ref="BE11:BE21">BC11+BD11</f>
        <v>55847.323</v>
      </c>
      <c r="BF11" s="186">
        <f aca="true" t="shared" si="13" ref="BF11:BF21">AG11+AJ11-BE11</f>
        <v>-6217.095000000001</v>
      </c>
      <c r="BG11" s="186">
        <f aca="true" t="shared" si="14" ref="BG11:BG21">AF11-U11</f>
        <v>-4080.3600000000006</v>
      </c>
    </row>
    <row r="12" spans="1:59" ht="12.75">
      <c r="A12" s="178" t="s">
        <v>47</v>
      </c>
      <c r="B12" s="150">
        <v>5355.65</v>
      </c>
      <c r="C12" s="131">
        <f t="shared" si="0"/>
        <v>45790.8075</v>
      </c>
      <c r="D12" s="106">
        <v>552.84</v>
      </c>
      <c r="E12" s="151">
        <v>0</v>
      </c>
      <c r="F12" s="152">
        <v>0</v>
      </c>
      <c r="G12" s="151">
        <v>27764.7</v>
      </c>
      <c r="H12" s="151">
        <v>54.29</v>
      </c>
      <c r="I12" s="151">
        <v>0</v>
      </c>
      <c r="J12" s="151">
        <v>0</v>
      </c>
      <c r="K12" s="151">
        <v>0</v>
      </c>
      <c r="L12" s="151">
        <v>0</v>
      </c>
      <c r="M12" s="151">
        <v>13483.15</v>
      </c>
      <c r="N12" s="151">
        <v>26.36</v>
      </c>
      <c r="O12" s="151">
        <v>4685.81</v>
      </c>
      <c r="P12" s="151">
        <v>0</v>
      </c>
      <c r="Q12" s="151">
        <v>0</v>
      </c>
      <c r="R12" s="151">
        <v>0</v>
      </c>
      <c r="S12" s="151">
        <v>0</v>
      </c>
      <c r="T12" s="153">
        <v>0</v>
      </c>
      <c r="U12" s="153">
        <f t="shared" si="1"/>
        <v>45933.659999999996</v>
      </c>
      <c r="V12" s="154">
        <f t="shared" si="1"/>
        <v>80.65</v>
      </c>
      <c r="W12" s="188">
        <v>195.46</v>
      </c>
      <c r="X12" s="155">
        <v>26698.79</v>
      </c>
      <c r="Y12" s="153">
        <v>264.8</v>
      </c>
      <c r="Z12" s="153">
        <v>440.8</v>
      </c>
      <c r="AA12" s="153">
        <v>12864.36</v>
      </c>
      <c r="AB12" s="153">
        <v>4424.82</v>
      </c>
      <c r="AC12" s="155">
        <v>0</v>
      </c>
      <c r="AD12" s="155">
        <v>0</v>
      </c>
      <c r="AE12" s="153">
        <v>0</v>
      </c>
      <c r="AF12" s="189">
        <f>SUM(W12:AE12)</f>
        <v>44889.03</v>
      </c>
      <c r="AG12" s="184">
        <f>AF12+V12+D12</f>
        <v>45522.52</v>
      </c>
      <c r="AH12" s="185">
        <f t="shared" si="2"/>
        <v>0</v>
      </c>
      <c r="AI12" s="185">
        <f t="shared" si="2"/>
        <v>0</v>
      </c>
      <c r="AJ12" s="157">
        <f>'[12]Т03'!$J$18+'[12]Т03'!$J$23+'[12]Т03'!$J$86+'[12]Т03'!$J$95+'[12]Т03'!$J$112+'[12]Т03'!$J$133+'[12]Т03'!$J$193</f>
        <v>7775.388000000001</v>
      </c>
      <c r="AK12" s="158">
        <f t="shared" si="3"/>
        <v>3588.2855</v>
      </c>
      <c r="AL12" s="158">
        <f t="shared" si="4"/>
        <v>1071.1299999999999</v>
      </c>
      <c r="AM12" s="158">
        <f t="shared" si="5"/>
        <v>5355.65</v>
      </c>
      <c r="AN12" s="158">
        <f t="shared" si="6"/>
        <v>1124.6864999999998</v>
      </c>
      <c r="AO12" s="158">
        <f t="shared" si="7"/>
        <v>10818.412999999999</v>
      </c>
      <c r="AP12" s="158">
        <f t="shared" si="8"/>
        <v>5516.3195</v>
      </c>
      <c r="AQ12" s="158">
        <f t="shared" si="9"/>
        <v>4016.7374999999997</v>
      </c>
      <c r="AR12" s="158">
        <f t="shared" si="10"/>
        <v>4016.7374999999997</v>
      </c>
      <c r="AS12" s="158">
        <f>B12*1.15</f>
        <v>6158.9974999999995</v>
      </c>
      <c r="AT12" s="158">
        <f>1404.4*0.45</f>
        <v>631.98</v>
      </c>
      <c r="AU12" s="160"/>
      <c r="AV12" s="159">
        <v>320</v>
      </c>
      <c r="AW12" s="160"/>
      <c r="AX12" s="160"/>
      <c r="AY12" s="160"/>
      <c r="AZ12" s="121"/>
      <c r="BA12" s="163"/>
      <c r="BB12" s="163">
        <f>BA12*0.18</f>
        <v>0</v>
      </c>
      <c r="BC12" s="163">
        <f t="shared" si="11"/>
        <v>42618.937</v>
      </c>
      <c r="BD12" s="164">
        <f>'[12]Т03'!$S$18+'[12]Т03'!$S$23+'[12]Т03'!$S$86+'[12]Т03'!$S$95+'[12]Т03'!$S$112+'[12]Т03'!$S$133+'[12]Т03'!$S$193</f>
        <v>5016.546</v>
      </c>
      <c r="BE12" s="186">
        <f t="shared" si="12"/>
        <v>47635.483</v>
      </c>
      <c r="BF12" s="186">
        <f t="shared" si="13"/>
        <v>5662.424999999996</v>
      </c>
      <c r="BG12" s="186">
        <f t="shared" si="14"/>
        <v>-1044.6299999999974</v>
      </c>
    </row>
    <row r="13" spans="1:59" ht="12.75">
      <c r="A13" s="178" t="s">
        <v>48</v>
      </c>
      <c r="B13" s="150">
        <v>5355.65</v>
      </c>
      <c r="C13" s="131">
        <f t="shared" si="0"/>
        <v>45790.8075</v>
      </c>
      <c r="D13" s="106">
        <v>552.84</v>
      </c>
      <c r="E13" s="179">
        <v>0</v>
      </c>
      <c r="F13" s="152">
        <v>0</v>
      </c>
      <c r="G13" s="190">
        <v>27758.92</v>
      </c>
      <c r="H13" s="151">
        <v>54.29</v>
      </c>
      <c r="I13" s="151">
        <v>0</v>
      </c>
      <c r="J13" s="151">
        <v>0</v>
      </c>
      <c r="K13" s="151">
        <v>0</v>
      </c>
      <c r="L13" s="151">
        <v>0</v>
      </c>
      <c r="M13" s="151">
        <v>13480.3</v>
      </c>
      <c r="N13" s="151">
        <v>26.36</v>
      </c>
      <c r="O13" s="151">
        <v>4684.8</v>
      </c>
      <c r="P13" s="151">
        <v>0</v>
      </c>
      <c r="Q13" s="152">
        <v>0</v>
      </c>
      <c r="R13" s="152">
        <v>0</v>
      </c>
      <c r="S13" s="191">
        <v>0</v>
      </c>
      <c r="T13" s="192">
        <v>0</v>
      </c>
      <c r="U13" s="187">
        <f t="shared" si="1"/>
        <v>45924.020000000004</v>
      </c>
      <c r="V13" s="154">
        <f t="shared" si="1"/>
        <v>80.65</v>
      </c>
      <c r="W13" s="153">
        <v>187.23</v>
      </c>
      <c r="X13" s="155">
        <v>23669.17</v>
      </c>
      <c r="Y13" s="153">
        <v>253.08</v>
      </c>
      <c r="Z13" s="153">
        <v>2021.61</v>
      </c>
      <c r="AA13" s="153">
        <v>12091.96</v>
      </c>
      <c r="AB13" s="155">
        <v>4141.61</v>
      </c>
      <c r="AC13" s="153">
        <v>0</v>
      </c>
      <c r="AD13" s="155">
        <v>0</v>
      </c>
      <c r="AE13" s="155">
        <v>0</v>
      </c>
      <c r="AF13" s="183">
        <f>SUM(W13:AD13)</f>
        <v>42364.66</v>
      </c>
      <c r="AG13" s="193">
        <f>AF13+V13+D13</f>
        <v>42998.15</v>
      </c>
      <c r="AH13" s="194">
        <f t="shared" si="2"/>
        <v>0</v>
      </c>
      <c r="AI13" s="194">
        <f t="shared" si="2"/>
        <v>0</v>
      </c>
      <c r="AJ13" s="195">
        <f>'[13]Т04'!$J$18+'[13]Т04'!$J$23+'[13]Т04'!$J$87+'[13]Т04'!$J$96+'[13]Т04'!$J$113+'[13]Т04'!$J$134+'[13]Т04'!$J$195</f>
        <v>9423.388</v>
      </c>
      <c r="AK13" s="158">
        <f t="shared" si="3"/>
        <v>3588.2855</v>
      </c>
      <c r="AL13" s="158">
        <f t="shared" si="4"/>
        <v>1071.1299999999999</v>
      </c>
      <c r="AM13" s="158">
        <f t="shared" si="5"/>
        <v>5355.65</v>
      </c>
      <c r="AN13" s="158">
        <f t="shared" si="6"/>
        <v>1124.6864999999998</v>
      </c>
      <c r="AO13" s="158">
        <f t="shared" si="7"/>
        <v>10818.412999999999</v>
      </c>
      <c r="AP13" s="158">
        <f t="shared" si="8"/>
        <v>5516.3195</v>
      </c>
      <c r="AQ13" s="158">
        <f t="shared" si="9"/>
        <v>4016.7374999999997</v>
      </c>
      <c r="AR13" s="158">
        <f t="shared" si="10"/>
        <v>4016.7374999999997</v>
      </c>
      <c r="AS13" s="158"/>
      <c r="AT13" s="196">
        <f aca="true" t="shared" si="15" ref="AT13:AT21">0.45*1404.4</f>
        <v>631.98</v>
      </c>
      <c r="AU13" s="197">
        <v>20413</v>
      </c>
      <c r="AV13" s="197">
        <v>641</v>
      </c>
      <c r="AW13" s="197"/>
      <c r="AX13" s="197">
        <f>2133</f>
        <v>2133</v>
      </c>
      <c r="AY13" s="197"/>
      <c r="AZ13" s="121"/>
      <c r="BA13" s="196"/>
      <c r="BB13" s="196"/>
      <c r="BC13" s="151">
        <f t="shared" si="11"/>
        <v>59326.9395</v>
      </c>
      <c r="BD13" s="198">
        <f>'[12]Т04'!$S$18+'[12]Т04'!$S$23+'[12]Т04'!$S$87+'[12]Т04'!$S$96+'[12]Т04'!$S$113+'[12]Т04'!$S$134+'[12]Т04'!$S$195</f>
        <v>5016.546</v>
      </c>
      <c r="BE13" s="186">
        <f t="shared" si="12"/>
        <v>64343.4855</v>
      </c>
      <c r="BF13" s="186">
        <f t="shared" si="13"/>
        <v>-11921.947500000002</v>
      </c>
      <c r="BG13" s="186">
        <f t="shared" si="14"/>
        <v>-3559.3600000000006</v>
      </c>
    </row>
    <row r="14" spans="1:59" ht="12.75">
      <c r="A14" s="178" t="s">
        <v>49</v>
      </c>
      <c r="B14" s="199">
        <v>5355.65</v>
      </c>
      <c r="C14" s="131">
        <f t="shared" si="0"/>
        <v>45790.8075</v>
      </c>
      <c r="D14" s="106">
        <v>552.84</v>
      </c>
      <c r="E14" s="190">
        <v>0</v>
      </c>
      <c r="F14" s="152">
        <v>0</v>
      </c>
      <c r="G14" s="151">
        <v>27746.28</v>
      </c>
      <c r="H14" s="151">
        <v>54.29</v>
      </c>
      <c r="I14" s="151">
        <v>0</v>
      </c>
      <c r="J14" s="151">
        <v>0</v>
      </c>
      <c r="K14" s="151">
        <v>0</v>
      </c>
      <c r="L14" s="151">
        <v>0</v>
      </c>
      <c r="M14" s="151">
        <v>13474.1</v>
      </c>
      <c r="N14" s="151">
        <v>26.36</v>
      </c>
      <c r="O14" s="151">
        <v>4682.59</v>
      </c>
      <c r="P14" s="151">
        <v>0</v>
      </c>
      <c r="Q14" s="152">
        <v>0</v>
      </c>
      <c r="R14" s="152">
        <v>0</v>
      </c>
      <c r="S14" s="151">
        <v>0</v>
      </c>
      <c r="T14" s="155">
        <v>0</v>
      </c>
      <c r="U14" s="200">
        <f t="shared" si="1"/>
        <v>45902.97</v>
      </c>
      <c r="V14" s="201">
        <f>F14+H14+J14+L14+N14++R14+T14</f>
        <v>80.65</v>
      </c>
      <c r="W14" s="153">
        <v>45.63</v>
      </c>
      <c r="X14" s="155">
        <v>24063.41</v>
      </c>
      <c r="Y14" s="153">
        <v>61.8</v>
      </c>
      <c r="Z14" s="153">
        <v>101.1</v>
      </c>
      <c r="AA14" s="153">
        <v>11718.8</v>
      </c>
      <c r="AB14" s="153">
        <v>4058.31</v>
      </c>
      <c r="AC14" s="155">
        <v>0</v>
      </c>
      <c r="AD14" s="155">
        <v>0</v>
      </c>
      <c r="AE14" s="183">
        <v>0</v>
      </c>
      <c r="AF14" s="202">
        <f>SUM(W14:AE14)</f>
        <v>40049.049999999996</v>
      </c>
      <c r="AG14" s="193">
        <f aca="true" t="shared" si="16" ref="AG14:AG21">D14+V14+AF14</f>
        <v>40682.53999999999</v>
      </c>
      <c r="AH14" s="194">
        <f t="shared" si="2"/>
        <v>0</v>
      </c>
      <c r="AI14" s="194">
        <f t="shared" si="2"/>
        <v>0</v>
      </c>
      <c r="AJ14" s="195">
        <f>'[12]Т05'!$J$18+'[12]Т05'!$J$23+'[12]Т05'!$J$85+'[12]Т05'!$J$94+'[12]Т05'!$J$111+'[12]Т05'!$J$132+'[12]Т05'!$J$193</f>
        <v>8187.388000000001</v>
      </c>
      <c r="AK14" s="158">
        <f t="shared" si="3"/>
        <v>3588.2855</v>
      </c>
      <c r="AL14" s="158">
        <f t="shared" si="4"/>
        <v>1071.1299999999999</v>
      </c>
      <c r="AM14" s="158">
        <f t="shared" si="5"/>
        <v>5355.65</v>
      </c>
      <c r="AN14" s="158">
        <f t="shared" si="6"/>
        <v>1124.6864999999998</v>
      </c>
      <c r="AO14" s="158">
        <f t="shared" si="7"/>
        <v>10818.412999999999</v>
      </c>
      <c r="AP14" s="158">
        <f t="shared" si="8"/>
        <v>5516.3195</v>
      </c>
      <c r="AQ14" s="158">
        <f t="shared" si="9"/>
        <v>4016.7374999999997</v>
      </c>
      <c r="AR14" s="158">
        <f t="shared" si="10"/>
        <v>4016.7374999999997</v>
      </c>
      <c r="AS14" s="158"/>
      <c r="AT14" s="196">
        <f t="shared" si="15"/>
        <v>631.98</v>
      </c>
      <c r="AU14" s="197">
        <v>2692</v>
      </c>
      <c r="AV14" s="197">
        <v>147</v>
      </c>
      <c r="AW14" s="197"/>
      <c r="AX14" s="197">
        <f>17+125</f>
        <v>142</v>
      </c>
      <c r="AY14" s="197"/>
      <c r="AZ14" s="121"/>
      <c r="BA14" s="196"/>
      <c r="BB14" s="196"/>
      <c r="BC14" s="151">
        <f t="shared" si="11"/>
        <v>39120.9395</v>
      </c>
      <c r="BD14" s="198">
        <f>'[12]Т05'!$S$18+'[12]Т05'!$S$23+'[12]Т05'!$S$85+'[12]Т05'!$S$94+'[12]Т05'!$S$111+'[12]Т05'!$S$132+'[12]Т05'!$S$193</f>
        <v>5016.546</v>
      </c>
      <c r="BE14" s="186">
        <f t="shared" si="12"/>
        <v>44137.4855</v>
      </c>
      <c r="BF14" s="186">
        <f t="shared" si="13"/>
        <v>4732.44249999999</v>
      </c>
      <c r="BG14" s="186">
        <f t="shared" si="14"/>
        <v>-5853.9200000000055</v>
      </c>
    </row>
    <row r="15" spans="1:59" ht="12.75">
      <c r="A15" s="178" t="s">
        <v>50</v>
      </c>
      <c r="B15" s="203">
        <v>5356.75</v>
      </c>
      <c r="C15" s="131">
        <f t="shared" si="0"/>
        <v>45800.2125</v>
      </c>
      <c r="D15" s="106">
        <v>552.84</v>
      </c>
      <c r="E15" s="204">
        <v>-0.55</v>
      </c>
      <c r="F15" s="204"/>
      <c r="G15" s="204">
        <v>27755.29</v>
      </c>
      <c r="H15" s="204">
        <v>54.29</v>
      </c>
      <c r="I15" s="205">
        <v>-0.8</v>
      </c>
      <c r="J15" s="205"/>
      <c r="K15" s="205">
        <v>-1.32</v>
      </c>
      <c r="L15" s="205"/>
      <c r="M15" s="205">
        <v>13476.57</v>
      </c>
      <c r="N15" s="205">
        <v>26.36</v>
      </c>
      <c r="O15" s="205">
        <v>4683.65</v>
      </c>
      <c r="P15" s="205"/>
      <c r="Q15" s="205">
        <v>0</v>
      </c>
      <c r="R15" s="206"/>
      <c r="S15" s="206">
        <v>0</v>
      </c>
      <c r="T15" s="205"/>
      <c r="U15" s="207">
        <f t="shared" si="1"/>
        <v>45912.840000000004</v>
      </c>
      <c r="V15" s="208">
        <f t="shared" si="1"/>
        <v>80.65</v>
      </c>
      <c r="W15" s="209">
        <v>56.15</v>
      </c>
      <c r="X15" s="204">
        <v>23753.79</v>
      </c>
      <c r="Y15" s="204">
        <v>75.92</v>
      </c>
      <c r="Z15" s="204">
        <v>128.22</v>
      </c>
      <c r="AA15" s="204">
        <v>11947.5</v>
      </c>
      <c r="AB15" s="204">
        <v>6423.52</v>
      </c>
      <c r="AC15" s="204">
        <v>0</v>
      </c>
      <c r="AD15" s="204">
        <v>0</v>
      </c>
      <c r="AE15" s="210">
        <v>0</v>
      </c>
      <c r="AF15" s="211">
        <f aca="true" t="shared" si="17" ref="AF15:AF21">SUM(W15:AE15)</f>
        <v>42385.100000000006</v>
      </c>
      <c r="AG15" s="193">
        <f t="shared" si="16"/>
        <v>43018.590000000004</v>
      </c>
      <c r="AH15" s="194">
        <f t="shared" si="2"/>
        <v>0</v>
      </c>
      <c r="AI15" s="194">
        <f t="shared" si="2"/>
        <v>0</v>
      </c>
      <c r="AJ15" s="195">
        <f>'[12]Т06'!$J$18+'[12]Т06'!$J$23+'[12]Т06'!$J$85+'[12]Т06'!$J$94+'[12]Т06'!$J$111+'[12]Т06'!$J$132+'[12]Т06'!$J$193+'[12]Т06'!$J$210</f>
        <v>10368.028</v>
      </c>
      <c r="AK15" s="158">
        <f t="shared" si="3"/>
        <v>3589.0225</v>
      </c>
      <c r="AL15" s="158">
        <f t="shared" si="4"/>
        <v>1071.3500000000001</v>
      </c>
      <c r="AM15" s="158">
        <f t="shared" si="5"/>
        <v>5356.75</v>
      </c>
      <c r="AN15" s="158">
        <f t="shared" si="6"/>
        <v>1124.9175</v>
      </c>
      <c r="AO15" s="158">
        <f t="shared" si="7"/>
        <v>10820.635</v>
      </c>
      <c r="AP15" s="158">
        <f t="shared" si="8"/>
        <v>5517.4525</v>
      </c>
      <c r="AQ15" s="158">
        <f t="shared" si="9"/>
        <v>4017.5625</v>
      </c>
      <c r="AR15" s="158">
        <f t="shared" si="10"/>
        <v>4017.5625</v>
      </c>
      <c r="AS15" s="158"/>
      <c r="AT15" s="196">
        <f t="shared" si="15"/>
        <v>631.98</v>
      </c>
      <c r="AU15" s="197">
        <v>14454</v>
      </c>
      <c r="AV15" s="197">
        <v>1443</v>
      </c>
      <c r="AW15" s="197"/>
      <c r="AX15" s="197">
        <f>51+55.2</f>
        <v>106.2</v>
      </c>
      <c r="AY15" s="197"/>
      <c r="AZ15" s="158"/>
      <c r="BA15" s="196"/>
      <c r="BB15" s="196"/>
      <c r="BC15" s="212">
        <f t="shared" si="11"/>
        <v>52150.4325</v>
      </c>
      <c r="BD15" s="198">
        <f>'[12]Т06'!$S$18+'[12]Т06'!$S$23+'[12]Т06'!$S$85+'[12]Т06'!$S$94+'[12]Т06'!$S$111+'[12]Т06'!$S$132+'[12]Т06'!$S$193+'[12]Т06'!$S$210</f>
        <v>5755.186000000001</v>
      </c>
      <c r="BE15" s="186">
        <f t="shared" si="12"/>
        <v>57905.618500000004</v>
      </c>
      <c r="BF15" s="186">
        <f t="shared" si="13"/>
        <v>-4519.000500000002</v>
      </c>
      <c r="BG15" s="186">
        <f t="shared" si="14"/>
        <v>-3527.739999999998</v>
      </c>
    </row>
    <row r="16" spans="1:59" ht="12.75">
      <c r="A16" s="178" t="s">
        <v>51</v>
      </c>
      <c r="B16" s="150">
        <v>5356.75</v>
      </c>
      <c r="C16" s="131">
        <f t="shared" si="0"/>
        <v>45800.2125</v>
      </c>
      <c r="D16" s="106">
        <v>552.84</v>
      </c>
      <c r="E16" s="213"/>
      <c r="F16" s="213"/>
      <c r="G16" s="213">
        <v>27746.5</v>
      </c>
      <c r="H16" s="213">
        <v>54.29</v>
      </c>
      <c r="I16" s="213"/>
      <c r="J16" s="213"/>
      <c r="K16" s="213"/>
      <c r="L16" s="213"/>
      <c r="M16" s="213">
        <v>13474.17</v>
      </c>
      <c r="N16" s="213">
        <v>26.36</v>
      </c>
      <c r="O16" s="213">
        <v>4682.58</v>
      </c>
      <c r="P16" s="213"/>
      <c r="Q16" s="213"/>
      <c r="R16" s="213"/>
      <c r="S16" s="214"/>
      <c r="T16" s="209"/>
      <c r="U16" s="215">
        <f t="shared" si="1"/>
        <v>45903.25</v>
      </c>
      <c r="V16" s="216">
        <f t="shared" si="1"/>
        <v>80.65</v>
      </c>
      <c r="W16" s="217">
        <v>2541.75</v>
      </c>
      <c r="X16" s="213">
        <v>23328.1</v>
      </c>
      <c r="Y16" s="213">
        <v>792.14</v>
      </c>
      <c r="Z16" s="213">
        <v>141.04</v>
      </c>
      <c r="AA16" s="213">
        <v>14538.93</v>
      </c>
      <c r="AB16" s="213">
        <v>4528.68</v>
      </c>
      <c r="AC16" s="204"/>
      <c r="AD16" s="213"/>
      <c r="AE16" s="214"/>
      <c r="AF16" s="211">
        <f t="shared" si="17"/>
        <v>45870.64</v>
      </c>
      <c r="AG16" s="218">
        <f t="shared" si="16"/>
        <v>46504.13</v>
      </c>
      <c r="AH16" s="194">
        <f t="shared" si="2"/>
        <v>0</v>
      </c>
      <c r="AI16" s="194">
        <f t="shared" si="2"/>
        <v>0</v>
      </c>
      <c r="AJ16" s="195">
        <f>'[12]Т07'!$J$18+'[12]Т07'!$J$23+'[12]Т07'!$J$85+'[12]Т07'!$J$94+'[12]Т07'!$J$111+'[12]Т07'!$J$132+'[12]Т07'!$J$141+'[12]Т07'!$J$197</f>
        <v>14438.545999999998</v>
      </c>
      <c r="AK16" s="158">
        <f t="shared" si="3"/>
        <v>3589.0225</v>
      </c>
      <c r="AL16" s="158">
        <f t="shared" si="4"/>
        <v>1071.3500000000001</v>
      </c>
      <c r="AM16" s="158">
        <f t="shared" si="5"/>
        <v>5356.75</v>
      </c>
      <c r="AN16" s="158">
        <f t="shared" si="6"/>
        <v>1124.9175</v>
      </c>
      <c r="AO16" s="158">
        <f t="shared" si="7"/>
        <v>10820.635</v>
      </c>
      <c r="AP16" s="158">
        <f t="shared" si="8"/>
        <v>5517.4525</v>
      </c>
      <c r="AQ16" s="158">
        <f t="shared" si="9"/>
        <v>4017.5625</v>
      </c>
      <c r="AR16" s="158">
        <f t="shared" si="10"/>
        <v>4017.5625</v>
      </c>
      <c r="AS16" s="158"/>
      <c r="AT16" s="196">
        <f t="shared" si="15"/>
        <v>631.98</v>
      </c>
      <c r="AU16" s="197"/>
      <c r="AV16" s="197"/>
      <c r="AW16" s="197"/>
      <c r="AX16" s="197">
        <f>74.43+18.86</f>
        <v>93.29</v>
      </c>
      <c r="AY16" s="197"/>
      <c r="AZ16" s="121"/>
      <c r="BA16" s="196">
        <v>33054</v>
      </c>
      <c r="BB16" s="196"/>
      <c r="BC16" s="151">
        <f t="shared" si="11"/>
        <v>69294.5225</v>
      </c>
      <c r="BD16" s="198">
        <f>'[12]Т07'!$S$18+'[12]Т07'!$S$23+'[12]Т07'!$S$85+'[12]Т07'!$S$94+'[12]Т07'!$S$111+'[12]Т07'!$S$132+'[12]Т07'!$S$141+'[12]Т07'!$S$197</f>
        <v>5809.393999999999</v>
      </c>
      <c r="BE16" s="186">
        <f t="shared" si="12"/>
        <v>75103.9165</v>
      </c>
      <c r="BF16" s="186">
        <f t="shared" si="13"/>
        <v>-14161.240500000014</v>
      </c>
      <c r="BG16" s="186">
        <f t="shared" si="14"/>
        <v>-32.61000000000058</v>
      </c>
    </row>
    <row r="17" spans="1:59" ht="12.75">
      <c r="A17" s="178" t="s">
        <v>52</v>
      </c>
      <c r="B17" s="150">
        <v>5356.75</v>
      </c>
      <c r="C17" s="131">
        <f t="shared" si="0"/>
        <v>45800.2125</v>
      </c>
      <c r="D17" s="106">
        <v>552.84</v>
      </c>
      <c r="E17" s="267"/>
      <c r="F17" s="267"/>
      <c r="G17" s="267">
        <v>27745.25</v>
      </c>
      <c r="H17" s="267">
        <v>54.29</v>
      </c>
      <c r="I17" s="267"/>
      <c r="J17" s="267"/>
      <c r="K17" s="267"/>
      <c r="L17" s="267"/>
      <c r="M17" s="267">
        <v>13473.57</v>
      </c>
      <c r="N17" s="267">
        <v>26.36</v>
      </c>
      <c r="O17" s="267">
        <v>4682.35</v>
      </c>
      <c r="P17" s="267"/>
      <c r="Q17" s="267"/>
      <c r="R17" s="267"/>
      <c r="S17" s="268"/>
      <c r="T17" s="210"/>
      <c r="U17" s="219">
        <f t="shared" si="1"/>
        <v>45901.17</v>
      </c>
      <c r="V17" s="220">
        <f t="shared" si="1"/>
        <v>80.65</v>
      </c>
      <c r="W17" s="213">
        <v>76.52</v>
      </c>
      <c r="X17" s="213">
        <v>25048.02</v>
      </c>
      <c r="Y17" s="213">
        <v>103.55</v>
      </c>
      <c r="Z17" s="213">
        <v>172.39</v>
      </c>
      <c r="AA17" s="213">
        <v>12327.6</v>
      </c>
      <c r="AB17" s="213">
        <v>4274.24</v>
      </c>
      <c r="AC17" s="213"/>
      <c r="AD17" s="213"/>
      <c r="AE17" s="214"/>
      <c r="AF17" s="211">
        <f t="shared" si="17"/>
        <v>42002.32</v>
      </c>
      <c r="AG17" s="218">
        <f t="shared" si="16"/>
        <v>42635.81</v>
      </c>
      <c r="AH17" s="194">
        <f t="shared" si="2"/>
        <v>0</v>
      </c>
      <c r="AI17" s="194">
        <f t="shared" si="2"/>
        <v>0</v>
      </c>
      <c r="AJ17" s="195">
        <f>'[12]Т08'!$J$18+'[12]Т08'!$J$23+'[12]Т08'!$J$85+'[12]Т08'!$J$94+'[12]Т08'!$J$111+'[12]Т08'!$J$132+'[12]Т08'!$J$141+'[12]Т08'!$J$144+'[12]Т08'!$J$201</f>
        <v>9726.806000000002</v>
      </c>
      <c r="AK17" s="158">
        <f t="shared" si="3"/>
        <v>3589.0225</v>
      </c>
      <c r="AL17" s="158">
        <f t="shared" si="4"/>
        <v>1071.3500000000001</v>
      </c>
      <c r="AM17" s="158">
        <f t="shared" si="5"/>
        <v>5356.75</v>
      </c>
      <c r="AN17" s="158">
        <f t="shared" si="6"/>
        <v>1124.9175</v>
      </c>
      <c r="AO17" s="158">
        <f t="shared" si="7"/>
        <v>10820.635</v>
      </c>
      <c r="AP17" s="158">
        <f t="shared" si="8"/>
        <v>5517.4525</v>
      </c>
      <c r="AQ17" s="158">
        <f t="shared" si="9"/>
        <v>4017.5625</v>
      </c>
      <c r="AR17" s="158">
        <f t="shared" si="10"/>
        <v>4017.5625</v>
      </c>
      <c r="AS17" s="158"/>
      <c r="AT17" s="196">
        <f t="shared" si="15"/>
        <v>631.98</v>
      </c>
      <c r="AU17" s="197"/>
      <c r="AV17" s="197"/>
      <c r="AW17" s="197">
        <f>4666</f>
        <v>4666</v>
      </c>
      <c r="AX17" s="197">
        <f>40+15.2</f>
        <v>55.2</v>
      </c>
      <c r="AY17" s="197"/>
      <c r="AZ17" s="121"/>
      <c r="BA17" s="196"/>
      <c r="BB17" s="196"/>
      <c r="BC17" s="151">
        <f t="shared" si="11"/>
        <v>40868.4325</v>
      </c>
      <c r="BD17" s="198">
        <f>'[12]Т08'!$S$18+'[12]Т08'!$S$23+'[12]Т08'!$S$85+'[12]Т08'!$S$94+'[12]Т08'!$S$111+'[12]Т08'!$S$132+'[12]Т08'!$S$141+'[12]Т08'!$S$144+'[12]Т08'!$S$201</f>
        <v>5954.672</v>
      </c>
      <c r="BE17" s="186">
        <f t="shared" si="12"/>
        <v>46823.1045</v>
      </c>
      <c r="BF17" s="186">
        <f t="shared" si="13"/>
        <v>5539.5115000000005</v>
      </c>
      <c r="BG17" s="186">
        <f t="shared" si="14"/>
        <v>-3898.8499999999985</v>
      </c>
    </row>
    <row r="18" spans="1:59" ht="12.75">
      <c r="A18" s="178" t="s">
        <v>53</v>
      </c>
      <c r="B18" s="269">
        <v>5355.45</v>
      </c>
      <c r="C18" s="131">
        <f t="shared" si="0"/>
        <v>45789.0975</v>
      </c>
      <c r="D18" s="223">
        <v>504.492</v>
      </c>
      <c r="E18" s="213"/>
      <c r="F18" s="213"/>
      <c r="G18" s="213">
        <v>28297.23</v>
      </c>
      <c r="H18" s="213"/>
      <c r="I18" s="213"/>
      <c r="J18" s="213"/>
      <c r="K18" s="213"/>
      <c r="L18" s="213"/>
      <c r="M18" s="213">
        <v>13741.65</v>
      </c>
      <c r="N18" s="213"/>
      <c r="O18" s="213">
        <v>4766.28</v>
      </c>
      <c r="P18" s="213"/>
      <c r="Q18" s="213"/>
      <c r="R18" s="213"/>
      <c r="S18" s="214"/>
      <c r="T18" s="221"/>
      <c r="U18" s="221">
        <f t="shared" si="1"/>
        <v>46805.159999999996</v>
      </c>
      <c r="V18" s="222">
        <f t="shared" si="1"/>
        <v>0</v>
      </c>
      <c r="W18" s="213">
        <v>160.01</v>
      </c>
      <c r="X18" s="213">
        <v>25279.54</v>
      </c>
      <c r="Y18" s="213">
        <v>271.01</v>
      </c>
      <c r="Z18" s="213">
        <v>450.97</v>
      </c>
      <c r="AA18" s="213">
        <v>12336.63</v>
      </c>
      <c r="AB18" s="213">
        <v>4310.37</v>
      </c>
      <c r="AC18" s="213"/>
      <c r="AD18" s="213"/>
      <c r="AE18" s="214"/>
      <c r="AF18" s="211">
        <f t="shared" si="17"/>
        <v>42808.53</v>
      </c>
      <c r="AG18" s="218">
        <f t="shared" si="16"/>
        <v>43313.022</v>
      </c>
      <c r="AH18" s="194">
        <f t="shared" si="2"/>
        <v>0</v>
      </c>
      <c r="AI18" s="194">
        <f t="shared" si="2"/>
        <v>0</v>
      </c>
      <c r="AJ18" s="195">
        <f>'[12]Т09'!$J$18+'[12]Т09'!$J$23+'[12]Т09'!$J$85+'[12]Т09'!$J$94+'[12]Т09'!$J$111+'[12]Т09'!$J$132+'[12]Т09'!$J$141+'[12]Т09'!$J$144+'[12]Т09'!$J$201</f>
        <v>9726.806000000002</v>
      </c>
      <c r="AK18" s="158">
        <f t="shared" si="3"/>
        <v>3588.1515</v>
      </c>
      <c r="AL18" s="158">
        <f t="shared" si="4"/>
        <v>1071.09</v>
      </c>
      <c r="AM18" s="158">
        <f t="shared" si="5"/>
        <v>5355.45</v>
      </c>
      <c r="AN18" s="158">
        <f t="shared" si="6"/>
        <v>1124.6444999999999</v>
      </c>
      <c r="AO18" s="158">
        <f t="shared" si="7"/>
        <v>10818.009</v>
      </c>
      <c r="AP18" s="158">
        <f t="shared" si="8"/>
        <v>5516.1135</v>
      </c>
      <c r="AQ18" s="158">
        <f t="shared" si="9"/>
        <v>4016.5874999999996</v>
      </c>
      <c r="AR18" s="158">
        <f t="shared" si="10"/>
        <v>4016.5874999999996</v>
      </c>
      <c r="AS18" s="158"/>
      <c r="AT18" s="196">
        <f t="shared" si="15"/>
        <v>631.98</v>
      </c>
      <c r="AU18" s="197"/>
      <c r="AV18" s="197"/>
      <c r="AW18" s="197"/>
      <c r="AX18" s="197">
        <f>279.32</f>
        <v>279.32</v>
      </c>
      <c r="AY18" s="197"/>
      <c r="AZ18" s="121"/>
      <c r="BA18" s="196"/>
      <c r="BB18" s="196"/>
      <c r="BC18" s="151">
        <f t="shared" si="11"/>
        <v>36417.93350000001</v>
      </c>
      <c r="BD18" s="198">
        <f>'[12]Т08'!$S$18+'[12]Т08'!$S$23+'[12]Т08'!$S$85+'[12]Т08'!$S$94+'[12]Т08'!$S$111+'[12]Т08'!$S$132+'[12]Т08'!$S$141+'[12]Т08'!$S$144+'[12]Т08'!$S$201</f>
        <v>5954.672</v>
      </c>
      <c r="BE18" s="186">
        <f t="shared" si="12"/>
        <v>42372.605500000005</v>
      </c>
      <c r="BF18" s="186">
        <f t="shared" si="13"/>
        <v>10667.222499999996</v>
      </c>
      <c r="BG18" s="186">
        <f t="shared" si="14"/>
        <v>-3996.6299999999974</v>
      </c>
    </row>
    <row r="19" spans="1:59" ht="12.75">
      <c r="A19" s="178" t="s">
        <v>41</v>
      </c>
      <c r="B19" s="150">
        <v>5355.45</v>
      </c>
      <c r="C19" s="131">
        <f t="shared" si="0"/>
        <v>45789.0975</v>
      </c>
      <c r="D19" s="223">
        <v>504.492</v>
      </c>
      <c r="E19" s="204"/>
      <c r="F19" s="204"/>
      <c r="G19" s="204">
        <v>28170.54</v>
      </c>
      <c r="H19" s="204">
        <v>108.58</v>
      </c>
      <c r="I19" s="204"/>
      <c r="J19" s="204"/>
      <c r="K19" s="204"/>
      <c r="L19" s="204"/>
      <c r="M19" s="204">
        <v>13680.05</v>
      </c>
      <c r="N19" s="204">
        <v>52.7</v>
      </c>
      <c r="O19" s="204">
        <v>4763.11</v>
      </c>
      <c r="P19" s="204"/>
      <c r="Q19" s="204"/>
      <c r="R19" s="204"/>
      <c r="S19" s="210"/>
      <c r="T19" s="224"/>
      <c r="U19" s="225">
        <f t="shared" si="1"/>
        <v>46613.7</v>
      </c>
      <c r="V19" s="226">
        <f t="shared" si="1"/>
        <v>161.28</v>
      </c>
      <c r="W19" s="204">
        <v>0</v>
      </c>
      <c r="X19" s="204">
        <v>30683.97</v>
      </c>
      <c r="Y19" s="204">
        <v>0</v>
      </c>
      <c r="Z19" s="204">
        <v>0</v>
      </c>
      <c r="AA19" s="204">
        <v>16702.87</v>
      </c>
      <c r="AB19" s="204">
        <v>8082.53</v>
      </c>
      <c r="AC19" s="204"/>
      <c r="AD19" s="204"/>
      <c r="AE19" s="210"/>
      <c r="AF19" s="211">
        <f t="shared" si="17"/>
        <v>55469.369999999995</v>
      </c>
      <c r="AG19" s="218">
        <f t="shared" si="16"/>
        <v>56135.14199999999</v>
      </c>
      <c r="AH19" s="194">
        <f t="shared" si="2"/>
        <v>0</v>
      </c>
      <c r="AI19" s="194">
        <f t="shared" si="2"/>
        <v>0</v>
      </c>
      <c r="AJ19" s="195">
        <f>'[14]Т10'!$J$18+'[14]Т10'!$J$23+'[14]Т10'!$J$85+'[14]Т10'!$J$94+'[14]Т10'!$J$111+'[14]Т10'!$J$132+'[14]Т10'!$J$141+'[14]Т10'!$J$144+'[14]Т10'!$J$201</f>
        <v>9726.806000000002</v>
      </c>
      <c r="AK19" s="158">
        <f t="shared" si="3"/>
        <v>3588.1515</v>
      </c>
      <c r="AL19" s="158">
        <f t="shared" si="4"/>
        <v>1071.09</v>
      </c>
      <c r="AM19" s="158">
        <f t="shared" si="5"/>
        <v>5355.45</v>
      </c>
      <c r="AN19" s="158">
        <f t="shared" si="6"/>
        <v>1124.6444999999999</v>
      </c>
      <c r="AO19" s="158">
        <f t="shared" si="7"/>
        <v>10818.009</v>
      </c>
      <c r="AP19" s="158">
        <f t="shared" si="8"/>
        <v>5516.1135</v>
      </c>
      <c r="AQ19" s="158">
        <f t="shared" si="9"/>
        <v>4016.5874999999996</v>
      </c>
      <c r="AR19" s="158">
        <f t="shared" si="10"/>
        <v>4016.5874999999996</v>
      </c>
      <c r="AS19" s="227">
        <f>B19*1.15</f>
        <v>6158.767499999999</v>
      </c>
      <c r="AT19" s="196">
        <f t="shared" si="15"/>
        <v>631.98</v>
      </c>
      <c r="AU19" s="197">
        <v>2106</v>
      </c>
      <c r="AV19" s="197"/>
      <c r="AW19" s="197">
        <v>1345</v>
      </c>
      <c r="AX19" s="197">
        <f>83.6+141+8+159.9+17562.25</f>
        <v>17954.75</v>
      </c>
      <c r="AY19" s="197"/>
      <c r="AZ19" s="121"/>
      <c r="BA19" s="196"/>
      <c r="BB19" s="196"/>
      <c r="BC19" s="151">
        <f t="shared" si="11"/>
        <v>63703.13100000001</v>
      </c>
      <c r="BD19" s="198">
        <f>'[12]Т10'!$S$18+'[12]Т10'!$S$23+'[12]Т10'!$S$85+'[12]Т10'!$S$94+'[12]Т10'!$S$111+'[12]Т10'!$S$132+'[12]Т10'!$S$141+'[12]Т10'!$S$144+'[12]Т10'!$S$201</f>
        <v>5954.672</v>
      </c>
      <c r="BE19" s="186">
        <f t="shared" si="12"/>
        <v>69657.80300000001</v>
      </c>
      <c r="BF19" s="186">
        <f t="shared" si="13"/>
        <v>-3795.855000000025</v>
      </c>
      <c r="BG19" s="186">
        <f t="shared" si="14"/>
        <v>8855.669999999998</v>
      </c>
    </row>
    <row r="20" spans="1:59" ht="12.75">
      <c r="A20" s="178" t="s">
        <v>42</v>
      </c>
      <c r="B20" s="150">
        <v>5355.45</v>
      </c>
      <c r="C20" s="131">
        <f t="shared" si="0"/>
        <v>45789.0975</v>
      </c>
      <c r="D20" s="223">
        <v>504.492</v>
      </c>
      <c r="E20" s="204"/>
      <c r="F20" s="204"/>
      <c r="G20" s="204">
        <v>28226.72</v>
      </c>
      <c r="H20" s="204">
        <v>54.29</v>
      </c>
      <c r="I20" s="204"/>
      <c r="J20" s="204"/>
      <c r="K20" s="204"/>
      <c r="L20" s="204"/>
      <c r="M20" s="204">
        <v>13707.34</v>
      </c>
      <c r="N20" s="204">
        <v>26.35</v>
      </c>
      <c r="O20" s="204">
        <v>4763.44</v>
      </c>
      <c r="P20" s="204"/>
      <c r="Q20" s="204"/>
      <c r="R20" s="204"/>
      <c r="S20" s="210"/>
      <c r="T20" s="224"/>
      <c r="U20" s="225">
        <f t="shared" si="1"/>
        <v>46697.5</v>
      </c>
      <c r="V20" s="226">
        <f t="shared" si="1"/>
        <v>80.64</v>
      </c>
      <c r="W20" s="204">
        <v>0</v>
      </c>
      <c r="X20" s="204">
        <v>23249.12</v>
      </c>
      <c r="Y20" s="204">
        <v>0</v>
      </c>
      <c r="Z20" s="204">
        <v>0</v>
      </c>
      <c r="AA20" s="204">
        <v>11232.79</v>
      </c>
      <c r="AB20" s="204">
        <v>3914.03</v>
      </c>
      <c r="AC20" s="204"/>
      <c r="AD20" s="204"/>
      <c r="AE20" s="210"/>
      <c r="AF20" s="211">
        <f t="shared" si="17"/>
        <v>38395.94</v>
      </c>
      <c r="AG20" s="218">
        <f t="shared" si="16"/>
        <v>38981.072</v>
      </c>
      <c r="AH20" s="194">
        <f t="shared" si="2"/>
        <v>0</v>
      </c>
      <c r="AI20" s="194">
        <f t="shared" si="2"/>
        <v>0</v>
      </c>
      <c r="AJ20" s="195">
        <f>'[12]Т11'!$J$18+'[12]Т11'!$J$23+'[12]Т11'!$J$85+'[12]Т11'!$J$94+'[12]Т11'!$J$111+'[12]Т11'!$J$132+'[12]Т11'!$J$141+'[12]Т11'!$J$144+'[12]Т11'!$J$201</f>
        <v>9726.806000000002</v>
      </c>
      <c r="AK20" s="158">
        <f t="shared" si="3"/>
        <v>3588.1515</v>
      </c>
      <c r="AL20" s="158">
        <f t="shared" si="4"/>
        <v>1071.09</v>
      </c>
      <c r="AM20" s="158">
        <f t="shared" si="5"/>
        <v>5355.45</v>
      </c>
      <c r="AN20" s="158">
        <f t="shared" si="6"/>
        <v>1124.6444999999999</v>
      </c>
      <c r="AO20" s="158">
        <f t="shared" si="7"/>
        <v>10818.009</v>
      </c>
      <c r="AP20" s="158">
        <f t="shared" si="8"/>
        <v>5516.1135</v>
      </c>
      <c r="AQ20" s="158">
        <f t="shared" si="9"/>
        <v>4016.5874999999996</v>
      </c>
      <c r="AR20" s="158">
        <f t="shared" si="10"/>
        <v>4016.5874999999996</v>
      </c>
      <c r="AS20" s="227">
        <f>B20*1.15</f>
        <v>6158.767499999999</v>
      </c>
      <c r="AT20" s="196">
        <f t="shared" si="15"/>
        <v>631.98</v>
      </c>
      <c r="AU20" s="197">
        <v>788</v>
      </c>
      <c r="AV20" s="197"/>
      <c r="AW20" s="197"/>
      <c r="AX20" s="197">
        <f>87.8</f>
        <v>87.8</v>
      </c>
      <c r="AY20" s="197"/>
      <c r="AZ20" s="121"/>
      <c r="BA20" s="196"/>
      <c r="BB20" s="196"/>
      <c r="BC20" s="151">
        <f t="shared" si="11"/>
        <v>43173.18100000001</v>
      </c>
      <c r="BD20" s="198">
        <f>'[12]Т11'!$S$18+'[12]Т11'!$S$23+'[12]Т11'!$S$85+'[12]Т11'!$S$94+'[12]Т11'!$S$111+'[12]Т11'!$S$132+'[12]Т11'!$S$141+'[12]Т11'!$S$144+'[12]Т11'!$S$201</f>
        <v>5954.672</v>
      </c>
      <c r="BE20" s="186">
        <f t="shared" si="12"/>
        <v>49127.85300000001</v>
      </c>
      <c r="BF20" s="186">
        <f t="shared" si="13"/>
        <v>-419.9750000000058</v>
      </c>
      <c r="BG20" s="186">
        <f t="shared" si="14"/>
        <v>-8301.559999999998</v>
      </c>
    </row>
    <row r="21" spans="1:59" ht="13.5" thickBot="1">
      <c r="A21" s="178" t="s">
        <v>43</v>
      </c>
      <c r="B21" s="150">
        <v>5355.45</v>
      </c>
      <c r="C21" s="131">
        <f t="shared" si="0"/>
        <v>45789.0975</v>
      </c>
      <c r="D21" s="223">
        <v>504.492</v>
      </c>
      <c r="E21" s="228"/>
      <c r="F21" s="228"/>
      <c r="G21" s="228">
        <v>28229.26</v>
      </c>
      <c r="H21" s="228">
        <v>54.29</v>
      </c>
      <c r="I21" s="228"/>
      <c r="J21" s="228"/>
      <c r="K21" s="228"/>
      <c r="L21" s="228"/>
      <c r="M21" s="228">
        <v>13708.58</v>
      </c>
      <c r="N21" s="228">
        <v>26.35</v>
      </c>
      <c r="O21" s="228">
        <v>4763.87</v>
      </c>
      <c r="P21" s="228"/>
      <c r="Q21" s="228"/>
      <c r="R21" s="228"/>
      <c r="S21" s="229"/>
      <c r="T21" s="230"/>
      <c r="U21" s="225">
        <f t="shared" si="1"/>
        <v>46701.71</v>
      </c>
      <c r="V21" s="226">
        <f t="shared" si="1"/>
        <v>80.64</v>
      </c>
      <c r="W21" s="204">
        <v>0</v>
      </c>
      <c r="X21" s="204">
        <v>40745.89</v>
      </c>
      <c r="Y21" s="204">
        <v>0</v>
      </c>
      <c r="Z21" s="204">
        <v>0</v>
      </c>
      <c r="AA21" s="204">
        <v>18457.61</v>
      </c>
      <c r="AB21" s="204">
        <v>6400.06</v>
      </c>
      <c r="AC21" s="204"/>
      <c r="AD21" s="204"/>
      <c r="AE21" s="210"/>
      <c r="AF21" s="211">
        <f t="shared" si="17"/>
        <v>65603.56</v>
      </c>
      <c r="AG21" s="218">
        <f t="shared" si="16"/>
        <v>66188.692</v>
      </c>
      <c r="AH21" s="194">
        <f t="shared" si="2"/>
        <v>0</v>
      </c>
      <c r="AI21" s="194">
        <f t="shared" si="2"/>
        <v>0</v>
      </c>
      <c r="AJ21" s="195">
        <f>'[12]Т12'!$J$18+'[12]Т12'!$J$23+'[12]Т12'!$J$85+'[12]Т12'!$J$94+'[12]Т12'!$J$111+'[12]Т12'!$J$132+'[12]Т12'!$J$141+'[12]Т12'!$J$144+'[12]Т12'!$J$156+'[12]Т12'!$J$221</f>
        <v>10926.806000000002</v>
      </c>
      <c r="AK21" s="158">
        <f t="shared" si="3"/>
        <v>3588.1515</v>
      </c>
      <c r="AL21" s="158">
        <f t="shared" si="4"/>
        <v>1071.09</v>
      </c>
      <c r="AM21" s="158">
        <f t="shared" si="5"/>
        <v>5355.45</v>
      </c>
      <c r="AN21" s="158">
        <f t="shared" si="6"/>
        <v>1124.6444999999999</v>
      </c>
      <c r="AO21" s="158">
        <f t="shared" si="7"/>
        <v>10818.009</v>
      </c>
      <c r="AP21" s="158">
        <f t="shared" si="8"/>
        <v>5516.1135</v>
      </c>
      <c r="AQ21" s="158">
        <f t="shared" si="9"/>
        <v>4016.5874999999996</v>
      </c>
      <c r="AR21" s="158">
        <f t="shared" si="10"/>
        <v>4016.5874999999996</v>
      </c>
      <c r="AS21" s="227">
        <f>B21*1.15</f>
        <v>6158.767499999999</v>
      </c>
      <c r="AT21" s="196">
        <f t="shared" si="15"/>
        <v>631.98</v>
      </c>
      <c r="AU21" s="197"/>
      <c r="AV21" s="197">
        <v>76</v>
      </c>
      <c r="AW21" s="197"/>
      <c r="AX21" s="197"/>
      <c r="AY21" s="197"/>
      <c r="AZ21" s="121"/>
      <c r="BA21" s="196"/>
      <c r="BB21" s="196"/>
      <c r="BC21" s="151">
        <f t="shared" si="11"/>
        <v>42373.38100000001</v>
      </c>
      <c r="BD21" s="198">
        <f>'[12]Т12'!$S$18+'[12]Т12'!$S$23+'[12]Т12'!$S$85+'[12]Т12'!$S$94+'[12]Т12'!$S$111+'[12]Т12'!$S$132+'[12]Т12'!$S$141+'[12]Т12'!$S$144+'[12]Т12'!$S$156+'[12]Т12'!$S$221</f>
        <v>6254.672</v>
      </c>
      <c r="BE21" s="186">
        <f t="shared" si="12"/>
        <v>48628.05300000001</v>
      </c>
      <c r="BF21" s="186">
        <f t="shared" si="13"/>
        <v>28487.444999999985</v>
      </c>
      <c r="BG21" s="186">
        <f t="shared" si="14"/>
        <v>18901.85</v>
      </c>
    </row>
    <row r="22" spans="1:59" s="20" customFormat="1" ht="13.5" thickBot="1">
      <c r="A22" s="231" t="s">
        <v>5</v>
      </c>
      <c r="B22" s="232"/>
      <c r="C22" s="233">
        <f aca="true" t="shared" si="18" ref="C22:BF22">SUM(C10:C21)</f>
        <v>549511.0650000002</v>
      </c>
      <c r="D22" s="233">
        <f t="shared" si="18"/>
        <v>6440.688000000001</v>
      </c>
      <c r="E22" s="233">
        <f t="shared" si="18"/>
        <v>-0.55</v>
      </c>
      <c r="F22" s="233">
        <f t="shared" si="18"/>
        <v>0</v>
      </c>
      <c r="G22" s="233">
        <f t="shared" si="18"/>
        <v>334982.37</v>
      </c>
      <c r="H22" s="233">
        <f t="shared" si="18"/>
        <v>542.9</v>
      </c>
      <c r="I22" s="233">
        <f t="shared" si="18"/>
        <v>-0.8</v>
      </c>
      <c r="J22" s="233">
        <f t="shared" si="18"/>
        <v>0</v>
      </c>
      <c r="K22" s="233">
        <f t="shared" si="18"/>
        <v>-1.32</v>
      </c>
      <c r="L22" s="233">
        <f t="shared" si="18"/>
        <v>0</v>
      </c>
      <c r="M22" s="233">
        <f t="shared" si="18"/>
        <v>162671.79999999996</v>
      </c>
      <c r="N22" s="233">
        <f t="shared" si="18"/>
        <v>289.9200000000001</v>
      </c>
      <c r="O22" s="233">
        <f t="shared" si="18"/>
        <v>56532.26</v>
      </c>
      <c r="P22" s="233">
        <f t="shared" si="18"/>
        <v>0</v>
      </c>
      <c r="Q22" s="233">
        <f t="shared" si="18"/>
        <v>0</v>
      </c>
      <c r="R22" s="233">
        <f t="shared" si="18"/>
        <v>0</v>
      </c>
      <c r="S22" s="233">
        <f t="shared" si="18"/>
        <v>0</v>
      </c>
      <c r="T22" s="233">
        <f t="shared" si="18"/>
        <v>0</v>
      </c>
      <c r="U22" s="233">
        <f t="shared" si="18"/>
        <v>554183.76</v>
      </c>
      <c r="V22" s="233">
        <f t="shared" si="18"/>
        <v>832.8199999999999</v>
      </c>
      <c r="W22" s="233">
        <f t="shared" si="18"/>
        <v>7137.42</v>
      </c>
      <c r="X22" s="233">
        <f t="shared" si="18"/>
        <v>287330.36</v>
      </c>
      <c r="Y22" s="233">
        <f t="shared" si="18"/>
        <v>7069.100000000001</v>
      </c>
      <c r="Z22" s="233">
        <f t="shared" si="18"/>
        <v>12190.46</v>
      </c>
      <c r="AA22" s="233">
        <f t="shared" si="18"/>
        <v>160019.97000000003</v>
      </c>
      <c r="AB22" s="233">
        <f t="shared" si="18"/>
        <v>57384.33</v>
      </c>
      <c r="AC22" s="233">
        <f t="shared" si="18"/>
        <v>0</v>
      </c>
      <c r="AD22" s="233">
        <f t="shared" si="18"/>
        <v>0</v>
      </c>
      <c r="AE22" s="233">
        <f t="shared" si="18"/>
        <v>0</v>
      </c>
      <c r="AF22" s="233">
        <f t="shared" si="18"/>
        <v>531131.64</v>
      </c>
      <c r="AG22" s="233">
        <f t="shared" si="18"/>
        <v>538405.1479999999</v>
      </c>
      <c r="AH22" s="233">
        <f t="shared" si="18"/>
        <v>0</v>
      </c>
      <c r="AI22" s="233">
        <f t="shared" si="18"/>
        <v>0</v>
      </c>
      <c r="AJ22" s="233">
        <f t="shared" si="18"/>
        <v>115577.54399999998</v>
      </c>
      <c r="AK22" s="233">
        <f t="shared" si="18"/>
        <v>43061.100999999995</v>
      </c>
      <c r="AL22" s="233">
        <f t="shared" si="18"/>
        <v>12854.060000000001</v>
      </c>
      <c r="AM22" s="233">
        <f t="shared" si="18"/>
        <v>64270.29999999999</v>
      </c>
      <c r="AN22" s="233">
        <f t="shared" si="18"/>
        <v>13496.762999999999</v>
      </c>
      <c r="AO22" s="233">
        <f t="shared" si="18"/>
        <v>129826.00600000001</v>
      </c>
      <c r="AP22" s="233">
        <f t="shared" si="18"/>
        <v>66198.409</v>
      </c>
      <c r="AQ22" s="233">
        <f t="shared" si="18"/>
        <v>48202.725000000006</v>
      </c>
      <c r="AR22" s="233">
        <f t="shared" si="18"/>
        <v>48202.725000000006</v>
      </c>
      <c r="AS22" s="233">
        <f t="shared" si="18"/>
        <v>36953.295</v>
      </c>
      <c r="AT22" s="233">
        <f t="shared" si="18"/>
        <v>7583.759999999998</v>
      </c>
      <c r="AU22" s="233">
        <f t="shared" si="18"/>
        <v>46283</v>
      </c>
      <c r="AV22" s="233">
        <f t="shared" si="18"/>
        <v>5034</v>
      </c>
      <c r="AW22" s="233">
        <f t="shared" si="18"/>
        <v>6011</v>
      </c>
      <c r="AX22" s="233">
        <f t="shared" si="18"/>
        <v>93906.50999999998</v>
      </c>
      <c r="AY22" s="233">
        <f t="shared" si="18"/>
        <v>0</v>
      </c>
      <c r="AZ22" s="233">
        <f t="shared" si="18"/>
        <v>0</v>
      </c>
      <c r="BA22" s="233">
        <f t="shared" si="18"/>
        <v>33054</v>
      </c>
      <c r="BB22" s="233">
        <f t="shared" si="18"/>
        <v>0</v>
      </c>
      <c r="BC22" s="233">
        <f t="shared" si="18"/>
        <v>654937.654</v>
      </c>
      <c r="BD22" s="233">
        <f t="shared" si="18"/>
        <v>66770.67</v>
      </c>
      <c r="BE22" s="470">
        <f t="shared" si="18"/>
        <v>721708.324</v>
      </c>
      <c r="BF22" s="470">
        <f t="shared" si="18"/>
        <v>-67725.6320000001</v>
      </c>
      <c r="BG22" s="470">
        <f>SUM(BG10:BG21)</f>
        <v>-23052.120000000003</v>
      </c>
    </row>
    <row r="23" spans="1:59" s="20" customFormat="1" ht="13.5" thickBot="1">
      <c r="A23" s="234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471"/>
      <c r="BF23" s="472"/>
      <c r="BG23" s="473"/>
    </row>
    <row r="24" spans="1:59" s="20" customFormat="1" ht="13.5" thickBot="1">
      <c r="A24" s="22" t="s">
        <v>54</v>
      </c>
      <c r="B24" s="235"/>
      <c r="C24" s="236">
        <f aca="true" t="shared" si="19" ref="C24:BG24">C22+C8</f>
        <v>1800560.5650000002</v>
      </c>
      <c r="D24" s="236">
        <f t="shared" si="19"/>
        <v>146972.79141184993</v>
      </c>
      <c r="E24" s="236">
        <f t="shared" si="19"/>
        <v>106040.07999999999</v>
      </c>
      <c r="F24" s="236">
        <f t="shared" si="19"/>
        <v>20971.36</v>
      </c>
      <c r="G24" s="236">
        <f t="shared" si="19"/>
        <v>334982.37</v>
      </c>
      <c r="H24" s="236">
        <f t="shared" si="19"/>
        <v>542.9</v>
      </c>
      <c r="I24" s="236">
        <f t="shared" si="19"/>
        <v>143501.76</v>
      </c>
      <c r="J24" s="236">
        <f t="shared" si="19"/>
        <v>28391.09</v>
      </c>
      <c r="K24" s="236">
        <f t="shared" si="19"/>
        <v>241697.90000000002</v>
      </c>
      <c r="L24" s="236">
        <f t="shared" si="19"/>
        <v>47265.380000000005</v>
      </c>
      <c r="M24" s="236">
        <f t="shared" si="19"/>
        <v>509845.6699999999</v>
      </c>
      <c r="N24" s="236">
        <f t="shared" si="19"/>
        <v>68410.90000000001</v>
      </c>
      <c r="O24" s="236">
        <f t="shared" si="19"/>
        <v>141366.38</v>
      </c>
      <c r="P24" s="236">
        <f t="shared" si="19"/>
        <v>16777.06</v>
      </c>
      <c r="Q24" s="236">
        <f t="shared" si="19"/>
        <v>0</v>
      </c>
      <c r="R24" s="236">
        <f t="shared" si="19"/>
        <v>0</v>
      </c>
      <c r="S24" s="236">
        <f t="shared" si="19"/>
        <v>0</v>
      </c>
      <c r="T24" s="236">
        <f t="shared" si="19"/>
        <v>0</v>
      </c>
      <c r="U24" s="236">
        <f t="shared" si="19"/>
        <v>1477434.16</v>
      </c>
      <c r="V24" s="236">
        <f t="shared" si="19"/>
        <v>182358.69</v>
      </c>
      <c r="W24" s="236">
        <f t="shared" si="19"/>
        <v>103563.25</v>
      </c>
      <c r="X24" s="236">
        <f t="shared" si="19"/>
        <v>287330.36</v>
      </c>
      <c r="Y24" s="236">
        <f t="shared" si="19"/>
        <v>137544.62999999998</v>
      </c>
      <c r="Z24" s="236">
        <f t="shared" si="19"/>
        <v>229671.9</v>
      </c>
      <c r="AA24" s="236">
        <f t="shared" si="19"/>
        <v>474891.67000000004</v>
      </c>
      <c r="AB24" s="236">
        <f t="shared" si="19"/>
        <v>134528.18</v>
      </c>
      <c r="AC24" s="236">
        <f t="shared" si="19"/>
        <v>0</v>
      </c>
      <c r="AD24" s="236">
        <f t="shared" si="19"/>
        <v>0</v>
      </c>
      <c r="AE24" s="236">
        <f t="shared" si="19"/>
        <v>0</v>
      </c>
      <c r="AF24" s="236">
        <f t="shared" si="19"/>
        <v>1367529.9900000002</v>
      </c>
      <c r="AG24" s="236">
        <f t="shared" si="19"/>
        <v>1696861.4714118498</v>
      </c>
      <c r="AH24" s="236">
        <f t="shared" si="19"/>
        <v>0</v>
      </c>
      <c r="AI24" s="236">
        <f t="shared" si="19"/>
        <v>0</v>
      </c>
      <c r="AJ24" s="236">
        <f t="shared" si="19"/>
        <v>236811.96078000002</v>
      </c>
      <c r="AK24" s="236">
        <f t="shared" si="19"/>
        <v>128553.20499999999</v>
      </c>
      <c r="AL24" s="236">
        <f t="shared" si="19"/>
        <v>41501.9477888</v>
      </c>
      <c r="AM24" s="236">
        <f t="shared" si="19"/>
        <v>206184.820039745</v>
      </c>
      <c r="AN24" s="236">
        <f t="shared" si="19"/>
        <v>13496.762999999999</v>
      </c>
      <c r="AO24" s="236">
        <f t="shared" si="19"/>
        <v>271380.7435089854</v>
      </c>
      <c r="AP24" s="236">
        <f t="shared" si="19"/>
        <v>382861.49338213954</v>
      </c>
      <c r="AQ24" s="236">
        <f t="shared" si="19"/>
        <v>48202.725000000006</v>
      </c>
      <c r="AR24" s="236">
        <f t="shared" si="19"/>
        <v>48202.725000000006</v>
      </c>
      <c r="AS24" s="236">
        <f t="shared" si="19"/>
        <v>36953.295</v>
      </c>
      <c r="AT24" s="236">
        <f t="shared" si="19"/>
        <v>15167.519999999999</v>
      </c>
      <c r="AU24" s="236">
        <f t="shared" si="19"/>
        <v>274299.7816</v>
      </c>
      <c r="AV24" s="236">
        <f t="shared" si="19"/>
        <v>5034</v>
      </c>
      <c r="AW24" s="236">
        <f t="shared" si="19"/>
        <v>116328.99999999999</v>
      </c>
      <c r="AX24" s="236">
        <f t="shared" si="19"/>
        <v>123494.80119999999</v>
      </c>
      <c r="AY24" s="236">
        <f t="shared" si="19"/>
        <v>27867.1004</v>
      </c>
      <c r="AZ24" s="236">
        <f t="shared" si="19"/>
        <v>0</v>
      </c>
      <c r="BA24" s="236">
        <f t="shared" si="19"/>
        <v>33054</v>
      </c>
      <c r="BB24" s="236">
        <f t="shared" si="19"/>
        <v>0</v>
      </c>
      <c r="BC24" s="236">
        <f t="shared" si="19"/>
        <v>1772583.9209196698</v>
      </c>
      <c r="BD24" s="236">
        <f t="shared" si="19"/>
        <v>115426.68135177979</v>
      </c>
      <c r="BE24" s="474">
        <f t="shared" si="19"/>
        <v>1888010.6022714495</v>
      </c>
      <c r="BF24" s="474">
        <f t="shared" si="19"/>
        <v>45662.82992040014</v>
      </c>
      <c r="BG24" s="475">
        <f t="shared" si="19"/>
        <v>-108210.20000000001</v>
      </c>
    </row>
    <row r="25" spans="1:59" ht="12.75">
      <c r="A25" s="5" t="s">
        <v>125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58">
        <f>'[11]Лист1'!AB60</f>
        <v>0</v>
      </c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476"/>
      <c r="BF25" s="477"/>
      <c r="BG25" s="478"/>
    </row>
    <row r="26" spans="1:59" ht="12.75">
      <c r="A26" s="178" t="s">
        <v>45</v>
      </c>
      <c r="B26" s="150">
        <v>5355.45</v>
      </c>
      <c r="C26" s="131">
        <f aca="true" t="shared" si="20" ref="C26:C31">B26*8.55</f>
        <v>45789.0975</v>
      </c>
      <c r="D26" s="458">
        <v>504.492</v>
      </c>
      <c r="E26" s="204"/>
      <c r="F26" s="204"/>
      <c r="G26" s="204">
        <v>28229.26</v>
      </c>
      <c r="H26" s="204">
        <v>54.29</v>
      </c>
      <c r="I26" s="204"/>
      <c r="J26" s="204"/>
      <c r="K26" s="204"/>
      <c r="L26" s="204"/>
      <c r="M26" s="204">
        <v>13708.58</v>
      </c>
      <c r="N26" s="204">
        <v>26.35</v>
      </c>
      <c r="O26" s="204">
        <v>4763.88</v>
      </c>
      <c r="P26" s="204"/>
      <c r="Q26" s="204"/>
      <c r="R26" s="204"/>
      <c r="S26" s="210"/>
      <c r="T26" s="230"/>
      <c r="U26" s="225">
        <f aca="true" t="shared" si="21" ref="U26:V31">E26+G26+I26+K26+M26+O26+Q26+S26</f>
        <v>46701.719999999994</v>
      </c>
      <c r="V26" s="226">
        <f t="shared" si="21"/>
        <v>80.64</v>
      </c>
      <c r="W26" s="204">
        <v>0</v>
      </c>
      <c r="X26" s="204">
        <v>20411.05</v>
      </c>
      <c r="Y26" s="204">
        <v>0</v>
      </c>
      <c r="Z26" s="204">
        <v>0</v>
      </c>
      <c r="AA26" s="204">
        <v>10183.06</v>
      </c>
      <c r="AB26" s="204">
        <v>3526.91</v>
      </c>
      <c r="AC26" s="204"/>
      <c r="AD26" s="204"/>
      <c r="AE26" s="210"/>
      <c r="AF26" s="211">
        <f aca="true" t="shared" si="22" ref="AF26:AF31">SUM(W26:AE26)</f>
        <v>34121.020000000004</v>
      </c>
      <c r="AG26" s="218">
        <f aca="true" t="shared" si="23" ref="AG26:AG37">D26+V26+AF26</f>
        <v>34706.152</v>
      </c>
      <c r="AH26" s="194">
        <f aca="true" t="shared" si="24" ref="AH26:AI37">AC26</f>
        <v>0</v>
      </c>
      <c r="AI26" s="194">
        <f t="shared" si="24"/>
        <v>0</v>
      </c>
      <c r="AJ26" s="195">
        <f>'[15]Т01'!$J$6+'[15]Т01'!$J$9+'[15]Т01'!$J$60+'[15]Т01'!$J$66+'[15]Т01'!$J$104+'[15]Т01'!$J$107+'[15]Т01'!$J$112+'[15]Т01'!$J$136+'[15]Т01'!$J$158+'[15]Т01'!$J$223</f>
        <v>12026.86</v>
      </c>
      <c r="AK26" s="158">
        <f aca="true" t="shared" si="25" ref="AK26:AK31">0.67*B26</f>
        <v>3588.1515</v>
      </c>
      <c r="AL26" s="158">
        <f aca="true" t="shared" si="26" ref="AL26:AL37">B26*0.2</f>
        <v>1071.09</v>
      </c>
      <c r="AM26" s="158">
        <f aca="true" t="shared" si="27" ref="AM26:AM37">B26*1</f>
        <v>5355.45</v>
      </c>
      <c r="AN26" s="158">
        <f aca="true" t="shared" si="28" ref="AN26:AN37">B26*0.21</f>
        <v>1124.6444999999999</v>
      </c>
      <c r="AO26" s="158">
        <f aca="true" t="shared" si="29" ref="AO26:AO37">2.02*B26</f>
        <v>10818.009</v>
      </c>
      <c r="AP26" s="158">
        <f aca="true" t="shared" si="30" ref="AP26:AP37">B26*1.03</f>
        <v>5516.1135</v>
      </c>
      <c r="AQ26" s="158">
        <f aca="true" t="shared" si="31" ref="AQ26:AQ37">B26*0.75</f>
        <v>4016.5874999999996</v>
      </c>
      <c r="AR26" s="158">
        <f aca="true" t="shared" si="32" ref="AR26:AR37">B26*0.75</f>
        <v>4016.5874999999996</v>
      </c>
      <c r="AS26" s="227">
        <f>B26*1.15</f>
        <v>6158.767499999999</v>
      </c>
      <c r="AT26" s="196">
        <f>0.45*1404.4</f>
        <v>631.98</v>
      </c>
      <c r="AU26" s="459">
        <v>2939</v>
      </c>
      <c r="AV26" s="197"/>
      <c r="AW26" s="197"/>
      <c r="AX26" s="197">
        <f>212+600</f>
        <v>812</v>
      </c>
      <c r="AY26" s="197"/>
      <c r="AZ26" s="197"/>
      <c r="BA26" s="121"/>
      <c r="BB26" s="196"/>
      <c r="BC26" s="212">
        <f>SUM(AK26:BB26)</f>
        <v>46048.38100000001</v>
      </c>
      <c r="BD26" s="198">
        <f>'[15]Т01'!$S$6+'[15]Т01'!$S$9+'[15]Т01'!$S$60+'[15]Т01'!$S$66+'[15]Т01'!$S$104+'[15]Т01'!$S$107+'[15]Т01'!$S$112+'[15]Т01'!$S$136+'[15]Т01'!$S$158+'[15]Т01'!$S$223</f>
        <v>5954.671999999999</v>
      </c>
      <c r="BE26" s="186">
        <f>BC26+BD26</f>
        <v>52003.05300000001</v>
      </c>
      <c r="BF26" s="186">
        <f>AG26+AJ26-BE26</f>
        <v>-5270.041000000005</v>
      </c>
      <c r="BG26" s="186">
        <f>AF26-U26</f>
        <v>-12580.69999999999</v>
      </c>
    </row>
    <row r="27" spans="1:59" ht="12.75">
      <c r="A27" s="178" t="s">
        <v>46</v>
      </c>
      <c r="B27" s="460">
        <f>5308.65</f>
        <v>5308.65</v>
      </c>
      <c r="C27" s="131">
        <f t="shared" si="20"/>
        <v>45388.957500000004</v>
      </c>
      <c r="D27" s="458">
        <v>504.492</v>
      </c>
      <c r="E27" s="213"/>
      <c r="F27" s="213"/>
      <c r="G27" s="213">
        <v>28229.26</v>
      </c>
      <c r="H27" s="213">
        <v>54.29</v>
      </c>
      <c r="I27" s="213"/>
      <c r="J27" s="213"/>
      <c r="K27" s="213"/>
      <c r="L27" s="213"/>
      <c r="M27" s="213">
        <v>13708.58</v>
      </c>
      <c r="N27" s="213">
        <v>26.35</v>
      </c>
      <c r="O27" s="213">
        <v>4763.87</v>
      </c>
      <c r="P27" s="213"/>
      <c r="Q27" s="213"/>
      <c r="R27" s="213"/>
      <c r="S27" s="214"/>
      <c r="T27" s="230"/>
      <c r="U27" s="225">
        <f t="shared" si="21"/>
        <v>46701.71</v>
      </c>
      <c r="V27" s="226">
        <f t="shared" si="21"/>
        <v>80.64</v>
      </c>
      <c r="W27" s="213">
        <v>0</v>
      </c>
      <c r="X27" s="213">
        <v>28532.11</v>
      </c>
      <c r="Y27" s="213">
        <v>0</v>
      </c>
      <c r="Z27" s="213">
        <v>0</v>
      </c>
      <c r="AA27" s="213">
        <v>12641.55</v>
      </c>
      <c r="AB27" s="213">
        <v>4381.82</v>
      </c>
      <c r="AC27" s="213"/>
      <c r="AD27" s="213"/>
      <c r="AE27" s="214"/>
      <c r="AF27" s="211">
        <f t="shared" si="22"/>
        <v>45555.48</v>
      </c>
      <c r="AG27" s="218">
        <f t="shared" si="23"/>
        <v>46140.612</v>
      </c>
      <c r="AH27" s="194">
        <f t="shared" si="24"/>
        <v>0</v>
      </c>
      <c r="AI27" s="194">
        <f t="shared" si="24"/>
        <v>0</v>
      </c>
      <c r="AJ27" s="195">
        <f>'[15]Т01'!$J$6+'[15]Т01'!$J$9+'[15]Т01'!$J$60+'[15]Т01'!$J$66+'[15]Т01'!$J$104+'[15]Т01'!$J$107+'[15]Т01'!$J$112+'[15]Т01'!$J$136+'[15]Т01'!$J$158+'[15]Т01'!$J$223</f>
        <v>12026.86</v>
      </c>
      <c r="AK27" s="153">
        <f t="shared" si="25"/>
        <v>3556.7955</v>
      </c>
      <c r="AL27" s="158">
        <f t="shared" si="26"/>
        <v>1061.73</v>
      </c>
      <c r="AM27" s="158">
        <f t="shared" si="27"/>
        <v>5308.65</v>
      </c>
      <c r="AN27" s="158">
        <f t="shared" si="28"/>
        <v>1114.8165</v>
      </c>
      <c r="AO27" s="158">
        <f t="shared" si="29"/>
        <v>10723.473</v>
      </c>
      <c r="AP27" s="158">
        <f t="shared" si="30"/>
        <v>5467.9095</v>
      </c>
      <c r="AQ27" s="158">
        <f t="shared" si="31"/>
        <v>3981.4874999999997</v>
      </c>
      <c r="AR27" s="158">
        <f t="shared" si="32"/>
        <v>3981.4874999999997</v>
      </c>
      <c r="AS27" s="227">
        <f>B27*1.15</f>
        <v>6104.947499999999</v>
      </c>
      <c r="AT27" s="196">
        <f>0.45*1404.4</f>
        <v>631.98</v>
      </c>
      <c r="AU27" s="459">
        <v>3752</v>
      </c>
      <c r="AV27" s="197"/>
      <c r="AW27" s="197"/>
      <c r="AX27" s="197">
        <f>605+345.84</f>
        <v>950.8399999999999</v>
      </c>
      <c r="AY27" s="197"/>
      <c r="AZ27" s="197"/>
      <c r="BA27" s="121"/>
      <c r="BB27" s="196"/>
      <c r="BC27" s="151">
        <f>SUM(AK27:BB27)</f>
        <v>46636.117</v>
      </c>
      <c r="BD27" s="198">
        <f>'[15]Т01'!$S$6+'[15]Т01'!$S$9+'[15]Т01'!$S$60+'[15]Т01'!$S$66+'[15]Т01'!$S$104+'[15]Т01'!$S$107+'[15]Т01'!$S$112+'[15]Т01'!$S$136+'[15]Т01'!$S$158+'[15]Т01'!$S$223</f>
        <v>5954.671999999999</v>
      </c>
      <c r="BE27" s="186">
        <f aca="true" t="shared" si="33" ref="BE27:BE37">BC27+BD27</f>
        <v>52590.789</v>
      </c>
      <c r="BF27" s="186">
        <f aca="true" t="shared" si="34" ref="BF27:BF37">AG27+AJ27-BE27</f>
        <v>5576.6830000000045</v>
      </c>
      <c r="BG27" s="186">
        <f aca="true" t="shared" si="35" ref="BG27:BG37">AF27-U27</f>
        <v>-1146.229999999996</v>
      </c>
    </row>
    <row r="28" spans="1:59" ht="12.75">
      <c r="A28" s="178" t="s">
        <v>47</v>
      </c>
      <c r="B28" s="150">
        <f>5308.65</f>
        <v>5308.65</v>
      </c>
      <c r="C28" s="131">
        <f t="shared" si="20"/>
        <v>45388.957500000004</v>
      </c>
      <c r="D28" s="458">
        <v>504.492</v>
      </c>
      <c r="E28" s="213"/>
      <c r="F28" s="213"/>
      <c r="G28" s="213">
        <v>26350.65</v>
      </c>
      <c r="H28" s="213">
        <v>54.29</v>
      </c>
      <c r="I28" s="213"/>
      <c r="J28" s="213"/>
      <c r="K28" s="213"/>
      <c r="L28" s="213"/>
      <c r="M28" s="213">
        <v>12795.47</v>
      </c>
      <c r="N28" s="213">
        <v>26.35</v>
      </c>
      <c r="O28" s="213">
        <v>4446.4</v>
      </c>
      <c r="P28" s="213"/>
      <c r="Q28" s="213"/>
      <c r="R28" s="213"/>
      <c r="S28" s="214"/>
      <c r="T28" s="230"/>
      <c r="U28" s="225">
        <f t="shared" si="21"/>
        <v>43592.520000000004</v>
      </c>
      <c r="V28" s="226">
        <f t="shared" si="21"/>
        <v>80.64</v>
      </c>
      <c r="W28" s="204">
        <v>0</v>
      </c>
      <c r="X28" s="204">
        <v>29279.34</v>
      </c>
      <c r="Y28" s="204">
        <v>0</v>
      </c>
      <c r="Z28" s="204">
        <v>0</v>
      </c>
      <c r="AA28" s="204">
        <v>11335.42</v>
      </c>
      <c r="AB28" s="204">
        <v>3930.89</v>
      </c>
      <c r="AC28" s="204"/>
      <c r="AD28" s="204"/>
      <c r="AE28" s="210"/>
      <c r="AF28" s="211">
        <f t="shared" si="22"/>
        <v>44545.65</v>
      </c>
      <c r="AG28" s="218">
        <f t="shared" si="23"/>
        <v>45130.782</v>
      </c>
      <c r="AH28" s="194">
        <f t="shared" si="24"/>
        <v>0</v>
      </c>
      <c r="AI28" s="194">
        <f t="shared" si="24"/>
        <v>0</v>
      </c>
      <c r="AJ28" s="195">
        <f>'[15]Т03'!$J$6+'[15]Т03'!$J$9+'[15]Т03'!$J$58+'[15]Т03'!$J$64+'[15]Т03'!$J$105+'[15]Т03'!$J$108+'[15]Т03'!$J$113+'[15]Т03'!$J$137+'[15]Т03'!$J$159+'[15]Т03'!$J$224</f>
        <v>12626.86</v>
      </c>
      <c r="AK28" s="153">
        <f t="shared" si="25"/>
        <v>3556.7955</v>
      </c>
      <c r="AL28" s="158">
        <f t="shared" si="26"/>
        <v>1061.73</v>
      </c>
      <c r="AM28" s="158">
        <f t="shared" si="27"/>
        <v>5308.65</v>
      </c>
      <c r="AN28" s="158">
        <f t="shared" si="28"/>
        <v>1114.8165</v>
      </c>
      <c r="AO28" s="158">
        <f t="shared" si="29"/>
        <v>10723.473</v>
      </c>
      <c r="AP28" s="158">
        <f t="shared" si="30"/>
        <v>5467.9095</v>
      </c>
      <c r="AQ28" s="158">
        <f t="shared" si="31"/>
        <v>3981.4874999999997</v>
      </c>
      <c r="AR28" s="158">
        <f t="shared" si="32"/>
        <v>3981.4874999999997</v>
      </c>
      <c r="AS28" s="227">
        <f>B28*1.15</f>
        <v>6104.947499999999</v>
      </c>
      <c r="AT28" s="196">
        <f>0.45*1404.4</f>
        <v>631.98</v>
      </c>
      <c r="AU28" s="459"/>
      <c r="AV28" s="197"/>
      <c r="AW28" s="197">
        <v>1419.53</v>
      </c>
      <c r="AX28" s="197">
        <f>113.9</f>
        <v>113.9</v>
      </c>
      <c r="AY28" s="197"/>
      <c r="AZ28" s="197"/>
      <c r="BA28" s="121"/>
      <c r="BB28" s="196"/>
      <c r="BC28" s="212">
        <f>SUM(AK28:BB28)</f>
        <v>43466.707</v>
      </c>
      <c r="BD28" s="198">
        <f>'[15]Т03'!$S$6+'[15]Т03'!$S$9+'[15]Т03'!$S$58+'[15]Т03'!$S$64+'[15]Т03'!$S$105+'[15]Т03'!$S$108+'[15]Т03'!$S$113+'[15]Т03'!$S$137+'[15]Т03'!$S$159+'[15]Т03'!$S$224</f>
        <v>6104.671999999999</v>
      </c>
      <c r="BE28" s="186">
        <f t="shared" si="33"/>
        <v>49571.379</v>
      </c>
      <c r="BF28" s="186">
        <f t="shared" si="34"/>
        <v>8186.262999999999</v>
      </c>
      <c r="BG28" s="186">
        <f t="shared" si="35"/>
        <v>953.1299999999974</v>
      </c>
    </row>
    <row r="29" spans="1:59" ht="12.75">
      <c r="A29" s="178" t="s">
        <v>48</v>
      </c>
      <c r="B29" s="150">
        <f>5308.65</f>
        <v>5308.65</v>
      </c>
      <c r="C29" s="131">
        <f t="shared" si="20"/>
        <v>45388.957500000004</v>
      </c>
      <c r="D29" s="458">
        <v>504.492</v>
      </c>
      <c r="E29" s="213"/>
      <c r="F29" s="213"/>
      <c r="G29" s="213">
        <v>27966.84</v>
      </c>
      <c r="H29" s="213">
        <v>54.29</v>
      </c>
      <c r="I29" s="213"/>
      <c r="J29" s="213"/>
      <c r="K29" s="213"/>
      <c r="L29" s="213"/>
      <c r="M29" s="213">
        <v>13581.05</v>
      </c>
      <c r="N29" s="213">
        <v>26.35</v>
      </c>
      <c r="O29" s="213">
        <v>4719.57</v>
      </c>
      <c r="P29" s="213"/>
      <c r="Q29" s="213"/>
      <c r="R29" s="213"/>
      <c r="S29" s="214"/>
      <c r="T29" s="230"/>
      <c r="U29" s="225">
        <f t="shared" si="21"/>
        <v>46267.46</v>
      </c>
      <c r="V29" s="226">
        <f t="shared" si="21"/>
        <v>80.64</v>
      </c>
      <c r="W29" s="228">
        <v>0</v>
      </c>
      <c r="X29" s="228">
        <v>26513.09</v>
      </c>
      <c r="Y29" s="228">
        <v>0</v>
      </c>
      <c r="Z29" s="228">
        <v>0</v>
      </c>
      <c r="AA29" s="228">
        <v>10393.02</v>
      </c>
      <c r="AB29" s="228">
        <v>3571.89</v>
      </c>
      <c r="AC29" s="228"/>
      <c r="AD29" s="228"/>
      <c r="AE29" s="229"/>
      <c r="AF29" s="211">
        <f t="shared" si="22"/>
        <v>40478</v>
      </c>
      <c r="AG29" s="218">
        <f t="shared" si="23"/>
        <v>41063.132</v>
      </c>
      <c r="AH29" s="194">
        <f t="shared" si="24"/>
        <v>0</v>
      </c>
      <c r="AI29" s="194">
        <f t="shared" si="24"/>
        <v>0</v>
      </c>
      <c r="AJ29" s="195">
        <f>'[15]Т04'!$J$6+'[15]Т04'!$J$9+'[15]Т04'!$J$58+'[15]Т04'!$J$64+'[15]Т04'!$J$105+'[15]Т04'!$J$108+'[15]Т04'!$J$113+'[15]Т04'!$J$137+'[15]Т04'!$J$159+'[15]Т04'!$J$224</f>
        <v>12226.86</v>
      </c>
      <c r="AK29" s="153">
        <f t="shared" si="25"/>
        <v>3556.7955</v>
      </c>
      <c r="AL29" s="158">
        <f t="shared" si="26"/>
        <v>1061.73</v>
      </c>
      <c r="AM29" s="158">
        <f t="shared" si="27"/>
        <v>5308.65</v>
      </c>
      <c r="AN29" s="158">
        <f t="shared" si="28"/>
        <v>1114.8165</v>
      </c>
      <c r="AO29" s="158">
        <f t="shared" si="29"/>
        <v>10723.473</v>
      </c>
      <c r="AP29" s="158">
        <f t="shared" si="30"/>
        <v>5467.9095</v>
      </c>
      <c r="AQ29" s="158">
        <f t="shared" si="31"/>
        <v>3981.4874999999997</v>
      </c>
      <c r="AR29" s="158">
        <f t="shared" si="32"/>
        <v>3981.4874999999997</v>
      </c>
      <c r="AS29" s="227"/>
      <c r="AT29" s="196">
        <f>0.45*1404.4</f>
        <v>631.98</v>
      </c>
      <c r="AU29" s="459">
        <v>657</v>
      </c>
      <c r="AV29" s="197"/>
      <c r="AW29" s="197"/>
      <c r="AX29" s="197">
        <f>196.7+457.8</f>
        <v>654.5</v>
      </c>
      <c r="AY29" s="197"/>
      <c r="AZ29" s="197"/>
      <c r="BA29" s="121"/>
      <c r="BB29" s="196"/>
      <c r="BC29" s="212">
        <f>SUM(AK29:BB29)</f>
        <v>37139.8295</v>
      </c>
      <c r="BD29" s="198">
        <f>'[15]Т04'!$S$6+'[15]Т04'!$S$9+'[15]Т04'!$S$58+'[15]Т04'!$S$64+'[15]Т04'!$S$105+'[15]Т04'!$S$108+'[15]Т04'!$S$113+'[15]Т04'!$S$137+'[15]Т04'!$S$159+'[15]Т04'!$S$224</f>
        <v>6004.671999999999</v>
      </c>
      <c r="BE29" s="186">
        <f t="shared" si="33"/>
        <v>43144.5015</v>
      </c>
      <c r="BF29" s="186">
        <f t="shared" si="34"/>
        <v>10145.4905</v>
      </c>
      <c r="BG29" s="186">
        <f t="shared" si="35"/>
        <v>-5789.459999999999</v>
      </c>
    </row>
    <row r="30" spans="1:59" ht="12.75">
      <c r="A30" s="178" t="s">
        <v>49</v>
      </c>
      <c r="B30" s="150">
        <f>5308.65</f>
        <v>5308.65</v>
      </c>
      <c r="C30" s="131">
        <f t="shared" si="20"/>
        <v>45388.957500000004</v>
      </c>
      <c r="D30" s="458">
        <v>504.492</v>
      </c>
      <c r="E30" s="213"/>
      <c r="F30" s="213"/>
      <c r="G30" s="213">
        <v>27966.86</v>
      </c>
      <c r="H30" s="213">
        <v>54.29</v>
      </c>
      <c r="I30" s="213"/>
      <c r="J30" s="213"/>
      <c r="K30" s="213"/>
      <c r="L30" s="213"/>
      <c r="M30" s="213">
        <v>13581.07</v>
      </c>
      <c r="N30" s="213">
        <v>26.35</v>
      </c>
      <c r="O30" s="213">
        <v>4719.57</v>
      </c>
      <c r="P30" s="213"/>
      <c r="Q30" s="213"/>
      <c r="R30" s="213"/>
      <c r="S30" s="214"/>
      <c r="T30" s="230"/>
      <c r="U30" s="225">
        <f t="shared" si="21"/>
        <v>46267.5</v>
      </c>
      <c r="V30" s="226">
        <f t="shared" si="21"/>
        <v>80.64</v>
      </c>
      <c r="W30" s="228">
        <v>0</v>
      </c>
      <c r="X30" s="228">
        <v>28285.84</v>
      </c>
      <c r="Y30" s="228">
        <v>0</v>
      </c>
      <c r="Z30" s="228">
        <v>0</v>
      </c>
      <c r="AA30" s="228">
        <v>11879.73</v>
      </c>
      <c r="AB30" s="228">
        <v>4122.02</v>
      </c>
      <c r="AC30" s="228"/>
      <c r="AD30" s="228"/>
      <c r="AE30" s="228"/>
      <c r="AF30" s="211">
        <f t="shared" si="22"/>
        <v>44287.59</v>
      </c>
      <c r="AG30" s="218">
        <f t="shared" si="23"/>
        <v>44872.721999999994</v>
      </c>
      <c r="AH30" s="194">
        <f t="shared" si="24"/>
        <v>0</v>
      </c>
      <c r="AI30" s="194">
        <f t="shared" si="24"/>
        <v>0</v>
      </c>
      <c r="AJ30" s="195">
        <f>'[15]Т05'!$J$6+'[15]Т05'!$J$9+'[15]Т05'!$J$57+'[15]Т05'!$J$64+'[15]Т05'!$J$105+'[15]Т05'!$J$108+'[15]Т05'!$J$113+'[15]Т05'!$J$137+'[15]Т05'!$J$159+'[15]Т05'!$J$230</f>
        <v>12226.86</v>
      </c>
      <c r="AK30" s="153">
        <f t="shared" si="25"/>
        <v>3556.7955</v>
      </c>
      <c r="AL30" s="158">
        <f t="shared" si="26"/>
        <v>1061.73</v>
      </c>
      <c r="AM30" s="158">
        <f t="shared" si="27"/>
        <v>5308.65</v>
      </c>
      <c r="AN30" s="158">
        <f t="shared" si="28"/>
        <v>1114.8165</v>
      </c>
      <c r="AO30" s="158">
        <f t="shared" si="29"/>
        <v>10723.473</v>
      </c>
      <c r="AP30" s="158">
        <f t="shared" si="30"/>
        <v>5467.9095</v>
      </c>
      <c r="AQ30" s="158">
        <f t="shared" si="31"/>
        <v>3981.4874999999997</v>
      </c>
      <c r="AR30" s="158">
        <f t="shared" si="32"/>
        <v>3981.4874999999997</v>
      </c>
      <c r="AS30" s="227"/>
      <c r="AT30" s="196">
        <f>0.45*1404.4</f>
        <v>631.98</v>
      </c>
      <c r="AU30" s="459">
        <v>21459</v>
      </c>
      <c r="AV30" s="197"/>
      <c r="AW30" s="463"/>
      <c r="AX30" s="197">
        <f>10893+900</f>
        <v>11793</v>
      </c>
      <c r="AY30" s="197"/>
      <c r="AZ30" s="197"/>
      <c r="BA30" s="121"/>
      <c r="BB30" s="196"/>
      <c r="BC30" s="212">
        <f>SUM(AK30:BB30)</f>
        <v>69080.32949999999</v>
      </c>
      <c r="BD30" s="198">
        <f>'[15]Т05'!$S$6+'[15]Т05'!$S$9+'[15]Т05'!$S$57+'[15]Т05'!$S$64+'[15]Т05'!$S$105+'[15]Т05'!$S$108+'[15]Т05'!$S$113+'[15]Т05'!$S$137+'[15]Т05'!$S$159+'[15]Т05'!$S$230</f>
        <v>6004.671999999999</v>
      </c>
      <c r="BE30" s="186">
        <f t="shared" si="33"/>
        <v>75085.00149999998</v>
      </c>
      <c r="BF30" s="186">
        <f t="shared" si="34"/>
        <v>-17985.41949999999</v>
      </c>
      <c r="BG30" s="186">
        <f t="shared" si="35"/>
        <v>-1979.9100000000035</v>
      </c>
    </row>
    <row r="31" spans="1:59" ht="12.75">
      <c r="A31" s="178" t="s">
        <v>50</v>
      </c>
      <c r="B31" s="150">
        <v>5308.65</v>
      </c>
      <c r="C31" s="131">
        <f t="shared" si="20"/>
        <v>45388.957500000004</v>
      </c>
      <c r="D31" s="458">
        <v>380.97</v>
      </c>
      <c r="E31" s="213"/>
      <c r="F31" s="213"/>
      <c r="G31" s="213">
        <v>27956.07</v>
      </c>
      <c r="H31" s="213">
        <v>54.29</v>
      </c>
      <c r="I31" s="213"/>
      <c r="J31" s="213"/>
      <c r="K31" s="213"/>
      <c r="L31" s="213"/>
      <c r="M31" s="213">
        <v>13575.77</v>
      </c>
      <c r="N31" s="213">
        <v>26.35</v>
      </c>
      <c r="O31" s="213">
        <v>4717.69</v>
      </c>
      <c r="P31" s="213"/>
      <c r="Q31" s="213"/>
      <c r="R31" s="213"/>
      <c r="S31" s="214"/>
      <c r="T31" s="230"/>
      <c r="U31" s="225">
        <f t="shared" si="21"/>
        <v>46249.53</v>
      </c>
      <c r="V31" s="226">
        <f t="shared" si="21"/>
        <v>80.64</v>
      </c>
      <c r="W31" s="228"/>
      <c r="X31" s="464">
        <v>28358.3</v>
      </c>
      <c r="Y31" s="228"/>
      <c r="Z31" s="228"/>
      <c r="AA31" s="464">
        <v>12415.96</v>
      </c>
      <c r="AB31" s="464">
        <v>4314.4</v>
      </c>
      <c r="AC31" s="228"/>
      <c r="AD31" s="464"/>
      <c r="AE31" s="465"/>
      <c r="AF31" s="211">
        <f t="shared" si="22"/>
        <v>45088.659999999996</v>
      </c>
      <c r="AG31" s="218">
        <f t="shared" si="23"/>
        <v>45550.27</v>
      </c>
      <c r="AH31" s="194">
        <f t="shared" si="24"/>
        <v>0</v>
      </c>
      <c r="AI31" s="194">
        <f t="shared" si="24"/>
        <v>0</v>
      </c>
      <c r="AJ31" s="195">
        <f>'[15]Т06'!$J$6+'[15]Т06'!$J$9+'[15]Т06'!$J$57+'[15]Т06'!$J$64+'[15]Т06'!$J$105++'[15]Т06'!$J$108+'[15]Т06'!$J$113+'[15]Т06'!$J$137+'[15]Т06'!$J$165+'[15]Т06'!$J$261</f>
        <v>12226.86</v>
      </c>
      <c r="AK31" s="153">
        <f t="shared" si="25"/>
        <v>3556.7955</v>
      </c>
      <c r="AL31" s="158">
        <f t="shared" si="26"/>
        <v>1061.73</v>
      </c>
      <c r="AM31" s="158">
        <f t="shared" si="27"/>
        <v>5308.65</v>
      </c>
      <c r="AN31" s="158">
        <f t="shared" si="28"/>
        <v>1114.8165</v>
      </c>
      <c r="AO31" s="158">
        <f t="shared" si="29"/>
        <v>10723.473</v>
      </c>
      <c r="AP31" s="158">
        <f t="shared" si="30"/>
        <v>5467.9095</v>
      </c>
      <c r="AQ31" s="158">
        <f t="shared" si="31"/>
        <v>3981.4874999999997</v>
      </c>
      <c r="AR31" s="158">
        <f t="shared" si="32"/>
        <v>3981.4874999999997</v>
      </c>
      <c r="AS31" s="227"/>
      <c r="AT31" s="196">
        <f>0.45*1404.4</f>
        <v>631.98</v>
      </c>
      <c r="AU31" s="459"/>
      <c r="AV31" s="197"/>
      <c r="AW31" s="197">
        <v>395</v>
      </c>
      <c r="AX31" s="197">
        <f>1797.24</f>
        <v>1797.24</v>
      </c>
      <c r="AY31" s="197"/>
      <c r="AZ31" s="197"/>
      <c r="BA31" s="121"/>
      <c r="BB31" s="196"/>
      <c r="BC31" s="212">
        <f>SUM(AK31:BB31)</f>
        <v>38020.5695</v>
      </c>
      <c r="BD31" s="198">
        <f>'[15]Т06'!$S$6+'[15]Т06'!$S$9+'[15]Т06'!$S$57+'[15]Т06'!$S$64+'[15]Т06'!$S$105+'[15]Т06'!$S$108+'[15]Т06'!$S$113+'[15]Т06'!$S$137+'[15]Т06'!$S$165+'[15]Т06'!$S$261</f>
        <v>6004.671999999999</v>
      </c>
      <c r="BE31" s="186">
        <f t="shared" si="33"/>
        <v>44025.2415</v>
      </c>
      <c r="BF31" s="186">
        <f t="shared" si="34"/>
        <v>13751.888500000001</v>
      </c>
      <c r="BG31" s="186">
        <f t="shared" si="35"/>
        <v>-1160.8700000000026</v>
      </c>
    </row>
    <row r="32" spans="1:59" ht="12.75">
      <c r="A32" s="178" t="s">
        <v>51</v>
      </c>
      <c r="B32" s="150">
        <v>5308.65</v>
      </c>
      <c r="C32" s="131">
        <f aca="true" t="shared" si="36" ref="C32:C37">B32*9.51</f>
        <v>50485.26149999999</v>
      </c>
      <c r="D32" s="458">
        <v>509.8275</v>
      </c>
      <c r="E32" s="213"/>
      <c r="F32" s="213"/>
      <c r="G32" s="213">
        <v>51429.57</v>
      </c>
      <c r="H32" s="213">
        <v>99.86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4"/>
      <c r="T32" s="230"/>
      <c r="U32" s="225">
        <f aca="true" t="shared" si="37" ref="U32:V37">G32+M32+O32+Q32+S32</f>
        <v>51429.57</v>
      </c>
      <c r="V32" s="461">
        <f t="shared" si="37"/>
        <v>99.86</v>
      </c>
      <c r="W32" s="228"/>
      <c r="X32" s="204">
        <v>25272.3</v>
      </c>
      <c r="Y32" s="228"/>
      <c r="Z32" s="228"/>
      <c r="AA32" s="204">
        <v>11079.01</v>
      </c>
      <c r="AB32" s="204">
        <v>3851.5</v>
      </c>
      <c r="AC32" s="228"/>
      <c r="AD32" s="204"/>
      <c r="AE32" s="210"/>
      <c r="AF32" s="211">
        <f aca="true" t="shared" si="38" ref="AF32:AF37">SUM(X32:AE32)</f>
        <v>40202.81</v>
      </c>
      <c r="AG32" s="218">
        <f t="shared" si="23"/>
        <v>40812.4975</v>
      </c>
      <c r="AH32" s="462">
        <v>0</v>
      </c>
      <c r="AI32" s="194">
        <f t="shared" si="24"/>
        <v>0</v>
      </c>
      <c r="AJ32" s="195">
        <f>'[15]Т07'!$J$6+'[15]Т07'!$J$9+'[15]Т07'!$J$57+'[15]Т07'!$J$64+'[15]Т07'!$J$107+'[15]Т07'!$J$110+'[15]Т07'!$J$115+'[15]Т07'!$J$139+'[15]Т07'!$J$167+'[15]Т07'!$J$263</f>
        <v>12226.86</v>
      </c>
      <c r="AK32" s="158">
        <f aca="true" t="shared" si="39" ref="AK32:AK37">0.75*B32</f>
        <v>3981.4874999999997</v>
      </c>
      <c r="AL32" s="158">
        <f t="shared" si="26"/>
        <v>1061.73</v>
      </c>
      <c r="AM32" s="158">
        <f t="shared" si="27"/>
        <v>5308.65</v>
      </c>
      <c r="AN32" s="158">
        <f t="shared" si="28"/>
        <v>1114.8165</v>
      </c>
      <c r="AO32" s="158">
        <f t="shared" si="29"/>
        <v>10723.473</v>
      </c>
      <c r="AP32" s="158">
        <f t="shared" si="30"/>
        <v>5467.9095</v>
      </c>
      <c r="AQ32" s="158">
        <f t="shared" si="31"/>
        <v>3981.4874999999997</v>
      </c>
      <c r="AR32" s="158">
        <f t="shared" si="32"/>
        <v>3981.4874999999997</v>
      </c>
      <c r="AS32" s="227"/>
      <c r="AT32" s="196">
        <f>0.45*1404.4+8400</f>
        <v>9031.98</v>
      </c>
      <c r="AU32" s="459"/>
      <c r="AV32" s="197"/>
      <c r="AW32" s="197">
        <v>1136</v>
      </c>
      <c r="AX32" s="197">
        <f>91.63</f>
        <v>91.63</v>
      </c>
      <c r="AY32" s="197"/>
      <c r="AZ32" s="197"/>
      <c r="BA32" s="121"/>
      <c r="BB32" s="196"/>
      <c r="BC32" s="212">
        <f>SUM(AK32:BB32)</f>
        <v>45880.6515</v>
      </c>
      <c r="BD32" s="198">
        <f>'[15]Т07'!$S$6+'[15]Т07'!$S$9+'[15]Т07'!$S$57+'[15]Т07'!$S$64+'[15]Т07'!$S$107+'[15]Т07'!$S$110+'[15]Т07'!$S$115+'[15]Т07'!$S$139+'[15]Т07'!$S$167+'[15]Т07'!$S$263</f>
        <v>6004.671999999999</v>
      </c>
      <c r="BE32" s="186">
        <f t="shared" si="33"/>
        <v>51885.3235</v>
      </c>
      <c r="BF32" s="186">
        <f t="shared" si="34"/>
        <v>1154.0339999999997</v>
      </c>
      <c r="BG32" s="186">
        <f t="shared" si="35"/>
        <v>-11226.760000000002</v>
      </c>
    </row>
    <row r="33" spans="1:59" ht="12.75">
      <c r="A33" s="178" t="s">
        <v>52</v>
      </c>
      <c r="B33" s="150">
        <v>5308.65</v>
      </c>
      <c r="C33" s="131">
        <f t="shared" si="36"/>
        <v>50485.26149999999</v>
      </c>
      <c r="D33" s="458"/>
      <c r="E33" s="213"/>
      <c r="F33" s="213"/>
      <c r="G33" s="213">
        <v>51456.19</v>
      </c>
      <c r="H33" s="213">
        <v>99.86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4"/>
      <c r="T33" s="230"/>
      <c r="U33" s="225">
        <f t="shared" si="37"/>
        <v>51456.19</v>
      </c>
      <c r="V33" s="461">
        <f t="shared" si="37"/>
        <v>99.86</v>
      </c>
      <c r="W33" s="228"/>
      <c r="X33" s="204">
        <v>45472.39</v>
      </c>
      <c r="Y33" s="228"/>
      <c r="Z33" s="228"/>
      <c r="AA33" s="204">
        <v>1692.44</v>
      </c>
      <c r="AB33" s="204">
        <v>587.09</v>
      </c>
      <c r="AC33" s="228"/>
      <c r="AD33" s="204"/>
      <c r="AE33" s="210"/>
      <c r="AF33" s="211">
        <f t="shared" si="38"/>
        <v>47751.92</v>
      </c>
      <c r="AG33" s="218">
        <f t="shared" si="23"/>
        <v>47851.78</v>
      </c>
      <c r="AH33" s="462">
        <v>0</v>
      </c>
      <c r="AI33" s="194">
        <f t="shared" si="24"/>
        <v>0</v>
      </c>
      <c r="AJ33" s="195">
        <f>'[15]Т08'!$J$6+'[15]Т08'!$J$9+'[15]Т08'!$J$57+'[15]Т08'!$J$64+'[15]Т08'!$J$107+'[15]Т08'!$J$110+'[15]Т08'!$J$115+'[15]Т08'!$J$139+'[15]Т08'!$J$167+'[15]Т08'!$J$263+'[15]Т08'!$J$295</f>
        <v>14626.86</v>
      </c>
      <c r="AK33" s="158">
        <f t="shared" si="39"/>
        <v>3981.4874999999997</v>
      </c>
      <c r="AL33" s="158">
        <f t="shared" si="26"/>
        <v>1061.73</v>
      </c>
      <c r="AM33" s="158">
        <f t="shared" si="27"/>
        <v>5308.65</v>
      </c>
      <c r="AN33" s="158">
        <f t="shared" si="28"/>
        <v>1114.8165</v>
      </c>
      <c r="AO33" s="158">
        <f t="shared" si="29"/>
        <v>10723.473</v>
      </c>
      <c r="AP33" s="158">
        <f t="shared" si="30"/>
        <v>5467.9095</v>
      </c>
      <c r="AQ33" s="158">
        <f t="shared" si="31"/>
        <v>3981.4874999999997</v>
      </c>
      <c r="AR33" s="158">
        <f t="shared" si="32"/>
        <v>3981.4874999999997</v>
      </c>
      <c r="AS33" s="227"/>
      <c r="AT33" s="196">
        <f>0.45*1404.4</f>
        <v>631.98</v>
      </c>
      <c r="AU33" s="459">
        <v>16979</v>
      </c>
      <c r="AV33" s="197"/>
      <c r="AW33" s="197"/>
      <c r="AX33" s="197">
        <f>2979+1809</f>
        <v>4788</v>
      </c>
      <c r="AY33" s="197"/>
      <c r="AZ33" s="197"/>
      <c r="BA33" s="121"/>
      <c r="BB33" s="196"/>
      <c r="BC33" s="212">
        <f>SUM(AK33:BB33)</f>
        <v>58020.0215</v>
      </c>
      <c r="BD33" s="198">
        <f>'[15]Т08'!$S$6+'[15]Т08'!$S$9+'[15]Т08'!$S$57+'[15]Т08'!$S$64+'[15]Т08'!$S$107+'[15]Т08'!$S$110+'[15]Т08'!$S$115+'[15]Т08'!$S$139+'[15]Т08'!$S$167+'[15]Т08'!$S$263+'[15]Т08'!$S$295</f>
        <v>6604.671999999999</v>
      </c>
      <c r="BE33" s="186">
        <f t="shared" si="33"/>
        <v>64624.6935</v>
      </c>
      <c r="BF33" s="186">
        <f t="shared" si="34"/>
        <v>-2146.053500000002</v>
      </c>
      <c r="BG33" s="186">
        <f t="shared" si="35"/>
        <v>-3704.270000000004</v>
      </c>
    </row>
    <row r="34" spans="1:59" ht="12.75">
      <c r="A34" s="178" t="s">
        <v>53</v>
      </c>
      <c r="B34" s="269">
        <v>5307.95</v>
      </c>
      <c r="C34" s="131">
        <f t="shared" si="36"/>
        <v>50478.604499999994</v>
      </c>
      <c r="D34" s="458"/>
      <c r="E34" s="213"/>
      <c r="F34" s="213"/>
      <c r="G34" s="213">
        <v>51457.18</v>
      </c>
      <c r="H34" s="213">
        <v>99.86</v>
      </c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4"/>
      <c r="T34" s="230"/>
      <c r="U34" s="225">
        <f t="shared" si="37"/>
        <v>51457.18</v>
      </c>
      <c r="V34" s="461">
        <f t="shared" si="37"/>
        <v>99.86</v>
      </c>
      <c r="W34" s="228"/>
      <c r="X34" s="204">
        <v>44583.95</v>
      </c>
      <c r="Y34" s="228"/>
      <c r="Z34" s="228"/>
      <c r="AA34" s="204">
        <v>1412.59</v>
      </c>
      <c r="AB34" s="204">
        <v>503.84</v>
      </c>
      <c r="AC34" s="228"/>
      <c r="AD34" s="204"/>
      <c r="AE34" s="210"/>
      <c r="AF34" s="211">
        <f t="shared" si="38"/>
        <v>46500.37999999999</v>
      </c>
      <c r="AG34" s="218">
        <f t="shared" si="23"/>
        <v>46600.23999999999</v>
      </c>
      <c r="AH34" s="462">
        <v>0</v>
      </c>
      <c r="AI34" s="194">
        <f t="shared" si="24"/>
        <v>0</v>
      </c>
      <c r="AJ34" s="195">
        <f>'[15]Т09'!$J$6+'[15]Т09'!$J$9+'[15]Т09'!$J$57+'[15]Т09'!$J$64+'[15]Т09'!$J$107+'[15]Т09'!$J$110+'[15]Т09'!$J$115+'[15]Т09'!$J$138+'[15]Т09'!$J$170+'[15]Т09'!$J$263+'[15]Т09'!$J$295</f>
        <v>13026.86</v>
      </c>
      <c r="AK34" s="158">
        <f t="shared" si="39"/>
        <v>3980.9624999999996</v>
      </c>
      <c r="AL34" s="158">
        <f t="shared" si="26"/>
        <v>1061.59</v>
      </c>
      <c r="AM34" s="158">
        <f t="shared" si="27"/>
        <v>5307.95</v>
      </c>
      <c r="AN34" s="158">
        <f t="shared" si="28"/>
        <v>1114.6695</v>
      </c>
      <c r="AO34" s="158">
        <f t="shared" si="29"/>
        <v>10722.059</v>
      </c>
      <c r="AP34" s="158">
        <f t="shared" si="30"/>
        <v>5467.1885</v>
      </c>
      <c r="AQ34" s="158">
        <f t="shared" si="31"/>
        <v>3980.9624999999996</v>
      </c>
      <c r="AR34" s="158">
        <f t="shared" si="32"/>
        <v>3980.9624999999996</v>
      </c>
      <c r="AS34" s="227"/>
      <c r="AT34" s="196">
        <f>0.45*1404.4</f>
        <v>631.98</v>
      </c>
      <c r="AU34" s="459">
        <v>1638</v>
      </c>
      <c r="AV34" s="197"/>
      <c r="AW34" s="197">
        <v>2388</v>
      </c>
      <c r="AX34" s="197">
        <f>126+2128.665</f>
        <v>2254.665</v>
      </c>
      <c r="AY34" s="197"/>
      <c r="AZ34" s="197"/>
      <c r="BA34" s="121"/>
      <c r="BB34" s="196"/>
      <c r="BC34" s="212">
        <f>SUM(AK34:BB34)</f>
        <v>42528.9895</v>
      </c>
      <c r="BD34" s="198">
        <f>'[15]Т09'!$S$6+'[15]Т09'!$S$9+'[15]Т09'!$S$57+'[15]Т09'!$S$64+'[15]Т09'!$S$107+'[15]Т09'!$S$110+'[15]Т09'!$S$115+'[15]Т09'!$S$138+'[15]Т09'!$S$170+'[15]Т09'!$S$263+'[15]Т09'!$S$295</f>
        <v>6204.671999999999</v>
      </c>
      <c r="BE34" s="186">
        <f t="shared" si="33"/>
        <v>48733.6615</v>
      </c>
      <c r="BF34" s="186">
        <f t="shared" si="34"/>
        <v>10893.43849999999</v>
      </c>
      <c r="BG34" s="186">
        <f t="shared" si="35"/>
        <v>-4956.80000000001</v>
      </c>
    </row>
    <row r="35" spans="1:59" ht="12.75">
      <c r="A35" s="178" t="s">
        <v>41</v>
      </c>
      <c r="B35" s="466">
        <v>5307.25</v>
      </c>
      <c r="C35" s="131">
        <f t="shared" si="36"/>
        <v>50471.9475</v>
      </c>
      <c r="D35" s="458"/>
      <c r="E35" s="213"/>
      <c r="F35" s="213"/>
      <c r="G35" s="213">
        <v>51483.05</v>
      </c>
      <c r="H35" s="213">
        <v>99.86</v>
      </c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4"/>
      <c r="T35" s="230"/>
      <c r="U35" s="225">
        <f t="shared" si="37"/>
        <v>51483.05</v>
      </c>
      <c r="V35" s="461">
        <f t="shared" si="37"/>
        <v>99.86</v>
      </c>
      <c r="W35" s="228"/>
      <c r="X35" s="204">
        <v>50969.09</v>
      </c>
      <c r="Y35" s="228"/>
      <c r="Z35" s="228"/>
      <c r="AA35" s="204">
        <v>689.62</v>
      </c>
      <c r="AB35" s="204">
        <v>239.15</v>
      </c>
      <c r="AC35" s="228"/>
      <c r="AD35" s="204"/>
      <c r="AE35" s="210"/>
      <c r="AF35" s="211">
        <f t="shared" si="38"/>
        <v>51897.86</v>
      </c>
      <c r="AG35" s="218">
        <f t="shared" si="23"/>
        <v>51997.72</v>
      </c>
      <c r="AH35" s="462">
        <v>0</v>
      </c>
      <c r="AI35" s="194">
        <f t="shared" si="24"/>
        <v>0</v>
      </c>
      <c r="AJ35" s="195">
        <f>'[15]Т10'!$J$6+'[15]Т10'!$J$9+'[15]Т10'!$J$57+'[15]Т10'!$J$64+'[15]Т10'!$J$106+'[15]Т10'!$J$109+'[15]Т10'!$J$114+'[15]Т10'!$J$137+'[15]Т10'!$J$169+'[15]Т10'!$J$262+'[15]Т10'!$J$294</f>
        <v>13026.86</v>
      </c>
      <c r="AK35" s="158">
        <f t="shared" si="39"/>
        <v>3980.4375</v>
      </c>
      <c r="AL35" s="158">
        <f t="shared" si="26"/>
        <v>1061.45</v>
      </c>
      <c r="AM35" s="158">
        <f t="shared" si="27"/>
        <v>5307.25</v>
      </c>
      <c r="AN35" s="158">
        <f t="shared" si="28"/>
        <v>1114.5225</v>
      </c>
      <c r="AO35" s="158">
        <f t="shared" si="29"/>
        <v>10720.645</v>
      </c>
      <c r="AP35" s="158">
        <f t="shared" si="30"/>
        <v>5466.4675</v>
      </c>
      <c r="AQ35" s="158">
        <f t="shared" si="31"/>
        <v>3980.4375</v>
      </c>
      <c r="AR35" s="158">
        <f t="shared" si="32"/>
        <v>3980.4375</v>
      </c>
      <c r="AS35" s="227">
        <f>B35*1.15</f>
        <v>6103.3375</v>
      </c>
      <c r="AT35" s="196">
        <f>0.45*1404.4</f>
        <v>631.98</v>
      </c>
      <c r="AU35" s="467"/>
      <c r="AV35" s="197"/>
      <c r="AW35" s="197"/>
      <c r="AX35" s="468">
        <f>135.3+87.5+54+72+1060+470.0769</f>
        <v>1878.8769</v>
      </c>
      <c r="AY35" s="468"/>
      <c r="AZ35" s="468"/>
      <c r="BA35" s="121"/>
      <c r="BB35" s="196"/>
      <c r="BC35" s="212">
        <f>SUM(AK35:BB35)</f>
        <v>44225.84190000001</v>
      </c>
      <c r="BD35" s="198">
        <f>'[15]Т10'!$S$6+'[15]Т10'!$S$9+'[15]Т10'!$S$57+'[15]Т10'!$S$64+'[15]Т10'!$S$106+'[15]Т10'!$S$109+'[15]Т10'!$S$114+'[15]Т10'!$S$137+'[15]Т10'!$S$169+'[15]Т10'!$S$262+'[15]Т10'!$S$294</f>
        <v>6204.671999999999</v>
      </c>
      <c r="BE35" s="186">
        <f t="shared" si="33"/>
        <v>50430.513900000005</v>
      </c>
      <c r="BF35" s="186">
        <f t="shared" si="34"/>
        <v>14594.066099999996</v>
      </c>
      <c r="BG35" s="186">
        <f t="shared" si="35"/>
        <v>414.8099999999977</v>
      </c>
    </row>
    <row r="36" spans="1:59" ht="12.75">
      <c r="A36" s="178" t="s">
        <v>42</v>
      </c>
      <c r="B36" s="469">
        <v>5307.25</v>
      </c>
      <c r="C36" s="131">
        <f t="shared" si="36"/>
        <v>50471.9475</v>
      </c>
      <c r="D36" s="458"/>
      <c r="E36" s="213"/>
      <c r="F36" s="213"/>
      <c r="G36" s="204">
        <v>51541.71</v>
      </c>
      <c r="H36" s="204">
        <v>99.86</v>
      </c>
      <c r="I36" s="213"/>
      <c r="J36" s="213"/>
      <c r="K36" s="213"/>
      <c r="L36" s="213"/>
      <c r="M36" s="204"/>
      <c r="N36" s="204"/>
      <c r="O36" s="204"/>
      <c r="P36" s="204"/>
      <c r="Q36" s="204"/>
      <c r="R36" s="204"/>
      <c r="S36" s="210"/>
      <c r="T36" s="230"/>
      <c r="U36" s="225">
        <f t="shared" si="37"/>
        <v>51541.71</v>
      </c>
      <c r="V36" s="461">
        <f t="shared" si="37"/>
        <v>99.86</v>
      </c>
      <c r="W36" s="228"/>
      <c r="X36" s="204">
        <v>45582.27</v>
      </c>
      <c r="Y36" s="228"/>
      <c r="Z36" s="228"/>
      <c r="AA36" s="204">
        <v>796.6</v>
      </c>
      <c r="AB36" s="204">
        <v>276.18</v>
      </c>
      <c r="AC36" s="228"/>
      <c r="AD36" s="204"/>
      <c r="AE36" s="210"/>
      <c r="AF36" s="211">
        <f t="shared" si="38"/>
        <v>46655.049999999996</v>
      </c>
      <c r="AG36" s="218">
        <f t="shared" si="23"/>
        <v>46754.909999999996</v>
      </c>
      <c r="AH36" s="462">
        <v>0</v>
      </c>
      <c r="AI36" s="194">
        <f t="shared" si="24"/>
        <v>0</v>
      </c>
      <c r="AJ36" s="195">
        <f>'[15]Т11'!$J$6+'[15]Т11'!$J$9+'[15]Т11'!$J$57+'[15]Т11'!$J$64+'[15]Т11'!$J$106+'[15]Т11'!$J$109+'[15]Т11'!$J$114+'[15]Т11'!$J$137+'[15]Т11'!$J$171+'[15]Т11'!$J$264+'[15]Т11'!$J$296</f>
        <v>13026.86</v>
      </c>
      <c r="AK36" s="158">
        <f t="shared" si="39"/>
        <v>3980.4375</v>
      </c>
      <c r="AL36" s="158">
        <f t="shared" si="26"/>
        <v>1061.45</v>
      </c>
      <c r="AM36" s="158">
        <f t="shared" si="27"/>
        <v>5307.25</v>
      </c>
      <c r="AN36" s="158">
        <f t="shared" si="28"/>
        <v>1114.5225</v>
      </c>
      <c r="AO36" s="158">
        <f t="shared" si="29"/>
        <v>10720.645</v>
      </c>
      <c r="AP36" s="158">
        <f t="shared" si="30"/>
        <v>5466.4675</v>
      </c>
      <c r="AQ36" s="158">
        <f t="shared" si="31"/>
        <v>3980.4375</v>
      </c>
      <c r="AR36" s="158">
        <f t="shared" si="32"/>
        <v>3980.4375</v>
      </c>
      <c r="AS36" s="227">
        <f>B36*1.15</f>
        <v>6103.3375</v>
      </c>
      <c r="AT36" s="196">
        <f>0.45*1404.4</f>
        <v>631.98</v>
      </c>
      <c r="AU36" s="459"/>
      <c r="AV36" s="197"/>
      <c r="AW36" s="197"/>
      <c r="AX36" s="197"/>
      <c r="AY36" s="197"/>
      <c r="AZ36" s="197"/>
      <c r="BA36" s="121"/>
      <c r="BB36" s="196"/>
      <c r="BC36" s="212">
        <f>SUM(AK36:BB36)</f>
        <v>42346.965000000004</v>
      </c>
      <c r="BD36" s="198">
        <f>'[15]Т11'!$S$6+'[15]Т11'!$S$9+'[15]Т11'!$S$57+'[15]Т11'!$S$64+'[15]Т11'!$S$106+'[15]Т11'!$S$109+'[15]Т11'!$S$114+'[15]Т11'!$S$137+'[15]Т11'!$S$171+'[15]Т11'!$S$264+'[15]Т11'!$S$296</f>
        <v>6204.671999999999</v>
      </c>
      <c r="BE36" s="186">
        <f t="shared" si="33"/>
        <v>48551.637</v>
      </c>
      <c r="BF36" s="186">
        <f t="shared" si="34"/>
        <v>11230.132999999994</v>
      </c>
      <c r="BG36" s="186">
        <f t="shared" si="35"/>
        <v>-4886.6600000000035</v>
      </c>
    </row>
    <row r="37" spans="1:59" ht="13.5" thickBot="1">
      <c r="A37" s="178" t="s">
        <v>43</v>
      </c>
      <c r="B37" s="269">
        <v>5296.75</v>
      </c>
      <c r="C37" s="131">
        <f t="shared" si="36"/>
        <v>50372.0925</v>
      </c>
      <c r="D37" s="458"/>
      <c r="E37" s="204"/>
      <c r="F37" s="204"/>
      <c r="G37" s="204">
        <v>50624.38</v>
      </c>
      <c r="H37" s="204">
        <v>99.86</v>
      </c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10"/>
      <c r="T37" s="230"/>
      <c r="U37" s="225">
        <f t="shared" si="37"/>
        <v>50624.38</v>
      </c>
      <c r="V37" s="461">
        <f t="shared" si="37"/>
        <v>99.86</v>
      </c>
      <c r="W37" s="228"/>
      <c r="X37" s="204">
        <v>46572.21</v>
      </c>
      <c r="Y37" s="204"/>
      <c r="Z37" s="204"/>
      <c r="AA37" s="204">
        <v>-4423.21</v>
      </c>
      <c r="AB37" s="204">
        <v>-4788.27</v>
      </c>
      <c r="AC37" s="204"/>
      <c r="AD37" s="204"/>
      <c r="AE37" s="210"/>
      <c r="AF37" s="211">
        <f t="shared" si="38"/>
        <v>37360.729999999996</v>
      </c>
      <c r="AG37" s="218">
        <f t="shared" si="23"/>
        <v>37460.59</v>
      </c>
      <c r="AH37" s="462">
        <v>0</v>
      </c>
      <c r="AI37" s="194">
        <f t="shared" si="24"/>
        <v>0</v>
      </c>
      <c r="AJ37" s="195">
        <f>'[15]Т12'!$J$6+'[15]Т12'!$J$9+'[15]Т12'!$J$57+'[15]Т12'!$J$64+'[15]Т12'!$J$106+'[15]Т12'!$J$109+'[15]Т12'!$J$114+'[15]Т12'!$J$137+'[15]Т12'!$J$173+'[15]Т12'!$J$266+'[15]Т12'!$J$298</f>
        <v>13026.86</v>
      </c>
      <c r="AK37" s="158">
        <f t="shared" si="39"/>
        <v>3972.5625</v>
      </c>
      <c r="AL37" s="158">
        <f t="shared" si="26"/>
        <v>1059.3500000000001</v>
      </c>
      <c r="AM37" s="158">
        <f t="shared" si="27"/>
        <v>5296.75</v>
      </c>
      <c r="AN37" s="158">
        <f t="shared" si="28"/>
        <v>1112.3174999999999</v>
      </c>
      <c r="AO37" s="158">
        <f t="shared" si="29"/>
        <v>10699.435</v>
      </c>
      <c r="AP37" s="158">
        <f t="shared" si="30"/>
        <v>5455.6525</v>
      </c>
      <c r="AQ37" s="158">
        <f t="shared" si="31"/>
        <v>3972.5625</v>
      </c>
      <c r="AR37" s="158">
        <f t="shared" si="32"/>
        <v>3972.5625</v>
      </c>
      <c r="AS37" s="227">
        <f>B37*1.15</f>
        <v>6091.2625</v>
      </c>
      <c r="AT37" s="196">
        <f>0.45*1404.4</f>
        <v>631.98</v>
      </c>
      <c r="AU37" s="459">
        <v>5213</v>
      </c>
      <c r="AV37" s="197">
        <v>77</v>
      </c>
      <c r="AW37" s="197"/>
      <c r="AX37" s="197">
        <f>1033</f>
        <v>1033</v>
      </c>
      <c r="AY37" s="197"/>
      <c r="AZ37" s="197"/>
      <c r="BA37" s="121"/>
      <c r="BB37" s="196"/>
      <c r="BC37" s="212">
        <f>SUM(AK37:BB37)</f>
        <v>48587.435000000005</v>
      </c>
      <c r="BD37" s="198">
        <f>'[15]Т12'!$S$6+'[15]Т12'!$S$9+'[15]Т12'!$S$57+'[15]Т12'!$S$64+'[15]Т12'!$S$106+'[15]Т12'!$S$109+'[15]Т12'!$S$114+'[15]Т12'!$S$137+'[15]Т12'!$S$173+'[15]Т12'!$S$266+'[15]Т12'!$S$298</f>
        <v>6204.671999999999</v>
      </c>
      <c r="BE37" s="186">
        <f t="shared" si="33"/>
        <v>54792.107</v>
      </c>
      <c r="BF37" s="186">
        <f t="shared" si="34"/>
        <v>-4304.6570000000065</v>
      </c>
      <c r="BG37" s="186">
        <f t="shared" si="35"/>
        <v>-13263.650000000001</v>
      </c>
    </row>
    <row r="38" spans="1:59" s="20" customFormat="1" ht="13.5" thickBot="1">
      <c r="A38" s="231" t="s">
        <v>5</v>
      </c>
      <c r="B38" s="232"/>
      <c r="C38" s="233">
        <f aca="true" t="shared" si="40" ref="C38:AX38">SUM(C26:C37)</f>
        <v>575499.0000000001</v>
      </c>
      <c r="D38" s="233">
        <f t="shared" si="40"/>
        <v>3413.2575</v>
      </c>
      <c r="E38" s="233">
        <f t="shared" si="40"/>
        <v>0</v>
      </c>
      <c r="F38" s="233">
        <f t="shared" si="40"/>
        <v>0</v>
      </c>
      <c r="G38" s="233">
        <f t="shared" si="40"/>
        <v>474691.02</v>
      </c>
      <c r="H38" s="233">
        <f t="shared" si="40"/>
        <v>924.9000000000001</v>
      </c>
      <c r="I38" s="233">
        <f t="shared" si="40"/>
        <v>0</v>
      </c>
      <c r="J38" s="233">
        <f t="shared" si="40"/>
        <v>0</v>
      </c>
      <c r="K38" s="233">
        <f t="shared" si="40"/>
        <v>0</v>
      </c>
      <c r="L38" s="233">
        <f t="shared" si="40"/>
        <v>0</v>
      </c>
      <c r="M38" s="233">
        <f t="shared" si="40"/>
        <v>80950.52</v>
      </c>
      <c r="N38" s="233">
        <f t="shared" si="40"/>
        <v>158.1</v>
      </c>
      <c r="O38" s="233">
        <f t="shared" si="40"/>
        <v>28130.98</v>
      </c>
      <c r="P38" s="233">
        <f t="shared" si="40"/>
        <v>0</v>
      </c>
      <c r="Q38" s="233">
        <f t="shared" si="40"/>
        <v>0</v>
      </c>
      <c r="R38" s="233">
        <f t="shared" si="40"/>
        <v>0</v>
      </c>
      <c r="S38" s="233">
        <f t="shared" si="40"/>
        <v>0</v>
      </c>
      <c r="T38" s="233">
        <f t="shared" si="40"/>
        <v>0</v>
      </c>
      <c r="U38" s="233">
        <f t="shared" si="40"/>
        <v>583772.52</v>
      </c>
      <c r="V38" s="233">
        <f t="shared" si="40"/>
        <v>1083</v>
      </c>
      <c r="W38" s="233">
        <f t="shared" si="40"/>
        <v>0</v>
      </c>
      <c r="X38" s="233">
        <f t="shared" si="40"/>
        <v>419831.94</v>
      </c>
      <c r="Y38" s="233">
        <f t="shared" si="40"/>
        <v>0</v>
      </c>
      <c r="Z38" s="233">
        <f t="shared" si="40"/>
        <v>0</v>
      </c>
      <c r="AA38" s="233">
        <f t="shared" si="40"/>
        <v>80095.78999999998</v>
      </c>
      <c r="AB38" s="233">
        <f t="shared" si="40"/>
        <v>24517.420000000002</v>
      </c>
      <c r="AC38" s="233">
        <f t="shared" si="40"/>
        <v>0</v>
      </c>
      <c r="AD38" s="233">
        <f t="shared" si="40"/>
        <v>0</v>
      </c>
      <c r="AE38" s="233">
        <f t="shared" si="40"/>
        <v>0</v>
      </c>
      <c r="AF38" s="233">
        <f t="shared" si="40"/>
        <v>524445.1499999999</v>
      </c>
      <c r="AG38" s="233">
        <f t="shared" si="40"/>
        <v>528941.4075</v>
      </c>
      <c r="AH38" s="233">
        <f t="shared" si="40"/>
        <v>0</v>
      </c>
      <c r="AI38" s="233">
        <f t="shared" si="40"/>
        <v>0</v>
      </c>
      <c r="AJ38" s="233">
        <f t="shared" si="40"/>
        <v>152322.32</v>
      </c>
      <c r="AK38" s="233">
        <f t="shared" si="40"/>
        <v>45249.504</v>
      </c>
      <c r="AL38" s="233">
        <f t="shared" si="40"/>
        <v>12747.04</v>
      </c>
      <c r="AM38" s="233">
        <f t="shared" si="40"/>
        <v>63735.2</v>
      </c>
      <c r="AN38" s="233">
        <f t="shared" si="40"/>
        <v>13384.391999999998</v>
      </c>
      <c r="AO38" s="233">
        <f t="shared" si="40"/>
        <v>128745.10399999999</v>
      </c>
      <c r="AP38" s="233">
        <f t="shared" si="40"/>
        <v>65647.25600000001</v>
      </c>
      <c r="AQ38" s="233">
        <f t="shared" si="40"/>
        <v>47801.399999999994</v>
      </c>
      <c r="AR38" s="233">
        <f t="shared" si="40"/>
        <v>47801.399999999994</v>
      </c>
      <c r="AS38" s="233">
        <f t="shared" si="40"/>
        <v>36666.6</v>
      </c>
      <c r="AT38" s="233">
        <f t="shared" si="40"/>
        <v>15983.759999999998</v>
      </c>
      <c r="AU38" s="233">
        <f t="shared" si="40"/>
        <v>52637</v>
      </c>
      <c r="AV38" s="233">
        <f t="shared" si="40"/>
        <v>77</v>
      </c>
      <c r="AW38" s="233">
        <f t="shared" si="40"/>
        <v>5338.53</v>
      </c>
      <c r="AX38" s="233">
        <f t="shared" si="40"/>
        <v>26167.6519</v>
      </c>
      <c r="AY38" s="233">
        <f>SUM(BA26:BA37)</f>
        <v>0</v>
      </c>
      <c r="AZ38" s="233">
        <f>SUM(BB26:BB37)</f>
        <v>0</v>
      </c>
      <c r="BA38" s="233">
        <f>SUM(BA26:BA37)</f>
        <v>0</v>
      </c>
      <c r="BB38" s="233">
        <f>SUM(BB26:BB37)</f>
        <v>0</v>
      </c>
      <c r="BC38" s="233">
        <f>SUM(BC26:BC37)</f>
        <v>561981.8379</v>
      </c>
      <c r="BD38" s="233">
        <f>SUM(BD26:BD37)</f>
        <v>73456.06399999998</v>
      </c>
      <c r="BE38" s="470">
        <f>SUM(BE26:BE37)</f>
        <v>635437.9018999999</v>
      </c>
      <c r="BF38" s="470">
        <f>SUM(BF26:BF37)</f>
        <v>45825.82559999998</v>
      </c>
      <c r="BG38" s="470">
        <f>SUM(BG26:BG37)</f>
        <v>-59327.37000000002</v>
      </c>
    </row>
    <row r="39" spans="1:59" s="20" customFormat="1" ht="13.5" thickBot="1">
      <c r="A39" s="234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471"/>
      <c r="BF39" s="472"/>
      <c r="BG39" s="473"/>
    </row>
    <row r="40" spans="1:59" s="20" customFormat="1" ht="13.5" thickBot="1">
      <c r="A40" s="22" t="s">
        <v>54</v>
      </c>
      <c r="B40" s="235"/>
      <c r="C40" s="236">
        <f aca="true" t="shared" si="41" ref="C40:BG40">C38+C24</f>
        <v>2376059.5650000004</v>
      </c>
      <c r="D40" s="236">
        <f t="shared" si="41"/>
        <v>150386.04891184994</v>
      </c>
      <c r="E40" s="236">
        <f t="shared" si="41"/>
        <v>106040.07999999999</v>
      </c>
      <c r="F40" s="236">
        <f t="shared" si="41"/>
        <v>20971.36</v>
      </c>
      <c r="G40" s="236">
        <f t="shared" si="41"/>
        <v>809673.39</v>
      </c>
      <c r="H40" s="236">
        <f t="shared" si="41"/>
        <v>1467.8000000000002</v>
      </c>
      <c r="I40" s="236">
        <f t="shared" si="41"/>
        <v>143501.76</v>
      </c>
      <c r="J40" s="236">
        <f t="shared" si="41"/>
        <v>28391.09</v>
      </c>
      <c r="K40" s="236">
        <f t="shared" si="41"/>
        <v>241697.90000000002</v>
      </c>
      <c r="L40" s="236">
        <f t="shared" si="41"/>
        <v>47265.380000000005</v>
      </c>
      <c r="M40" s="236">
        <f t="shared" si="41"/>
        <v>590796.19</v>
      </c>
      <c r="N40" s="236">
        <f t="shared" si="41"/>
        <v>68569.00000000001</v>
      </c>
      <c r="O40" s="236">
        <f t="shared" si="41"/>
        <v>169497.36000000002</v>
      </c>
      <c r="P40" s="236">
        <f t="shared" si="41"/>
        <v>16777.06</v>
      </c>
      <c r="Q40" s="236">
        <f t="shared" si="41"/>
        <v>0</v>
      </c>
      <c r="R40" s="236">
        <f t="shared" si="41"/>
        <v>0</v>
      </c>
      <c r="S40" s="236">
        <f t="shared" si="41"/>
        <v>0</v>
      </c>
      <c r="T40" s="236">
        <f t="shared" si="41"/>
        <v>0</v>
      </c>
      <c r="U40" s="236">
        <f t="shared" si="41"/>
        <v>2061206.68</v>
      </c>
      <c r="V40" s="236">
        <f t="shared" si="41"/>
        <v>183441.69</v>
      </c>
      <c r="W40" s="236">
        <f t="shared" si="41"/>
        <v>103563.25</v>
      </c>
      <c r="X40" s="236">
        <f t="shared" si="41"/>
        <v>707162.3</v>
      </c>
      <c r="Y40" s="236">
        <f t="shared" si="41"/>
        <v>137544.62999999998</v>
      </c>
      <c r="Z40" s="236">
        <f t="shared" si="41"/>
        <v>229671.9</v>
      </c>
      <c r="AA40" s="236">
        <f t="shared" si="41"/>
        <v>554987.46</v>
      </c>
      <c r="AB40" s="236">
        <f t="shared" si="41"/>
        <v>159045.6</v>
      </c>
      <c r="AC40" s="236">
        <f t="shared" si="41"/>
        <v>0</v>
      </c>
      <c r="AD40" s="236">
        <f t="shared" si="41"/>
        <v>0</v>
      </c>
      <c r="AE40" s="236">
        <f t="shared" si="41"/>
        <v>0</v>
      </c>
      <c r="AF40" s="236">
        <f t="shared" si="41"/>
        <v>1891975.1400000001</v>
      </c>
      <c r="AG40" s="236">
        <f t="shared" si="41"/>
        <v>2225802.87891185</v>
      </c>
      <c r="AH40" s="236">
        <f t="shared" si="41"/>
        <v>0</v>
      </c>
      <c r="AI40" s="236">
        <f t="shared" si="41"/>
        <v>0</v>
      </c>
      <c r="AJ40" s="236">
        <f t="shared" si="41"/>
        <v>389134.28078000003</v>
      </c>
      <c r="AK40" s="236">
        <f t="shared" si="41"/>
        <v>173802.70899999997</v>
      </c>
      <c r="AL40" s="236">
        <f t="shared" si="41"/>
        <v>54248.9877888</v>
      </c>
      <c r="AM40" s="236">
        <f t="shared" si="41"/>
        <v>269920.020039745</v>
      </c>
      <c r="AN40" s="236">
        <f t="shared" si="41"/>
        <v>26881.155</v>
      </c>
      <c r="AO40" s="236">
        <f t="shared" si="41"/>
        <v>400125.8475089854</v>
      </c>
      <c r="AP40" s="236">
        <f t="shared" si="41"/>
        <v>448508.74938213953</v>
      </c>
      <c r="AQ40" s="236">
        <f t="shared" si="41"/>
        <v>96004.125</v>
      </c>
      <c r="AR40" s="236">
        <f t="shared" si="41"/>
        <v>96004.125</v>
      </c>
      <c r="AS40" s="236">
        <f t="shared" si="41"/>
        <v>73619.89499999999</v>
      </c>
      <c r="AT40" s="236">
        <f t="shared" si="41"/>
        <v>31151.28</v>
      </c>
      <c r="AU40" s="236">
        <f t="shared" si="41"/>
        <v>326936.7816</v>
      </c>
      <c r="AV40" s="236">
        <f t="shared" si="41"/>
        <v>5111</v>
      </c>
      <c r="AW40" s="236">
        <f t="shared" si="41"/>
        <v>121667.52999999998</v>
      </c>
      <c r="AX40" s="236">
        <f t="shared" si="41"/>
        <v>149662.45309999998</v>
      </c>
      <c r="AY40" s="236">
        <f t="shared" si="41"/>
        <v>27867.1004</v>
      </c>
      <c r="AZ40" s="236">
        <f t="shared" si="41"/>
        <v>0</v>
      </c>
      <c r="BA40" s="236">
        <f t="shared" si="41"/>
        <v>33054</v>
      </c>
      <c r="BB40" s="236">
        <f t="shared" si="41"/>
        <v>0</v>
      </c>
      <c r="BC40" s="236">
        <f t="shared" si="41"/>
        <v>2334565.75881967</v>
      </c>
      <c r="BD40" s="236">
        <f t="shared" si="41"/>
        <v>188882.74535177977</v>
      </c>
      <c r="BE40" s="474">
        <f t="shared" si="41"/>
        <v>2523448.5041714497</v>
      </c>
      <c r="BF40" s="474">
        <f t="shared" si="41"/>
        <v>91488.65552040012</v>
      </c>
      <c r="BG40" s="475">
        <f t="shared" si="41"/>
        <v>-167537.57000000004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A14" sqref="A14:IV29"/>
    </sheetView>
  </sheetViews>
  <sheetFormatPr defaultColWidth="9.00390625" defaultRowHeight="12.75"/>
  <cols>
    <col min="1" max="1" width="10.00390625" style="166" customWidth="1"/>
    <col min="2" max="2" width="9.875" style="166" customWidth="1"/>
    <col min="3" max="3" width="11.625" style="166" customWidth="1"/>
    <col min="4" max="4" width="10.125" style="166" customWidth="1"/>
    <col min="5" max="5" width="11.375" style="166" customWidth="1"/>
    <col min="6" max="6" width="9.875" style="166" customWidth="1"/>
    <col min="7" max="7" width="11.375" style="166" customWidth="1"/>
    <col min="8" max="8" width="11.625" style="166" customWidth="1"/>
    <col min="9" max="9" width="10.125" style="166" customWidth="1"/>
    <col min="10" max="10" width="10.00390625" style="166" customWidth="1"/>
    <col min="11" max="11" width="8.875" style="166" customWidth="1"/>
    <col min="12" max="12" width="11.625" style="166" customWidth="1"/>
    <col min="13" max="14" width="9.875" style="166" customWidth="1"/>
    <col min="15" max="15" width="11.375" style="166" customWidth="1"/>
    <col min="16" max="16" width="9.625" style="166" customWidth="1"/>
    <col min="17" max="17" width="10.375" style="166" customWidth="1"/>
    <col min="18" max="18" width="9.625" style="166" customWidth="1"/>
    <col min="19" max="16384" width="9.125" style="166" customWidth="1"/>
  </cols>
  <sheetData>
    <row r="1" spans="2:9" ht="20.25" customHeight="1">
      <c r="B1" s="329" t="s">
        <v>55</v>
      </c>
      <c r="C1" s="329"/>
      <c r="D1" s="329"/>
      <c r="E1" s="329"/>
      <c r="F1" s="329"/>
      <c r="G1" s="329"/>
      <c r="H1" s="329"/>
      <c r="I1" s="149"/>
    </row>
    <row r="2" spans="2:12" ht="21" customHeight="1">
      <c r="B2" s="329" t="s">
        <v>56</v>
      </c>
      <c r="C2" s="329"/>
      <c r="D2" s="329"/>
      <c r="E2" s="329"/>
      <c r="F2" s="329"/>
      <c r="G2" s="329"/>
      <c r="H2" s="329"/>
      <c r="I2" s="149"/>
      <c r="K2" s="165"/>
      <c r="L2" s="165"/>
    </row>
    <row r="5" spans="1:14" ht="12.75">
      <c r="A5" s="331" t="s">
        <v>122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ht="12.75">
      <c r="A6" s="332" t="s">
        <v>126</v>
      </c>
      <c r="B6" s="332"/>
      <c r="C6" s="332"/>
      <c r="D6" s="332"/>
      <c r="E6" s="332"/>
      <c r="F6" s="332"/>
      <c r="G6" s="332"/>
      <c r="H6" s="103"/>
      <c r="I6" s="103"/>
      <c r="J6" s="103"/>
      <c r="K6" s="103"/>
      <c r="L6" s="103"/>
      <c r="M6" s="103"/>
      <c r="N6" s="103"/>
    </row>
    <row r="7" spans="1:15" ht="13.5" thickBot="1">
      <c r="A7" s="439" t="s">
        <v>124</v>
      </c>
      <c r="B7" s="440"/>
      <c r="C7" s="440"/>
      <c r="D7" s="440"/>
      <c r="E7" s="440">
        <v>9.51</v>
      </c>
      <c r="F7" s="440"/>
      <c r="J7" s="237"/>
      <c r="K7" s="237"/>
      <c r="L7" s="237"/>
      <c r="M7" s="237"/>
      <c r="N7" s="237"/>
      <c r="O7" s="237"/>
    </row>
    <row r="8" spans="1:18" ht="12.75" customHeight="1">
      <c r="A8" s="456" t="s">
        <v>58</v>
      </c>
      <c r="B8" s="457" t="s">
        <v>1</v>
      </c>
      <c r="C8" s="437" t="s">
        <v>127</v>
      </c>
      <c r="D8" s="438" t="s">
        <v>3</v>
      </c>
      <c r="E8" s="336" t="s">
        <v>60</v>
      </c>
      <c r="F8" s="337"/>
      <c r="G8" s="348" t="s">
        <v>61</v>
      </c>
      <c r="H8" s="349"/>
      <c r="I8" s="447" t="s">
        <v>117</v>
      </c>
      <c r="J8" s="450" t="s">
        <v>10</v>
      </c>
      <c r="K8" s="451"/>
      <c r="L8" s="451"/>
      <c r="M8" s="451"/>
      <c r="N8" s="451"/>
      <c r="O8" s="452"/>
      <c r="P8" s="434" t="s">
        <v>62</v>
      </c>
      <c r="Q8" s="434" t="s">
        <v>12</v>
      </c>
      <c r="R8" s="434" t="s">
        <v>123</v>
      </c>
    </row>
    <row r="9" spans="1:18" ht="12.75">
      <c r="A9" s="275"/>
      <c r="B9" s="364"/>
      <c r="C9" s="324"/>
      <c r="D9" s="327"/>
      <c r="E9" s="346"/>
      <c r="F9" s="347"/>
      <c r="G9" s="350"/>
      <c r="H9" s="351"/>
      <c r="I9" s="448"/>
      <c r="J9" s="453"/>
      <c r="K9" s="454"/>
      <c r="L9" s="454"/>
      <c r="M9" s="454"/>
      <c r="N9" s="454"/>
      <c r="O9" s="455"/>
      <c r="P9" s="435"/>
      <c r="Q9" s="435"/>
      <c r="R9" s="435"/>
    </row>
    <row r="10" spans="1:18" ht="26.25" customHeight="1">
      <c r="A10" s="275"/>
      <c r="B10" s="364"/>
      <c r="C10" s="324"/>
      <c r="D10" s="327"/>
      <c r="E10" s="336" t="s">
        <v>63</v>
      </c>
      <c r="F10" s="337"/>
      <c r="G10" s="89" t="s">
        <v>64</v>
      </c>
      <c r="H10" s="338" t="s">
        <v>7</v>
      </c>
      <c r="I10" s="448"/>
      <c r="J10" s="340" t="s">
        <v>65</v>
      </c>
      <c r="K10" s="342" t="s">
        <v>118</v>
      </c>
      <c r="L10" s="342" t="s">
        <v>66</v>
      </c>
      <c r="M10" s="342" t="s">
        <v>37</v>
      </c>
      <c r="N10" s="343" t="s">
        <v>119</v>
      </c>
      <c r="O10" s="339" t="s">
        <v>39</v>
      </c>
      <c r="P10" s="435"/>
      <c r="Q10" s="435"/>
      <c r="R10" s="435"/>
    </row>
    <row r="11" spans="1:18" ht="66.75" customHeight="1" thickBot="1">
      <c r="A11" s="362"/>
      <c r="B11" s="365"/>
      <c r="C11" s="325"/>
      <c r="D11" s="328"/>
      <c r="E11" s="63" t="s">
        <v>68</v>
      </c>
      <c r="F11" s="67" t="s">
        <v>21</v>
      </c>
      <c r="G11" s="82" t="s">
        <v>69</v>
      </c>
      <c r="H11" s="339"/>
      <c r="I11" s="449"/>
      <c r="J11" s="341"/>
      <c r="K11" s="343"/>
      <c r="L11" s="343"/>
      <c r="M11" s="343"/>
      <c r="N11" s="441"/>
      <c r="O11" s="442"/>
      <c r="P11" s="436"/>
      <c r="Q11" s="436"/>
      <c r="R11" s="436"/>
    </row>
    <row r="12" spans="1:18" ht="13.5" thickBot="1">
      <c r="A12" s="64">
        <v>1</v>
      </c>
      <c r="B12" s="65">
        <v>2</v>
      </c>
      <c r="C12" s="64">
        <v>3</v>
      </c>
      <c r="D12" s="65">
        <v>4</v>
      </c>
      <c r="E12" s="238">
        <v>5</v>
      </c>
      <c r="F12" s="170">
        <v>6</v>
      </c>
      <c r="G12" s="238">
        <v>7</v>
      </c>
      <c r="H12" s="170">
        <v>8</v>
      </c>
      <c r="I12" s="239">
        <v>9</v>
      </c>
      <c r="J12" s="238">
        <v>10</v>
      </c>
      <c r="K12" s="170">
        <v>11</v>
      </c>
      <c r="L12" s="239">
        <v>12</v>
      </c>
      <c r="M12" s="64">
        <v>13</v>
      </c>
      <c r="N12" s="238">
        <v>14</v>
      </c>
      <c r="O12" s="170">
        <v>15</v>
      </c>
      <c r="P12" s="239">
        <v>16</v>
      </c>
      <c r="Q12" s="170">
        <v>17</v>
      </c>
      <c r="R12" s="238">
        <v>18</v>
      </c>
    </row>
    <row r="13" spans="1:18" ht="13.5" thickBot="1">
      <c r="A13" s="321" t="s">
        <v>94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240"/>
      <c r="P13" s="241"/>
      <c r="Q13" s="241"/>
      <c r="R13" s="241"/>
    </row>
    <row r="14" spans="1:19" s="20" customFormat="1" ht="13.5" hidden="1" thickBot="1">
      <c r="A14" s="81" t="s">
        <v>54</v>
      </c>
      <c r="B14" s="38"/>
      <c r="C14" s="39">
        <f>'2012 полн'!C8</f>
        <v>1251049.5</v>
      </c>
      <c r="D14" s="39">
        <f>'2012 полн'!D8</f>
        <v>140532.10341184994</v>
      </c>
      <c r="E14" s="39">
        <f>'2012 полн'!U8</f>
        <v>923250.3999999999</v>
      </c>
      <c r="F14" s="39">
        <f>'2012 полн'!V8</f>
        <v>181525.87</v>
      </c>
      <c r="G14" s="39">
        <f>'2012 полн'!AF8</f>
        <v>836398.3500000001</v>
      </c>
      <c r="H14" s="39">
        <f>'2012 полн'!AG8</f>
        <v>1158456.3234118498</v>
      </c>
      <c r="I14" s="39">
        <f>'2012 полн'!AJ8</f>
        <v>121234.41678000003</v>
      </c>
      <c r="J14" s="39">
        <f>'2012 полн'!AK8</f>
        <v>85492.10399999999</v>
      </c>
      <c r="K14" s="39">
        <f>'2012 полн'!AL8</f>
        <v>28647.887788799995</v>
      </c>
      <c r="L14" s="39">
        <f>'2012 полн'!AM8+'2012 полн'!AN8+'2012 полн'!AO8+'2012 полн'!AP8+'2012 полн'!AQ8+'2012 полн'!AR8+'2012 полн'!AS8+'2012 полн'!AT8+'2012 полн'!AX8+'2012 полн'!AY8+33054</f>
        <v>698225.49353087</v>
      </c>
      <c r="M14" s="39">
        <f>'2012 полн'!AU8+'2012 полн'!AV8+'2012 полн'!AW8</f>
        <v>338334.7816</v>
      </c>
      <c r="N14" s="39">
        <f>'2012 полн'!BD8</f>
        <v>48656.01135177979</v>
      </c>
      <c r="O14" s="39">
        <f>SUM(J14:N14)</f>
        <v>1199356.2782714497</v>
      </c>
      <c r="P14" s="39">
        <f>H14+I14-O14</f>
        <v>80334.46192040015</v>
      </c>
      <c r="Q14" s="39">
        <f>'2012 полн'!BG8</f>
        <v>-85158.08</v>
      </c>
      <c r="R14" s="271">
        <f>0</f>
        <v>0</v>
      </c>
      <c r="S14" s="72"/>
    </row>
    <row r="15" spans="1:19" ht="13.5" hidden="1" thickBot="1">
      <c r="A15" s="242" t="s">
        <v>116</v>
      </c>
      <c r="B15" s="243"/>
      <c r="C15" s="244"/>
      <c r="D15" s="245"/>
      <c r="E15" s="246"/>
      <c r="F15" s="247"/>
      <c r="G15" s="248"/>
      <c r="H15" s="247"/>
      <c r="I15" s="249"/>
      <c r="J15" s="248"/>
      <c r="K15" s="250"/>
      <c r="L15" s="250"/>
      <c r="M15" s="251"/>
      <c r="N15" s="252"/>
      <c r="O15" s="253"/>
      <c r="P15" s="254"/>
      <c r="Q15" s="254"/>
      <c r="R15" s="241"/>
      <c r="S15" s="165"/>
    </row>
    <row r="16" spans="1:19" ht="13.5" hidden="1" thickBot="1">
      <c r="A16" s="255" t="s">
        <v>45</v>
      </c>
      <c r="B16" s="256">
        <f>'2012 полн'!B10</f>
        <v>5355.65</v>
      </c>
      <c r="C16" s="257">
        <f>'2012 полн'!C10</f>
        <v>45790.8075</v>
      </c>
      <c r="D16" s="258">
        <f>'2012 полн'!D10</f>
        <v>552.84</v>
      </c>
      <c r="E16" s="259">
        <f>'2012 полн'!U10</f>
        <v>46505.42</v>
      </c>
      <c r="F16" s="259">
        <f>'2012 полн'!V10</f>
        <v>26.36</v>
      </c>
      <c r="G16" s="260">
        <f>'2012 полн'!AF10</f>
        <v>29991.44</v>
      </c>
      <c r="H16" s="260">
        <f>'2012 полн'!AG10</f>
        <v>30570.64</v>
      </c>
      <c r="I16" s="260">
        <f>'2012 полн'!AJ10</f>
        <v>7775.388000000001</v>
      </c>
      <c r="J16" s="260">
        <f>'2012 полн'!AK10</f>
        <v>3588.2855</v>
      </c>
      <c r="K16" s="260">
        <f>'2012 полн'!AL10</f>
        <v>1071.1299999999999</v>
      </c>
      <c r="L16" s="259">
        <f>'2012 полн'!AM10+'2012 полн'!AN10+'2012 полн'!AO10+'2012 полн'!AP10+'2012 полн'!AQ10+'2012 полн'!AR10+'2012 полн'!AS10+'2012 полн'!AT10</f>
        <v>37639.521499999995</v>
      </c>
      <c r="M16" s="261">
        <f>'2012 полн'!AU10+'2012 полн'!AV10+'2012 полн'!AW10+'2012 полн'!AX10</f>
        <v>72785.10999999999</v>
      </c>
      <c r="N16" s="262">
        <f>'2012 полн'!BD10</f>
        <v>5041.546</v>
      </c>
      <c r="O16" s="263">
        <f>SUM(J16:N16)</f>
        <v>120125.593</v>
      </c>
      <c r="P16" s="264">
        <f>H16+I16-O16</f>
        <v>-81779.565</v>
      </c>
      <c r="Q16" s="264">
        <f>'2012 полн'!BG10</f>
        <v>-16513.98</v>
      </c>
      <c r="R16" s="270">
        <f>206*12.98</f>
        <v>2673.88</v>
      </c>
      <c r="S16" s="165"/>
    </row>
    <row r="17" spans="1:19" ht="13.5" hidden="1" thickBot="1">
      <c r="A17" s="178" t="s">
        <v>46</v>
      </c>
      <c r="B17" s="256">
        <f>'2012 полн'!B11</f>
        <v>5355.65</v>
      </c>
      <c r="C17" s="257">
        <f>'2012 полн'!C11</f>
        <v>45790.8075</v>
      </c>
      <c r="D17" s="258">
        <f>'2012 полн'!D11</f>
        <v>552.84</v>
      </c>
      <c r="E17" s="259">
        <f>'2012 полн'!U11</f>
        <v>45382.36</v>
      </c>
      <c r="F17" s="259">
        <f>'2012 полн'!V11</f>
        <v>0</v>
      </c>
      <c r="G17" s="260">
        <f>'2012 полн'!AF11</f>
        <v>41302</v>
      </c>
      <c r="H17" s="260">
        <f>'2012 полн'!AG11</f>
        <v>41854.84</v>
      </c>
      <c r="I17" s="260">
        <f>'2012 полн'!AJ11</f>
        <v>7775.388000000001</v>
      </c>
      <c r="J17" s="260">
        <f>'2012 полн'!AK11</f>
        <v>3588.2855</v>
      </c>
      <c r="K17" s="260">
        <f>'2012 полн'!AL11</f>
        <v>1071.1299999999999</v>
      </c>
      <c r="L17" s="259">
        <f>'2012 полн'!AM11+'2012 полн'!AN11+'2012 полн'!AO11+'2012 полн'!AP11+'2012 полн'!AQ11+'2012 полн'!AR11+'2012 полн'!AS11+'2012 полн'!AT11</f>
        <v>37639.521499999995</v>
      </c>
      <c r="M17" s="261">
        <f>'2012 полн'!AU11+'2012 полн'!AV11+'2012 полн'!AW11+'2012 полн'!AX11</f>
        <v>8506.84</v>
      </c>
      <c r="N17" s="262">
        <f>'2012 полн'!BD11</f>
        <v>5041.546</v>
      </c>
      <c r="O17" s="263">
        <f aca="true" t="shared" si="0" ref="O17:O27">SUM(J17:N17)</f>
        <v>55847.323000000004</v>
      </c>
      <c r="P17" s="264">
        <f aca="true" t="shared" si="1" ref="P17:P27">H17+I17-O17</f>
        <v>-6217.095000000008</v>
      </c>
      <c r="Q17" s="264">
        <f>'2012 полн'!BG11</f>
        <v>-4080.3600000000006</v>
      </c>
      <c r="R17" s="241">
        <f aca="true" t="shared" si="2" ref="R17:R27">206*12.98</f>
        <v>2673.88</v>
      </c>
      <c r="S17" s="165"/>
    </row>
    <row r="18" spans="1:19" ht="13.5" hidden="1" thickBot="1">
      <c r="A18" s="178" t="s">
        <v>47</v>
      </c>
      <c r="B18" s="256">
        <f>'2012 полн'!B12</f>
        <v>5355.65</v>
      </c>
      <c r="C18" s="257">
        <f>'2012 полн'!C12</f>
        <v>45790.8075</v>
      </c>
      <c r="D18" s="258">
        <f>'2012 полн'!D12</f>
        <v>552.84</v>
      </c>
      <c r="E18" s="259">
        <f>'2012 полн'!U12</f>
        <v>45933.659999999996</v>
      </c>
      <c r="F18" s="259">
        <f>'2012 полн'!V12</f>
        <v>80.65</v>
      </c>
      <c r="G18" s="260">
        <f>'2012 полн'!AF12</f>
        <v>44889.03</v>
      </c>
      <c r="H18" s="260">
        <f>'2012 полн'!AG12</f>
        <v>45522.52</v>
      </c>
      <c r="I18" s="260">
        <f>'2012 полн'!AJ12</f>
        <v>7775.388000000001</v>
      </c>
      <c r="J18" s="260">
        <f>'2012 полн'!AK12</f>
        <v>3588.2855</v>
      </c>
      <c r="K18" s="260">
        <f>'2012 полн'!AL12</f>
        <v>1071.1299999999999</v>
      </c>
      <c r="L18" s="259">
        <f>'2012 полн'!AM12+'2012 полн'!AN12+'2012 полн'!AO12+'2012 полн'!AP12+'2012 полн'!AQ12+'2012 полн'!AR12+'2012 полн'!AS12+'2012 полн'!AT12</f>
        <v>37639.521499999995</v>
      </c>
      <c r="M18" s="261">
        <f>'2012 полн'!AU12+'2012 полн'!AV12+'2012 полн'!AW12+'2012 полн'!AX12</f>
        <v>320</v>
      </c>
      <c r="N18" s="262">
        <f>'2012 полн'!BD12</f>
        <v>5016.546</v>
      </c>
      <c r="O18" s="263">
        <f t="shared" si="0"/>
        <v>47635.483</v>
      </c>
      <c r="P18" s="264">
        <f t="shared" si="1"/>
        <v>5662.424999999996</v>
      </c>
      <c r="Q18" s="264">
        <f>'2012 полн'!BG12</f>
        <v>-1044.6299999999974</v>
      </c>
      <c r="R18" s="270">
        <f t="shared" si="2"/>
        <v>2673.88</v>
      </c>
      <c r="S18" s="165"/>
    </row>
    <row r="19" spans="1:19" ht="13.5" hidden="1" thickBot="1">
      <c r="A19" s="178" t="s">
        <v>48</v>
      </c>
      <c r="B19" s="256">
        <f>'2012 полн'!B13</f>
        <v>5355.65</v>
      </c>
      <c r="C19" s="257">
        <f>'2012 полн'!C13</f>
        <v>45790.8075</v>
      </c>
      <c r="D19" s="258">
        <f>'2012 полн'!D13</f>
        <v>552.84</v>
      </c>
      <c r="E19" s="259">
        <f>'2012 полн'!U13</f>
        <v>45924.020000000004</v>
      </c>
      <c r="F19" s="259">
        <f>'2012 полн'!V13</f>
        <v>80.65</v>
      </c>
      <c r="G19" s="260">
        <f>'2012 полн'!AF13</f>
        <v>42364.66</v>
      </c>
      <c r="H19" s="260">
        <f>'2012 полн'!AG13</f>
        <v>42998.15</v>
      </c>
      <c r="I19" s="260">
        <f>'2012 полн'!AJ13</f>
        <v>9423.388</v>
      </c>
      <c r="J19" s="260">
        <f>'2012 полн'!AK13</f>
        <v>3588.2855</v>
      </c>
      <c r="K19" s="260">
        <f>'2012 полн'!AL13</f>
        <v>1071.1299999999999</v>
      </c>
      <c r="L19" s="259">
        <f>'2012 полн'!AM13+'2012 полн'!AN13+'2012 полн'!AO13+'2012 полн'!AP13+'2012 полн'!AQ13+'2012 полн'!AR13+'2012 полн'!AS13+'2012 полн'!AT13</f>
        <v>31480.523999999994</v>
      </c>
      <c r="M19" s="261">
        <f>'2012 полн'!AU13+'2012 полн'!AV13+'2012 полн'!AW13+'2012 полн'!AX13</f>
        <v>23187</v>
      </c>
      <c r="N19" s="262">
        <f>'2012 полн'!BD13</f>
        <v>5016.546</v>
      </c>
      <c r="O19" s="263">
        <f t="shared" si="0"/>
        <v>64343.485499999995</v>
      </c>
      <c r="P19" s="264">
        <f t="shared" si="1"/>
        <v>-11921.947499999995</v>
      </c>
      <c r="Q19" s="264">
        <f>'2012 полн'!BG13</f>
        <v>-3559.3600000000006</v>
      </c>
      <c r="R19" s="241">
        <f t="shared" si="2"/>
        <v>2673.88</v>
      </c>
      <c r="S19" s="165"/>
    </row>
    <row r="20" spans="1:19" ht="13.5" hidden="1" thickBot="1">
      <c r="A20" s="178" t="s">
        <v>49</v>
      </c>
      <c r="B20" s="256">
        <f>'2012 полн'!B14</f>
        <v>5355.65</v>
      </c>
      <c r="C20" s="257">
        <f>'2012 полн'!C14</f>
        <v>45790.8075</v>
      </c>
      <c r="D20" s="258">
        <f>'2012 полн'!D14</f>
        <v>552.84</v>
      </c>
      <c r="E20" s="259">
        <f>'2012 полн'!U14</f>
        <v>45902.97</v>
      </c>
      <c r="F20" s="259">
        <f>'2012 полн'!V14</f>
        <v>80.65</v>
      </c>
      <c r="G20" s="260">
        <f>'2012 полн'!AF14</f>
        <v>40049.049999999996</v>
      </c>
      <c r="H20" s="260">
        <f>'2012 полн'!AG14</f>
        <v>40682.53999999999</v>
      </c>
      <c r="I20" s="260">
        <f>'2012 полн'!AJ14</f>
        <v>8187.388000000001</v>
      </c>
      <c r="J20" s="260">
        <f>'2012 полн'!AK14</f>
        <v>3588.2855</v>
      </c>
      <c r="K20" s="260">
        <f>'2012 полн'!AL14</f>
        <v>1071.1299999999999</v>
      </c>
      <c r="L20" s="259">
        <f>'2012 полн'!AM14+'2012 полн'!AN14+'2012 полн'!AO14+'2012 полн'!AP14+'2012 полн'!AQ14+'2012 полн'!AR14+'2012 полн'!AS14+'2012 полн'!AT14</f>
        <v>31480.523999999994</v>
      </c>
      <c r="M20" s="261">
        <f>'2012 полн'!AU14+'2012 полн'!AV14+'2012 полн'!AW14+'2012 полн'!AX14</f>
        <v>2981</v>
      </c>
      <c r="N20" s="262">
        <f>'2012 полн'!BD14</f>
        <v>5016.546</v>
      </c>
      <c r="O20" s="263">
        <f t="shared" si="0"/>
        <v>44137.485499999995</v>
      </c>
      <c r="P20" s="264">
        <f t="shared" si="1"/>
        <v>4732.442499999997</v>
      </c>
      <c r="Q20" s="264">
        <f>'2012 полн'!BG14</f>
        <v>-5853.9200000000055</v>
      </c>
      <c r="R20" s="270">
        <f t="shared" si="2"/>
        <v>2673.88</v>
      </c>
      <c r="S20" s="165"/>
    </row>
    <row r="21" spans="1:19" ht="13.5" hidden="1" thickBot="1">
      <c r="A21" s="178" t="s">
        <v>50</v>
      </c>
      <c r="B21" s="256">
        <f>'2012 полн'!B15</f>
        <v>5356.75</v>
      </c>
      <c r="C21" s="257">
        <f>'2012 полн'!C15</f>
        <v>45800.2125</v>
      </c>
      <c r="D21" s="258">
        <f>'2012 полн'!D15</f>
        <v>552.84</v>
      </c>
      <c r="E21" s="259">
        <f>'2012 полн'!U15</f>
        <v>45912.840000000004</v>
      </c>
      <c r="F21" s="259">
        <f>'2012 полн'!V15</f>
        <v>80.65</v>
      </c>
      <c r="G21" s="260">
        <f>'2012 полн'!AF15</f>
        <v>42385.100000000006</v>
      </c>
      <c r="H21" s="260">
        <f>'2012 полн'!AG15</f>
        <v>43018.590000000004</v>
      </c>
      <c r="I21" s="260">
        <f>'2012 полн'!AJ15</f>
        <v>10368.028</v>
      </c>
      <c r="J21" s="260">
        <f>'2012 полн'!AK15</f>
        <v>3589.0225</v>
      </c>
      <c r="K21" s="260">
        <f>'2012 полн'!AL15</f>
        <v>1071.3500000000001</v>
      </c>
      <c r="L21" s="259">
        <f>'2012 полн'!AM15+'2012 полн'!AN15+'2012 полн'!AO15+'2012 полн'!AP15+'2012 полн'!AQ15+'2012 полн'!AR15+'2012 полн'!AS15+'2012 полн'!AT15</f>
        <v>31486.859999999997</v>
      </c>
      <c r="M21" s="261">
        <f>'2012 полн'!AU15+'2012 полн'!AV15+'2012 полн'!AW15+'2012 полн'!AX15</f>
        <v>16003.2</v>
      </c>
      <c r="N21" s="262">
        <f>'2012 полн'!BD15</f>
        <v>5755.186000000001</v>
      </c>
      <c r="O21" s="263">
        <f t="shared" si="0"/>
        <v>57905.6185</v>
      </c>
      <c r="P21" s="264">
        <f t="shared" si="1"/>
        <v>-4519.000499999995</v>
      </c>
      <c r="Q21" s="264">
        <f>'2012 полн'!BG15</f>
        <v>-3527.739999999998</v>
      </c>
      <c r="R21" s="241">
        <f t="shared" si="2"/>
        <v>2673.88</v>
      </c>
      <c r="S21" s="165"/>
    </row>
    <row r="22" spans="1:18" ht="13.5" hidden="1" thickBot="1">
      <c r="A22" s="178" t="s">
        <v>51</v>
      </c>
      <c r="B22" s="256">
        <f>'2012 полн'!B16</f>
        <v>5356.75</v>
      </c>
      <c r="C22" s="257">
        <f>'2012 полн'!C16</f>
        <v>45800.2125</v>
      </c>
      <c r="D22" s="258">
        <f>'2012 полн'!D16</f>
        <v>552.84</v>
      </c>
      <c r="E22" s="259">
        <f>'2012 полн'!U16</f>
        <v>45903.25</v>
      </c>
      <c r="F22" s="259">
        <f>'2012 полн'!V16</f>
        <v>80.65</v>
      </c>
      <c r="G22" s="260">
        <f>'2012 полн'!AF16</f>
        <v>45870.64</v>
      </c>
      <c r="H22" s="260">
        <f>'2012 полн'!AG16</f>
        <v>46504.13</v>
      </c>
      <c r="I22" s="260">
        <f>'2012 полн'!AJ16</f>
        <v>14438.545999999998</v>
      </c>
      <c r="J22" s="260">
        <f>'2012 полн'!AK16</f>
        <v>3589.0225</v>
      </c>
      <c r="K22" s="260">
        <f>'2012 полн'!AL16</f>
        <v>1071.3500000000001</v>
      </c>
      <c r="L22" s="259">
        <f>'2012 полн'!AM16+'2012 полн'!AN16+'2012 полн'!AO16+'2012 полн'!AP16+'2012 полн'!AQ16+'2012 полн'!AR16+'2012 полн'!AS16+'2012 полн'!AT16</f>
        <v>31486.859999999997</v>
      </c>
      <c r="M22" s="261">
        <f>'2012 полн'!AU16+'2012 полн'!AV16+'2012 полн'!AW16+'2012 полн'!AX16</f>
        <v>93.29</v>
      </c>
      <c r="N22" s="262">
        <f>'2012 полн'!BD16</f>
        <v>5809.393999999999</v>
      </c>
      <c r="O22" s="263">
        <f t="shared" si="0"/>
        <v>42049.9165</v>
      </c>
      <c r="P22" s="264">
        <f t="shared" si="1"/>
        <v>18892.759499999993</v>
      </c>
      <c r="Q22" s="272">
        <f>'2012 полн'!BG16</f>
        <v>-32.61000000000058</v>
      </c>
      <c r="R22" s="270">
        <f t="shared" si="2"/>
        <v>2673.88</v>
      </c>
    </row>
    <row r="23" spans="1:18" ht="13.5" hidden="1" thickBot="1">
      <c r="A23" s="178" t="s">
        <v>52</v>
      </c>
      <c r="B23" s="256">
        <f>'2012 полн'!B17</f>
        <v>5356.75</v>
      </c>
      <c r="C23" s="257">
        <f>'2012 полн'!C17</f>
        <v>45800.2125</v>
      </c>
      <c r="D23" s="258">
        <f>'2012 полн'!D17</f>
        <v>552.84</v>
      </c>
      <c r="E23" s="259">
        <f>'2012 полн'!U17</f>
        <v>45901.17</v>
      </c>
      <c r="F23" s="259">
        <f>'2012 полн'!V17</f>
        <v>80.65</v>
      </c>
      <c r="G23" s="260">
        <f>'2012 полн'!AF17</f>
        <v>42002.32</v>
      </c>
      <c r="H23" s="260">
        <f>'2012 полн'!AG17</f>
        <v>42635.81</v>
      </c>
      <c r="I23" s="260">
        <f>'2012 полн'!AJ17</f>
        <v>9726.806000000002</v>
      </c>
      <c r="J23" s="260">
        <f>'2012 полн'!AK17</f>
        <v>3589.0225</v>
      </c>
      <c r="K23" s="260">
        <f>'2012 полн'!AL17</f>
        <v>1071.3500000000001</v>
      </c>
      <c r="L23" s="259">
        <f>'2012 полн'!AM17+'2012 полн'!AN17+'2012 полн'!AO17+'2012 полн'!AP17+'2012 полн'!AQ17+'2012 полн'!AR17+'2012 полн'!AS17+'2012 полн'!AT17</f>
        <v>31486.859999999997</v>
      </c>
      <c r="M23" s="261">
        <f>'2012 полн'!AU17+'2012 полн'!AV17+'2012 полн'!AW17+'2012 полн'!AX17</f>
        <v>4721.2</v>
      </c>
      <c r="N23" s="262">
        <f>'2012 полн'!BD17</f>
        <v>5954.672</v>
      </c>
      <c r="O23" s="263">
        <f t="shared" si="0"/>
        <v>46823.104499999994</v>
      </c>
      <c r="P23" s="264">
        <f t="shared" si="1"/>
        <v>5539.511500000008</v>
      </c>
      <c r="Q23" s="264">
        <f>'2012 полн'!BG17</f>
        <v>-3898.8499999999985</v>
      </c>
      <c r="R23" s="241">
        <f t="shared" si="2"/>
        <v>2673.88</v>
      </c>
    </row>
    <row r="24" spans="1:18" ht="13.5" hidden="1" thickBot="1">
      <c r="A24" s="178" t="s">
        <v>53</v>
      </c>
      <c r="B24" s="256">
        <f>'2012 полн'!B18</f>
        <v>5355.45</v>
      </c>
      <c r="C24" s="257">
        <f>'2012 полн'!C18</f>
        <v>45789.0975</v>
      </c>
      <c r="D24" s="258">
        <f>'2012 полн'!D18</f>
        <v>504.492</v>
      </c>
      <c r="E24" s="259">
        <f>'2012 полн'!U18</f>
        <v>46805.159999999996</v>
      </c>
      <c r="F24" s="259">
        <f>'2012 полн'!V18</f>
        <v>0</v>
      </c>
      <c r="G24" s="260">
        <f>'2012 полн'!AF18</f>
        <v>42808.53</v>
      </c>
      <c r="H24" s="260">
        <f>'2012 полн'!AG18</f>
        <v>43313.022</v>
      </c>
      <c r="I24" s="260">
        <f>'2012 полн'!AJ18</f>
        <v>9726.806000000002</v>
      </c>
      <c r="J24" s="260">
        <f>'2012 полн'!AK18</f>
        <v>3588.1515</v>
      </c>
      <c r="K24" s="260">
        <f>'2012 полн'!AL18</f>
        <v>1071.09</v>
      </c>
      <c r="L24" s="259">
        <f>'2012 полн'!AM18+'2012 полн'!AN18+'2012 полн'!AO18+'2012 полн'!AP18+'2012 полн'!AQ18+'2012 полн'!AR18+'2012 полн'!AS18+'2012 полн'!AT18</f>
        <v>31479.372</v>
      </c>
      <c r="M24" s="261">
        <f>'2012 полн'!AU18+'2012 полн'!AV18+'2012 полн'!AW18+'2012 полн'!AX18</f>
        <v>279.32</v>
      </c>
      <c r="N24" s="262">
        <f>'2012 полн'!BD18</f>
        <v>5954.672</v>
      </c>
      <c r="O24" s="263">
        <f t="shared" si="0"/>
        <v>42372.6055</v>
      </c>
      <c r="P24" s="264">
        <f t="shared" si="1"/>
        <v>10667.222500000003</v>
      </c>
      <c r="Q24" s="264">
        <f>'2012 полн'!BG18</f>
        <v>-3996.6299999999974</v>
      </c>
      <c r="R24" s="270">
        <f t="shared" si="2"/>
        <v>2673.88</v>
      </c>
    </row>
    <row r="25" spans="1:18" ht="13.5" hidden="1" thickBot="1">
      <c r="A25" s="178" t="s">
        <v>41</v>
      </c>
      <c r="B25" s="256">
        <f>'2012 полн'!B19</f>
        <v>5355.45</v>
      </c>
      <c r="C25" s="257">
        <f>'2012 полн'!C19</f>
        <v>45789.0975</v>
      </c>
      <c r="D25" s="258">
        <f>'2012 полн'!D19</f>
        <v>504.492</v>
      </c>
      <c r="E25" s="259">
        <f>'2012 полн'!U19</f>
        <v>46613.7</v>
      </c>
      <c r="F25" s="259">
        <f>'2012 полн'!V19</f>
        <v>161.28</v>
      </c>
      <c r="G25" s="260">
        <f>'2012 полн'!AF19</f>
        <v>55469.369999999995</v>
      </c>
      <c r="H25" s="260">
        <f>'2012 полн'!AG19</f>
        <v>56135.14199999999</v>
      </c>
      <c r="I25" s="260">
        <f>'2012 полн'!AJ19</f>
        <v>9726.806000000002</v>
      </c>
      <c r="J25" s="260">
        <f>'2012 полн'!AK19</f>
        <v>3588.1515</v>
      </c>
      <c r="K25" s="260">
        <f>'2012 полн'!AL19</f>
        <v>1071.09</v>
      </c>
      <c r="L25" s="259">
        <f>'2012 полн'!AM19+'2012 полн'!AN19+'2012 полн'!AO19+'2012 полн'!AP19+'2012 полн'!AQ19+'2012 полн'!AR19+'2012 полн'!AS19+'2012 полн'!AT19</f>
        <v>37638.139500000005</v>
      </c>
      <c r="M25" s="261">
        <f>'2012 полн'!AU19+'2012 полн'!AV19+'2012 полн'!AW19+'2012 полн'!AX19</f>
        <v>21405.75</v>
      </c>
      <c r="N25" s="262">
        <f>'2012 полн'!BD19</f>
        <v>5954.672</v>
      </c>
      <c r="O25" s="263">
        <f t="shared" si="0"/>
        <v>69657.80300000001</v>
      </c>
      <c r="P25" s="264">
        <f t="shared" si="1"/>
        <v>-3795.855000000025</v>
      </c>
      <c r="Q25" s="264">
        <f>'2012 полн'!BG19</f>
        <v>8855.669999999998</v>
      </c>
      <c r="R25" s="241">
        <f t="shared" si="2"/>
        <v>2673.88</v>
      </c>
    </row>
    <row r="26" spans="1:18" ht="13.5" hidden="1" thickBot="1">
      <c r="A26" s="178" t="s">
        <v>42</v>
      </c>
      <c r="B26" s="256">
        <f>'2012 полн'!B20</f>
        <v>5355.45</v>
      </c>
      <c r="C26" s="257">
        <f>'2012 полн'!C20</f>
        <v>45789.0975</v>
      </c>
      <c r="D26" s="258">
        <f>'2012 полн'!D20</f>
        <v>504.492</v>
      </c>
      <c r="E26" s="259">
        <f>'2012 полн'!U20</f>
        <v>46697.5</v>
      </c>
      <c r="F26" s="259">
        <f>'2012 полн'!V20</f>
        <v>80.64</v>
      </c>
      <c r="G26" s="260">
        <f>'2012 полн'!AF20</f>
        <v>38395.94</v>
      </c>
      <c r="H26" s="260">
        <f>'2012 полн'!AG20</f>
        <v>38981.072</v>
      </c>
      <c r="I26" s="260">
        <f>'2012 полн'!AJ20</f>
        <v>9726.806000000002</v>
      </c>
      <c r="J26" s="260">
        <f>'2012 полн'!AK20</f>
        <v>3588.1515</v>
      </c>
      <c r="K26" s="260">
        <f>'2012 полн'!AL20</f>
        <v>1071.09</v>
      </c>
      <c r="L26" s="259">
        <f>'2012 полн'!AM20+'2012 полн'!AN20+'2012 полн'!AO20+'2012 полн'!AP20+'2012 полн'!AQ20+'2012 полн'!AR20+'2012 полн'!AS20+'2012 полн'!AT20</f>
        <v>37638.139500000005</v>
      </c>
      <c r="M26" s="261">
        <f>'2012 полн'!AU20+'2012 полн'!AV20+'2012 полн'!AW20+'2012 полн'!AX20</f>
        <v>875.8</v>
      </c>
      <c r="N26" s="262">
        <f>'2012 полн'!BD20</f>
        <v>5954.672</v>
      </c>
      <c r="O26" s="263">
        <f t="shared" si="0"/>
        <v>49127.85300000001</v>
      </c>
      <c r="P26" s="264">
        <f t="shared" si="1"/>
        <v>-419.9750000000058</v>
      </c>
      <c r="Q26" s="264">
        <f>'2012 полн'!BG20</f>
        <v>-8301.559999999998</v>
      </c>
      <c r="R26" s="270">
        <f t="shared" si="2"/>
        <v>2673.88</v>
      </c>
    </row>
    <row r="27" spans="1:18" ht="13.5" hidden="1" thickBot="1">
      <c r="A27" s="265" t="s">
        <v>43</v>
      </c>
      <c r="B27" s="256">
        <f>'2012 полн'!B21</f>
        <v>5355.45</v>
      </c>
      <c r="C27" s="257">
        <f>'2012 полн'!C21</f>
        <v>45789.0975</v>
      </c>
      <c r="D27" s="258">
        <f>'2012 полн'!D21</f>
        <v>504.492</v>
      </c>
      <c r="E27" s="259">
        <f>'2012 полн'!U21</f>
        <v>46701.71</v>
      </c>
      <c r="F27" s="259">
        <f>'2012 полн'!V21</f>
        <v>80.64</v>
      </c>
      <c r="G27" s="260">
        <f>'2012 полн'!AF21</f>
        <v>65603.56</v>
      </c>
      <c r="H27" s="260">
        <f>'2012 полн'!AG21</f>
        <v>66188.692</v>
      </c>
      <c r="I27" s="260">
        <f>'2012 полн'!AJ21</f>
        <v>10926.806000000002</v>
      </c>
      <c r="J27" s="260">
        <f>'2012 полн'!AK21</f>
        <v>3588.1515</v>
      </c>
      <c r="K27" s="260">
        <f>'2012 полн'!AL21</f>
        <v>1071.09</v>
      </c>
      <c r="L27" s="259">
        <f>'2012 полн'!AM21+'2012 полн'!AN21+'2012 полн'!AO21+'2012 полн'!AP21+'2012 полн'!AQ21+'2012 полн'!AR21+'2012 полн'!AS21+'2012 полн'!AT21</f>
        <v>37638.139500000005</v>
      </c>
      <c r="M27" s="261">
        <f>'2012 полн'!AU21+'2012 полн'!AV21+'2012 полн'!AW21+'2012 полн'!AX21</f>
        <v>76</v>
      </c>
      <c r="N27" s="262">
        <f>'2012 полн'!BD21</f>
        <v>6254.672</v>
      </c>
      <c r="O27" s="263">
        <f t="shared" si="0"/>
        <v>48628.05300000001</v>
      </c>
      <c r="P27" s="264">
        <f t="shared" si="1"/>
        <v>28487.444999999985</v>
      </c>
      <c r="Q27" s="264">
        <f>'2012 полн'!BG21</f>
        <v>18901.85</v>
      </c>
      <c r="R27" s="241">
        <f t="shared" si="2"/>
        <v>2673.88</v>
      </c>
    </row>
    <row r="28" spans="1:19" s="20" customFormat="1" ht="13.5" hidden="1" thickBot="1">
      <c r="A28" s="34" t="s">
        <v>5</v>
      </c>
      <c r="B28" s="35"/>
      <c r="C28" s="76">
        <f aca="true" t="shared" si="3" ref="C28:P28">SUM(C16:C27)</f>
        <v>549511.0650000002</v>
      </c>
      <c r="D28" s="76">
        <f t="shared" si="3"/>
        <v>6440.688000000001</v>
      </c>
      <c r="E28" s="76">
        <f t="shared" si="3"/>
        <v>554183.76</v>
      </c>
      <c r="F28" s="76">
        <f t="shared" si="3"/>
        <v>832.8199999999999</v>
      </c>
      <c r="G28" s="76">
        <f t="shared" si="3"/>
        <v>531131.64</v>
      </c>
      <c r="H28" s="76">
        <f t="shared" si="3"/>
        <v>538405.1479999999</v>
      </c>
      <c r="I28" s="76">
        <f t="shared" si="3"/>
        <v>115577.54399999998</v>
      </c>
      <c r="J28" s="76">
        <f t="shared" si="3"/>
        <v>43061.100999999995</v>
      </c>
      <c r="K28" s="76">
        <f t="shared" si="3"/>
        <v>12854.060000000001</v>
      </c>
      <c r="L28" s="76">
        <f t="shared" si="3"/>
        <v>414733.9829999999</v>
      </c>
      <c r="M28" s="76">
        <f t="shared" si="3"/>
        <v>151234.50999999995</v>
      </c>
      <c r="N28" s="76">
        <f t="shared" si="3"/>
        <v>66770.67</v>
      </c>
      <c r="O28" s="76">
        <f t="shared" si="3"/>
        <v>688654.324</v>
      </c>
      <c r="P28" s="76">
        <f t="shared" si="3"/>
        <v>-34671.63200000006</v>
      </c>
      <c r="Q28" s="76">
        <f>SUM(Q16:Q27)</f>
        <v>-23052.120000000003</v>
      </c>
      <c r="R28" s="76">
        <f>SUM(R16:R27)</f>
        <v>32086.56000000001</v>
      </c>
      <c r="S28" s="72"/>
    </row>
    <row r="29" spans="1:18" ht="13.5" hidden="1" thickBot="1">
      <c r="A29" s="321" t="s">
        <v>70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240"/>
      <c r="P29" s="241"/>
      <c r="Q29" s="241"/>
      <c r="R29" s="241"/>
    </row>
    <row r="30" spans="1:19" s="20" customFormat="1" ht="13.5" thickBot="1">
      <c r="A30" s="81" t="s">
        <v>54</v>
      </c>
      <c r="B30" s="38"/>
      <c r="C30" s="39">
        <f aca="true" t="shared" si="4" ref="C30:R30">C28+C14</f>
        <v>1800560.5650000002</v>
      </c>
      <c r="D30" s="39">
        <f t="shared" si="4"/>
        <v>146972.79141184993</v>
      </c>
      <c r="E30" s="39">
        <f t="shared" si="4"/>
        <v>1477434.16</v>
      </c>
      <c r="F30" s="39">
        <f t="shared" si="4"/>
        <v>182358.69</v>
      </c>
      <c r="G30" s="39">
        <f>G28+G14</f>
        <v>1367529.9900000002</v>
      </c>
      <c r="H30" s="39">
        <f>H28+H14</f>
        <v>1696861.4714118498</v>
      </c>
      <c r="I30" s="39">
        <f>I28+I14</f>
        <v>236811.96078000002</v>
      </c>
      <c r="J30" s="39">
        <f>J28+J14</f>
        <v>128553.20499999999</v>
      </c>
      <c r="K30" s="39">
        <f t="shared" si="4"/>
        <v>41501.9477888</v>
      </c>
      <c r="L30" s="39">
        <f t="shared" si="4"/>
        <v>1112959.47653087</v>
      </c>
      <c r="M30" s="39">
        <f t="shared" si="4"/>
        <v>489569.29159999994</v>
      </c>
      <c r="N30" s="39">
        <f t="shared" si="4"/>
        <v>115426.68135177979</v>
      </c>
      <c r="O30" s="39">
        <f t="shared" si="4"/>
        <v>1888010.6022714498</v>
      </c>
      <c r="P30" s="39">
        <f t="shared" si="4"/>
        <v>45662.82992040009</v>
      </c>
      <c r="Q30" s="39">
        <f t="shared" si="4"/>
        <v>-108210.20000000001</v>
      </c>
      <c r="R30" s="39">
        <f t="shared" si="4"/>
        <v>32086.56000000001</v>
      </c>
      <c r="S30" s="72"/>
    </row>
    <row r="31" spans="1:19" ht="13.5" thickBot="1">
      <c r="A31" s="242" t="s">
        <v>125</v>
      </c>
      <c r="B31" s="243"/>
      <c r="C31" s="244"/>
      <c r="D31" s="245"/>
      <c r="E31" s="246"/>
      <c r="F31" s="247"/>
      <c r="G31" s="248"/>
      <c r="H31" s="247"/>
      <c r="I31" s="249"/>
      <c r="J31" s="248"/>
      <c r="K31" s="250"/>
      <c r="L31" s="250"/>
      <c r="M31" s="251"/>
      <c r="N31" s="252"/>
      <c r="O31" s="253"/>
      <c r="P31" s="254"/>
      <c r="Q31" s="254"/>
      <c r="R31" s="241"/>
      <c r="S31" s="165"/>
    </row>
    <row r="32" spans="1:19" ht="13.5" thickBot="1">
      <c r="A32" s="255" t="s">
        <v>45</v>
      </c>
      <c r="B32" s="256">
        <f>'2012 полн'!B26</f>
        <v>5355.45</v>
      </c>
      <c r="C32" s="257">
        <f>'2012 полн'!C26</f>
        <v>45789.0975</v>
      </c>
      <c r="D32" s="258">
        <f>'2012 полн'!D26</f>
        <v>504.492</v>
      </c>
      <c r="E32" s="259">
        <f>'2012 полн'!U26</f>
        <v>46701.719999999994</v>
      </c>
      <c r="F32" s="259">
        <f>'2012 полн'!V26</f>
        <v>80.64</v>
      </c>
      <c r="G32" s="260">
        <f>'2012 полн'!AF26</f>
        <v>34121.020000000004</v>
      </c>
      <c r="H32" s="260">
        <f>'2012 полн'!AG26</f>
        <v>34706.152</v>
      </c>
      <c r="I32" s="260">
        <f>'2012 полн'!AJ26</f>
        <v>12026.86</v>
      </c>
      <c r="J32" s="260">
        <f>'2012 полн'!AK26</f>
        <v>3588.1515</v>
      </c>
      <c r="K32" s="260">
        <f>'2012 полн'!AL26</f>
        <v>1071.09</v>
      </c>
      <c r="L32" s="259">
        <f>'2012 полн'!AM26+'2012 полн'!AN26+'2012 полн'!AO26+'2012 полн'!AP26+'2012 полн'!AQ26+'2012 полн'!AR26+'2012 полн'!AS26+'2012 полн'!AT26</f>
        <v>37638.139500000005</v>
      </c>
      <c r="M32" s="261">
        <f>'2012 полн'!AU26+'2012 полн'!AV26+'2012 полн'!AW26+'2012 полн'!AX26</f>
        <v>3751</v>
      </c>
      <c r="N32" s="262">
        <f>'2012 полн'!BD26</f>
        <v>5954.671999999999</v>
      </c>
      <c r="O32" s="263">
        <f>SUM(J32:N32)</f>
        <v>52003.05300000001</v>
      </c>
      <c r="P32" s="264">
        <f>H32+I32-O32</f>
        <v>-5270.041000000005</v>
      </c>
      <c r="Q32" s="264">
        <f>'2012 полн'!BG26</f>
        <v>-12580.69999999999</v>
      </c>
      <c r="R32" s="270">
        <f>206*12.98</f>
        <v>2673.88</v>
      </c>
      <c r="S32" s="165"/>
    </row>
    <row r="33" spans="1:19" ht="13.5" thickBot="1">
      <c r="A33" s="178" t="s">
        <v>46</v>
      </c>
      <c r="B33" s="256">
        <f>'2012 полн'!B27</f>
        <v>5308.65</v>
      </c>
      <c r="C33" s="257">
        <f>'2012 полн'!C27</f>
        <v>45388.957500000004</v>
      </c>
      <c r="D33" s="258">
        <f>'2012 полн'!D27</f>
        <v>504.492</v>
      </c>
      <c r="E33" s="259">
        <f>'2012 полн'!U27</f>
        <v>46701.71</v>
      </c>
      <c r="F33" s="259">
        <f>'2012 полн'!V27</f>
        <v>80.64</v>
      </c>
      <c r="G33" s="260">
        <f>'2012 полн'!AF27</f>
        <v>45555.48</v>
      </c>
      <c r="H33" s="260">
        <f>'2012 полн'!AG27</f>
        <v>46140.612</v>
      </c>
      <c r="I33" s="260">
        <f>'2012 полн'!AJ27</f>
        <v>12026.86</v>
      </c>
      <c r="J33" s="260">
        <f>'2012 полн'!AK27</f>
        <v>3556.7955</v>
      </c>
      <c r="K33" s="260">
        <f>'2012 полн'!AL27</f>
        <v>1061.73</v>
      </c>
      <c r="L33" s="259">
        <f>'2012 полн'!AM27+'2012 полн'!AN27+'2012 полн'!AO27+'2012 полн'!AP27+'2012 полн'!AQ27+'2012 полн'!AR27+'2012 полн'!AS27+'2012 полн'!AT27</f>
        <v>37314.751500000006</v>
      </c>
      <c r="M33" s="261">
        <f>'2012 полн'!AU27+'2012 полн'!AV27+'2012 полн'!AW27+'2012 полн'!AX27</f>
        <v>4702.84</v>
      </c>
      <c r="N33" s="262">
        <f>'2012 полн'!BD27</f>
        <v>5954.671999999999</v>
      </c>
      <c r="O33" s="263">
        <f aca="true" t="shared" si="5" ref="O33:O43">SUM(J33:N33)</f>
        <v>52590.789</v>
      </c>
      <c r="P33" s="264">
        <f aca="true" t="shared" si="6" ref="P33:P43">H33+I33-O33</f>
        <v>5576.6830000000045</v>
      </c>
      <c r="Q33" s="264">
        <f>'2012 полн'!BG27</f>
        <v>-1146.229999999996</v>
      </c>
      <c r="R33" s="241">
        <f aca="true" t="shared" si="7" ref="R33:R43">206*12.98</f>
        <v>2673.88</v>
      </c>
      <c r="S33" s="165"/>
    </row>
    <row r="34" spans="1:19" ht="13.5" thickBot="1">
      <c r="A34" s="178" t="s">
        <v>47</v>
      </c>
      <c r="B34" s="256">
        <f>'2012 полн'!B28</f>
        <v>5308.65</v>
      </c>
      <c r="C34" s="257">
        <f>'2012 полн'!C28</f>
        <v>45388.957500000004</v>
      </c>
      <c r="D34" s="258">
        <f>'2012 полн'!D28</f>
        <v>504.492</v>
      </c>
      <c r="E34" s="259">
        <f>'2012 полн'!U28</f>
        <v>43592.520000000004</v>
      </c>
      <c r="F34" s="259">
        <f>'2012 полн'!V28</f>
        <v>80.64</v>
      </c>
      <c r="G34" s="260">
        <f>'2012 полн'!AF28</f>
        <v>44545.65</v>
      </c>
      <c r="H34" s="260">
        <f>'2012 полн'!AG28</f>
        <v>45130.782</v>
      </c>
      <c r="I34" s="260">
        <f>'2012 полн'!AJ28</f>
        <v>12626.86</v>
      </c>
      <c r="J34" s="260">
        <f>'2012 полн'!AK28</f>
        <v>3556.7955</v>
      </c>
      <c r="K34" s="260">
        <f>'2012 полн'!AL28</f>
        <v>1061.73</v>
      </c>
      <c r="L34" s="259">
        <f>'2012 полн'!AM28+'2012 полн'!AN28+'2012 полн'!AO28+'2012 полн'!AP28+'2012 полн'!AQ28+'2012 полн'!AR28+'2012 полн'!AS28+'2012 полн'!AT28</f>
        <v>37314.751500000006</v>
      </c>
      <c r="M34" s="261">
        <f>'2012 полн'!AU28+'2012 полн'!AV28+'2012 полн'!AW28+'2012 полн'!AX28</f>
        <v>1533.43</v>
      </c>
      <c r="N34" s="262">
        <f>'2012 полн'!BD28</f>
        <v>6104.671999999999</v>
      </c>
      <c r="O34" s="263">
        <f t="shared" si="5"/>
        <v>49571.379</v>
      </c>
      <c r="P34" s="264">
        <f t="shared" si="6"/>
        <v>8186.262999999999</v>
      </c>
      <c r="Q34" s="264">
        <f>'2012 полн'!BG28</f>
        <v>953.1299999999974</v>
      </c>
      <c r="R34" s="270">
        <f t="shared" si="7"/>
        <v>2673.88</v>
      </c>
      <c r="S34" s="165"/>
    </row>
    <row r="35" spans="1:19" ht="13.5" thickBot="1">
      <c r="A35" s="178" t="s">
        <v>48</v>
      </c>
      <c r="B35" s="256">
        <f>'2012 полн'!B29</f>
        <v>5308.65</v>
      </c>
      <c r="C35" s="257">
        <f>'2012 полн'!C29</f>
        <v>45388.957500000004</v>
      </c>
      <c r="D35" s="258">
        <f>'2012 полн'!D29</f>
        <v>504.492</v>
      </c>
      <c r="E35" s="259">
        <f>'2012 полн'!U29</f>
        <v>46267.46</v>
      </c>
      <c r="F35" s="259">
        <f>'2012 полн'!V29</f>
        <v>80.64</v>
      </c>
      <c r="G35" s="260">
        <f>'2012 полн'!AF29</f>
        <v>40478</v>
      </c>
      <c r="H35" s="260">
        <f>'2012 полн'!AG29</f>
        <v>41063.132</v>
      </c>
      <c r="I35" s="260">
        <f>'2012 полн'!AJ29</f>
        <v>12226.86</v>
      </c>
      <c r="J35" s="260">
        <f>'2012 полн'!AK29</f>
        <v>3556.7955</v>
      </c>
      <c r="K35" s="260">
        <f>'2012 полн'!AL29</f>
        <v>1061.73</v>
      </c>
      <c r="L35" s="259">
        <f>'2012 полн'!AM29+'2012 полн'!AN29+'2012 полн'!AO29+'2012 полн'!AP29+'2012 полн'!AQ29+'2012 полн'!AR29+'2012 полн'!AS29+'2012 полн'!AT29</f>
        <v>31209.804</v>
      </c>
      <c r="M35" s="261">
        <f>'2012 полн'!AU29+'2012 полн'!AV29+'2012 полн'!AW29+'2012 полн'!AX29</f>
        <v>1311.5</v>
      </c>
      <c r="N35" s="262">
        <f>'2012 полн'!BD29</f>
        <v>6004.671999999999</v>
      </c>
      <c r="O35" s="263">
        <f t="shared" si="5"/>
        <v>43144.5015</v>
      </c>
      <c r="P35" s="264">
        <f t="shared" si="6"/>
        <v>10145.4905</v>
      </c>
      <c r="Q35" s="264">
        <f>'2012 полн'!BG29</f>
        <v>-5789.459999999999</v>
      </c>
      <c r="R35" s="241">
        <f t="shared" si="7"/>
        <v>2673.88</v>
      </c>
      <c r="S35" s="165"/>
    </row>
    <row r="36" spans="1:19" ht="13.5" thickBot="1">
      <c r="A36" s="178" t="s">
        <v>49</v>
      </c>
      <c r="B36" s="256">
        <f>'2012 полн'!B30</f>
        <v>5308.65</v>
      </c>
      <c r="C36" s="257">
        <f>'2012 полн'!C30</f>
        <v>45388.957500000004</v>
      </c>
      <c r="D36" s="258">
        <f>'2012 полн'!D30</f>
        <v>504.492</v>
      </c>
      <c r="E36" s="259">
        <f>'2012 полн'!U30</f>
        <v>46267.5</v>
      </c>
      <c r="F36" s="259">
        <f>'2012 полн'!V30</f>
        <v>80.64</v>
      </c>
      <c r="G36" s="260">
        <f>'2012 полн'!AF30</f>
        <v>44287.59</v>
      </c>
      <c r="H36" s="260">
        <f>'2012 полн'!AG30</f>
        <v>44872.721999999994</v>
      </c>
      <c r="I36" s="260">
        <f>'2012 полн'!AJ30</f>
        <v>12226.86</v>
      </c>
      <c r="J36" s="260">
        <f>'2012 полн'!AK30</f>
        <v>3556.7955</v>
      </c>
      <c r="K36" s="260">
        <f>'2012 полн'!AL30</f>
        <v>1061.73</v>
      </c>
      <c r="L36" s="259">
        <f>'2012 полн'!AM30+'2012 полн'!AN30+'2012 полн'!AO30+'2012 полн'!AP30+'2012 полн'!AQ30+'2012 полн'!AR30+'2012 полн'!AS30+'2012 полн'!AT30</f>
        <v>31209.804</v>
      </c>
      <c r="M36" s="261">
        <f>'2012 полн'!AU30+'2012 полн'!AV30+'2012 полн'!AW30+'2012 полн'!AX30</f>
        <v>33252</v>
      </c>
      <c r="N36" s="262">
        <f>'2012 полн'!BD30</f>
        <v>6004.671999999999</v>
      </c>
      <c r="O36" s="263">
        <f t="shared" si="5"/>
        <v>75085.00149999998</v>
      </c>
      <c r="P36" s="264">
        <f t="shared" si="6"/>
        <v>-17985.41949999999</v>
      </c>
      <c r="Q36" s="264">
        <f>'2012 полн'!BG30</f>
        <v>-1979.9100000000035</v>
      </c>
      <c r="R36" s="270">
        <f t="shared" si="7"/>
        <v>2673.88</v>
      </c>
      <c r="S36" s="165"/>
    </row>
    <row r="37" spans="1:19" ht="13.5" thickBot="1">
      <c r="A37" s="178" t="s">
        <v>50</v>
      </c>
      <c r="B37" s="256">
        <f>'2012 полн'!B31</f>
        <v>5308.65</v>
      </c>
      <c r="C37" s="257">
        <f>'2012 полн'!C31</f>
        <v>45388.957500000004</v>
      </c>
      <c r="D37" s="258">
        <f>'2012 полн'!D31</f>
        <v>380.97</v>
      </c>
      <c r="E37" s="259">
        <f>'2012 полн'!U31</f>
        <v>46249.53</v>
      </c>
      <c r="F37" s="259">
        <f>'2012 полн'!V31</f>
        <v>80.64</v>
      </c>
      <c r="G37" s="260">
        <f>'2012 полн'!AF31</f>
        <v>45088.659999999996</v>
      </c>
      <c r="H37" s="260">
        <f>'2012 полн'!AG31</f>
        <v>45550.27</v>
      </c>
      <c r="I37" s="260">
        <f>'2012 полн'!AJ31</f>
        <v>12226.86</v>
      </c>
      <c r="J37" s="260">
        <f>'2012 полн'!AK31</f>
        <v>3556.7955</v>
      </c>
      <c r="K37" s="260">
        <f>'2012 полн'!AL31</f>
        <v>1061.73</v>
      </c>
      <c r="L37" s="259">
        <f>'2012 полн'!AM31+'2012 полн'!AN31+'2012 полн'!AO31+'2012 полн'!AP31+'2012 полн'!AQ31+'2012 полн'!AR31+'2012 полн'!AS31+'2012 полн'!AT31</f>
        <v>31209.804</v>
      </c>
      <c r="M37" s="261">
        <f>'2012 полн'!AU31+'2012 полн'!AV31+'2012 полн'!AW31+'2012 полн'!AX31</f>
        <v>2192.24</v>
      </c>
      <c r="N37" s="262">
        <f>'2012 полн'!BD31</f>
        <v>6004.671999999999</v>
      </c>
      <c r="O37" s="263">
        <f t="shared" si="5"/>
        <v>44025.2415</v>
      </c>
      <c r="P37" s="264">
        <f t="shared" si="6"/>
        <v>13751.888500000001</v>
      </c>
      <c r="Q37" s="264">
        <f>'2012 полн'!BG31</f>
        <v>-1160.8700000000026</v>
      </c>
      <c r="R37" s="241">
        <f t="shared" si="7"/>
        <v>2673.88</v>
      </c>
      <c r="S37" s="165"/>
    </row>
    <row r="38" spans="1:18" ht="13.5" thickBot="1">
      <c r="A38" s="178" t="s">
        <v>51</v>
      </c>
      <c r="B38" s="256">
        <f>'2012 полн'!B32</f>
        <v>5308.65</v>
      </c>
      <c r="C38" s="257">
        <f>'2012 полн'!C32</f>
        <v>50485.26149999999</v>
      </c>
      <c r="D38" s="258">
        <f>'2012 полн'!D32</f>
        <v>509.8275</v>
      </c>
      <c r="E38" s="259">
        <f>'2012 полн'!U32</f>
        <v>51429.57</v>
      </c>
      <c r="F38" s="259">
        <f>'2012 полн'!V32</f>
        <v>99.86</v>
      </c>
      <c r="G38" s="260">
        <f>'2012 полн'!AF32</f>
        <v>40202.81</v>
      </c>
      <c r="H38" s="260">
        <f>'2012 полн'!AG32</f>
        <v>40812.4975</v>
      </c>
      <c r="I38" s="260">
        <f>'2012 полн'!AJ32</f>
        <v>12226.86</v>
      </c>
      <c r="J38" s="260">
        <f>'2012 полн'!AK32</f>
        <v>3981.4874999999997</v>
      </c>
      <c r="K38" s="260">
        <f>'2012 полн'!AL32</f>
        <v>1061.73</v>
      </c>
      <c r="L38" s="259">
        <f>'2012 полн'!AM32+'2012 полн'!AN32+'2012 полн'!AO32+'2012 полн'!AP32+'2012 полн'!AQ32+'2012 полн'!AR32+'2012 полн'!AS32+'2012 полн'!AT32</f>
        <v>39609.804000000004</v>
      </c>
      <c r="M38" s="261">
        <f>'2012 полн'!AU32+'2012 полн'!AV32+'2012 полн'!AW32+'2012 полн'!AX32</f>
        <v>1227.63</v>
      </c>
      <c r="N38" s="262">
        <f>'2012 полн'!BD32</f>
        <v>6004.671999999999</v>
      </c>
      <c r="O38" s="263">
        <f t="shared" si="5"/>
        <v>51885.3235</v>
      </c>
      <c r="P38" s="264">
        <f t="shared" si="6"/>
        <v>1154.0339999999997</v>
      </c>
      <c r="Q38" s="272">
        <f>'2012 полн'!BG32</f>
        <v>-11226.760000000002</v>
      </c>
      <c r="R38" s="270">
        <f t="shared" si="7"/>
        <v>2673.88</v>
      </c>
    </row>
    <row r="39" spans="1:18" ht="13.5" thickBot="1">
      <c r="A39" s="178" t="s">
        <v>52</v>
      </c>
      <c r="B39" s="256">
        <f>'2012 полн'!B33</f>
        <v>5308.65</v>
      </c>
      <c r="C39" s="257">
        <f>'2012 полн'!C33</f>
        <v>50485.26149999999</v>
      </c>
      <c r="D39" s="258">
        <f>'2012 полн'!D33</f>
        <v>0</v>
      </c>
      <c r="E39" s="259">
        <f>'2012 полн'!U33</f>
        <v>51456.19</v>
      </c>
      <c r="F39" s="259">
        <f>'2012 полн'!V33</f>
        <v>99.86</v>
      </c>
      <c r="G39" s="260">
        <f>'2012 полн'!AF33</f>
        <v>47751.92</v>
      </c>
      <c r="H39" s="260">
        <f>'2012 полн'!AG33</f>
        <v>47851.78</v>
      </c>
      <c r="I39" s="260">
        <f>'2012 полн'!AJ33</f>
        <v>14626.86</v>
      </c>
      <c r="J39" s="260">
        <f>'2012 полн'!AK33</f>
        <v>3981.4874999999997</v>
      </c>
      <c r="K39" s="260">
        <f>'2012 полн'!AL33</f>
        <v>1061.73</v>
      </c>
      <c r="L39" s="259">
        <f>'2012 полн'!AM33+'2012 полн'!AN33+'2012 полн'!AO33+'2012 полн'!AP33+'2012 полн'!AQ33+'2012 полн'!AR33+'2012 полн'!AS33+'2012 полн'!AT33</f>
        <v>31209.804</v>
      </c>
      <c r="M39" s="261">
        <f>'2012 полн'!AU33+'2012 полн'!AV33+'2012 полн'!AW33+'2012 полн'!AX33</f>
        <v>21767</v>
      </c>
      <c r="N39" s="262">
        <f>'2012 полн'!BD33</f>
        <v>6604.671999999999</v>
      </c>
      <c r="O39" s="263">
        <f t="shared" si="5"/>
        <v>64624.6935</v>
      </c>
      <c r="P39" s="264">
        <f t="shared" si="6"/>
        <v>-2146.053500000002</v>
      </c>
      <c r="Q39" s="264">
        <f>'2012 полн'!BG33</f>
        <v>-3704.270000000004</v>
      </c>
      <c r="R39" s="241">
        <f t="shared" si="7"/>
        <v>2673.88</v>
      </c>
    </row>
    <row r="40" spans="1:18" ht="13.5" thickBot="1">
      <c r="A40" s="178" t="s">
        <v>53</v>
      </c>
      <c r="B40" s="256">
        <f>'2012 полн'!B34</f>
        <v>5307.95</v>
      </c>
      <c r="C40" s="257">
        <f>'2012 полн'!C34</f>
        <v>50478.604499999994</v>
      </c>
      <c r="D40" s="258">
        <f>'2012 полн'!D34</f>
        <v>0</v>
      </c>
      <c r="E40" s="259">
        <f>'2012 полн'!U34</f>
        <v>51457.18</v>
      </c>
      <c r="F40" s="259">
        <f>'2012 полн'!V34</f>
        <v>99.86</v>
      </c>
      <c r="G40" s="260">
        <f>'2012 полн'!AF34</f>
        <v>46500.37999999999</v>
      </c>
      <c r="H40" s="260">
        <f>'2012 полн'!AG34</f>
        <v>46600.23999999999</v>
      </c>
      <c r="I40" s="260">
        <f>'2012 полн'!AJ34</f>
        <v>13026.86</v>
      </c>
      <c r="J40" s="260">
        <f>'2012 полн'!AK34</f>
        <v>3980.9624999999996</v>
      </c>
      <c r="K40" s="260">
        <f>'2012 полн'!AL34</f>
        <v>1061.59</v>
      </c>
      <c r="L40" s="259">
        <f>'2012 полн'!AM34+'2012 полн'!AN34+'2012 полн'!AO34+'2012 полн'!AP34+'2012 полн'!AQ34+'2012 полн'!AR34+'2012 полн'!AS34+'2012 полн'!AT34</f>
        <v>31205.772</v>
      </c>
      <c r="M40" s="261">
        <f>'2012 полн'!AU34+'2012 полн'!AV34+'2012 полн'!AW34+'2012 полн'!AX34</f>
        <v>6280.665</v>
      </c>
      <c r="N40" s="262">
        <f>'2012 полн'!BD34</f>
        <v>6204.671999999999</v>
      </c>
      <c r="O40" s="263">
        <f t="shared" si="5"/>
        <v>48733.6615</v>
      </c>
      <c r="P40" s="264">
        <f t="shared" si="6"/>
        <v>10893.43849999999</v>
      </c>
      <c r="Q40" s="264">
        <f>'2012 полн'!BG34</f>
        <v>-4956.80000000001</v>
      </c>
      <c r="R40" s="270">
        <f t="shared" si="7"/>
        <v>2673.88</v>
      </c>
    </row>
    <row r="41" spans="1:18" ht="13.5" thickBot="1">
      <c r="A41" s="178" t="s">
        <v>41</v>
      </c>
      <c r="B41" s="256">
        <f>'2012 полн'!B35</f>
        <v>5307.25</v>
      </c>
      <c r="C41" s="257">
        <f>'2012 полн'!C35</f>
        <v>50471.9475</v>
      </c>
      <c r="D41" s="258">
        <f>'2012 полн'!D35</f>
        <v>0</v>
      </c>
      <c r="E41" s="259">
        <f>'2012 полн'!U35</f>
        <v>51483.05</v>
      </c>
      <c r="F41" s="259">
        <f>'2012 полн'!V35</f>
        <v>99.86</v>
      </c>
      <c r="G41" s="260">
        <f>'2012 полн'!AF35</f>
        <v>51897.86</v>
      </c>
      <c r="H41" s="260">
        <f>'2012 полн'!AG35</f>
        <v>51997.72</v>
      </c>
      <c r="I41" s="260">
        <f>'2012 полн'!AJ35</f>
        <v>13026.86</v>
      </c>
      <c r="J41" s="260">
        <f>'2012 полн'!AK35</f>
        <v>3980.4375</v>
      </c>
      <c r="K41" s="260">
        <f>'2012 полн'!AL35</f>
        <v>1061.45</v>
      </c>
      <c r="L41" s="259">
        <f>'2012 полн'!AM35+'2012 полн'!AN35+'2012 полн'!AO35+'2012 полн'!AP35+'2012 полн'!AQ35+'2012 полн'!AR35+'2012 полн'!AS35+'2012 полн'!AT35</f>
        <v>37305.0775</v>
      </c>
      <c r="M41" s="261">
        <f>'2012 полн'!AU35+'2012 полн'!AV35+'2012 полн'!AW35+'2012 полн'!AX35</f>
        <v>1878.8769</v>
      </c>
      <c r="N41" s="262">
        <f>'2012 полн'!BD35</f>
        <v>6204.671999999999</v>
      </c>
      <c r="O41" s="263">
        <f t="shared" si="5"/>
        <v>50430.5139</v>
      </c>
      <c r="P41" s="264">
        <f t="shared" si="6"/>
        <v>14594.066100000004</v>
      </c>
      <c r="Q41" s="264">
        <f>'2012 полн'!BG35</f>
        <v>414.8099999999977</v>
      </c>
      <c r="R41" s="241">
        <f t="shared" si="7"/>
        <v>2673.88</v>
      </c>
    </row>
    <row r="42" spans="1:18" ht="13.5" thickBot="1">
      <c r="A42" s="178" t="s">
        <v>42</v>
      </c>
      <c r="B42" s="256">
        <f>'2012 полн'!B36</f>
        <v>5307.25</v>
      </c>
      <c r="C42" s="257">
        <f>'2012 полн'!C36</f>
        <v>50471.9475</v>
      </c>
      <c r="D42" s="258">
        <f>'2012 полн'!D36</f>
        <v>0</v>
      </c>
      <c r="E42" s="259">
        <f>'2012 полн'!U36</f>
        <v>51541.71</v>
      </c>
      <c r="F42" s="259">
        <f>'2012 полн'!V36</f>
        <v>99.86</v>
      </c>
      <c r="G42" s="260">
        <f>'2012 полн'!AF36</f>
        <v>46655.049999999996</v>
      </c>
      <c r="H42" s="260">
        <f>'2012 полн'!AG36</f>
        <v>46754.909999999996</v>
      </c>
      <c r="I42" s="260">
        <f>'2012 полн'!AJ36</f>
        <v>13026.86</v>
      </c>
      <c r="J42" s="260">
        <f>'2012 полн'!AK36</f>
        <v>3980.4375</v>
      </c>
      <c r="K42" s="260">
        <f>'2012 полн'!AL36</f>
        <v>1061.45</v>
      </c>
      <c r="L42" s="259">
        <f>'2012 полн'!AM36+'2012 полн'!AN36+'2012 полн'!AO36+'2012 полн'!AP36+'2012 полн'!AQ36+'2012 полн'!AR36+'2012 полн'!AS36+'2012 полн'!AT36</f>
        <v>37305.0775</v>
      </c>
      <c r="M42" s="261">
        <f>'2012 полн'!AU36+'2012 полн'!AV36+'2012 полн'!AW36+'2012 полн'!AX36</f>
        <v>0</v>
      </c>
      <c r="N42" s="262">
        <f>'2012 полн'!BD36</f>
        <v>6204.671999999999</v>
      </c>
      <c r="O42" s="263">
        <f t="shared" si="5"/>
        <v>48551.636999999995</v>
      </c>
      <c r="P42" s="264">
        <f t="shared" si="6"/>
        <v>11230.133000000002</v>
      </c>
      <c r="Q42" s="264">
        <f>'2012 полн'!BG36</f>
        <v>-4886.6600000000035</v>
      </c>
      <c r="R42" s="270">
        <f t="shared" si="7"/>
        <v>2673.88</v>
      </c>
    </row>
    <row r="43" spans="1:18" ht="13.5" thickBot="1">
      <c r="A43" s="265" t="s">
        <v>43</v>
      </c>
      <c r="B43" s="256">
        <f>'2012 полн'!B37</f>
        <v>5296.75</v>
      </c>
      <c r="C43" s="257">
        <f>'2012 полн'!C37</f>
        <v>50372.0925</v>
      </c>
      <c r="D43" s="258">
        <f>'2012 полн'!D37</f>
        <v>0</v>
      </c>
      <c r="E43" s="259">
        <f>'2012 полн'!U37</f>
        <v>50624.38</v>
      </c>
      <c r="F43" s="259">
        <f>'2012 полн'!V37</f>
        <v>99.86</v>
      </c>
      <c r="G43" s="260">
        <f>'2012 полн'!AF37</f>
        <v>37360.729999999996</v>
      </c>
      <c r="H43" s="260">
        <f>'2012 полн'!AG37</f>
        <v>37460.59</v>
      </c>
      <c r="I43" s="260">
        <f>'2012 полн'!AJ37</f>
        <v>13026.86</v>
      </c>
      <c r="J43" s="260">
        <f>'2012 полн'!AK37</f>
        <v>3972.5625</v>
      </c>
      <c r="K43" s="260">
        <f>'2012 полн'!AL37</f>
        <v>1059.3500000000001</v>
      </c>
      <c r="L43" s="259">
        <f>'2012 полн'!AM37+'2012 полн'!AN37+'2012 полн'!AO37+'2012 полн'!AP37+'2012 полн'!AQ37+'2012 полн'!AR37+'2012 полн'!AS37+'2012 полн'!AT37</f>
        <v>37232.5225</v>
      </c>
      <c r="M43" s="261">
        <f>'2012 полн'!AU37+'2012 полн'!AV37+'2012 полн'!AW37+'2012 полн'!AX37</f>
        <v>6323</v>
      </c>
      <c r="N43" s="262">
        <f>'2012 полн'!BD37</f>
        <v>6204.671999999999</v>
      </c>
      <c r="O43" s="263">
        <f t="shared" si="5"/>
        <v>54792.106999999996</v>
      </c>
      <c r="P43" s="264">
        <f t="shared" si="6"/>
        <v>-4304.656999999999</v>
      </c>
      <c r="Q43" s="264">
        <f>'2012 полн'!BG37</f>
        <v>-13263.650000000001</v>
      </c>
      <c r="R43" s="241">
        <f t="shared" si="7"/>
        <v>2673.88</v>
      </c>
    </row>
    <row r="44" spans="1:19" s="20" customFormat="1" ht="13.5" thickBot="1">
      <c r="A44" s="34" t="s">
        <v>5</v>
      </c>
      <c r="B44" s="35"/>
      <c r="C44" s="76">
        <f aca="true" t="shared" si="8" ref="C44:P44">SUM(C32:C43)</f>
        <v>575499.0000000001</v>
      </c>
      <c r="D44" s="76">
        <f t="shared" si="8"/>
        <v>3413.2575</v>
      </c>
      <c r="E44" s="76">
        <f t="shared" si="8"/>
        <v>583772.52</v>
      </c>
      <c r="F44" s="76">
        <f t="shared" si="8"/>
        <v>1083</v>
      </c>
      <c r="G44" s="76">
        <f t="shared" si="8"/>
        <v>524445.1499999999</v>
      </c>
      <c r="H44" s="76">
        <f t="shared" si="8"/>
        <v>528941.4075</v>
      </c>
      <c r="I44" s="76">
        <f t="shared" si="8"/>
        <v>152322.32</v>
      </c>
      <c r="J44" s="76">
        <f t="shared" si="8"/>
        <v>45249.504</v>
      </c>
      <c r="K44" s="76">
        <f t="shared" si="8"/>
        <v>12747.04</v>
      </c>
      <c r="L44" s="76">
        <f t="shared" si="8"/>
        <v>419765.1120000001</v>
      </c>
      <c r="M44" s="76">
        <f t="shared" si="8"/>
        <v>84220.1819</v>
      </c>
      <c r="N44" s="76">
        <f t="shared" si="8"/>
        <v>73456.06399999998</v>
      </c>
      <c r="O44" s="76">
        <f t="shared" si="8"/>
        <v>635437.9018999999</v>
      </c>
      <c r="P44" s="76">
        <f t="shared" si="8"/>
        <v>45825.825600000004</v>
      </c>
      <c r="Q44" s="76">
        <f>SUM(Q32:Q43)</f>
        <v>-59327.37000000002</v>
      </c>
      <c r="R44" s="76">
        <f>SUM(R32:R43)</f>
        <v>32086.56000000001</v>
      </c>
      <c r="S44" s="72"/>
    </row>
    <row r="45" spans="1:18" ht="13.5" thickBot="1">
      <c r="A45" s="321" t="s">
        <v>70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240"/>
      <c r="P45" s="241"/>
      <c r="Q45" s="241"/>
      <c r="R45" s="241"/>
    </row>
    <row r="46" spans="1:19" s="20" customFormat="1" ht="13.5" thickBot="1">
      <c r="A46" s="81" t="s">
        <v>54</v>
      </c>
      <c r="B46" s="38"/>
      <c r="C46" s="39">
        <f>C44+C30</f>
        <v>2376059.5650000004</v>
      </c>
      <c r="D46" s="39">
        <f>D44+D30</f>
        <v>150386.04891184994</v>
      </c>
      <c r="E46" s="39">
        <f>E44+E30</f>
        <v>2061206.68</v>
      </c>
      <c r="F46" s="39">
        <f>F44+F30</f>
        <v>183441.69</v>
      </c>
      <c r="G46" s="39">
        <f>G44+G30</f>
        <v>1891975.1400000001</v>
      </c>
      <c r="H46" s="39">
        <f>H44+H30</f>
        <v>2225802.87891185</v>
      </c>
      <c r="I46" s="39">
        <f>I44+I30</f>
        <v>389134.28078000003</v>
      </c>
      <c r="J46" s="39">
        <f>J44+J30</f>
        <v>173802.70899999997</v>
      </c>
      <c r="K46" s="39">
        <f aca="true" t="shared" si="9" ref="K46:Z46">K44+K30</f>
        <v>54248.9877888</v>
      </c>
      <c r="L46" s="39">
        <f t="shared" si="9"/>
        <v>1532724.5885308702</v>
      </c>
      <c r="M46" s="39">
        <f t="shared" si="9"/>
        <v>573789.4735</v>
      </c>
      <c r="N46" s="39">
        <f t="shared" si="9"/>
        <v>188882.74535177977</v>
      </c>
      <c r="O46" s="39">
        <f t="shared" si="9"/>
        <v>2523448.5041714497</v>
      </c>
      <c r="P46" s="39">
        <f t="shared" si="9"/>
        <v>91488.65552040009</v>
      </c>
      <c r="Q46" s="39">
        <f t="shared" si="9"/>
        <v>-167537.57000000004</v>
      </c>
      <c r="R46" s="39">
        <f t="shared" si="9"/>
        <v>64173.12000000002</v>
      </c>
      <c r="S46" s="72"/>
    </row>
    <row r="48" spans="1:4" ht="12.75">
      <c r="A48" s="20" t="s">
        <v>71</v>
      </c>
      <c r="D48" s="85" t="s">
        <v>120</v>
      </c>
    </row>
    <row r="49" spans="1:4" ht="12.75">
      <c r="A49" s="175" t="s">
        <v>72</v>
      </c>
      <c r="B49" s="175" t="s">
        <v>73</v>
      </c>
      <c r="C49" s="443" t="s">
        <v>74</v>
      </c>
      <c r="D49" s="444"/>
    </row>
    <row r="50" spans="1:4" ht="12.75">
      <c r="A50" s="133">
        <v>598157.3</v>
      </c>
      <c r="B50" s="266">
        <v>287801.66</v>
      </c>
      <c r="C50" s="445">
        <f>A50-B50</f>
        <v>310355.6400000001</v>
      </c>
      <c r="D50" s="446"/>
    </row>
    <row r="51" ht="12.75">
      <c r="A51" s="46"/>
    </row>
    <row r="52" spans="1:7" ht="12.75">
      <c r="A52" s="166" t="s">
        <v>77</v>
      </c>
      <c r="G52" s="166" t="s">
        <v>78</v>
      </c>
    </row>
    <row r="53" ht="12.75">
      <c r="A53" s="165"/>
    </row>
    <row r="54" ht="12.75">
      <c r="A54" s="165"/>
    </row>
    <row r="55" ht="12.75">
      <c r="A55" s="166" t="s">
        <v>121</v>
      </c>
    </row>
    <row r="56" ht="12.75">
      <c r="A56" s="166" t="s">
        <v>79</v>
      </c>
    </row>
  </sheetData>
  <sheetProtection/>
  <mergeCells count="30">
    <mergeCell ref="O10:O11"/>
    <mergeCell ref="A13:N13"/>
    <mergeCell ref="A29:N29"/>
    <mergeCell ref="C49:D49"/>
    <mergeCell ref="C50:D50"/>
    <mergeCell ref="I8:I11"/>
    <mergeCell ref="J8:O9"/>
    <mergeCell ref="A8:A11"/>
    <mergeCell ref="B8:B11"/>
    <mergeCell ref="A45:N45"/>
    <mergeCell ref="E7:F7"/>
    <mergeCell ref="P8:P11"/>
    <mergeCell ref="Q8:Q11"/>
    <mergeCell ref="E10:F10"/>
    <mergeCell ref="H10:H11"/>
    <mergeCell ref="J10:J11"/>
    <mergeCell ref="K10:K11"/>
    <mergeCell ref="L10:L11"/>
    <mergeCell ref="M10:M11"/>
    <mergeCell ref="N10:N11"/>
    <mergeCell ref="R8:R11"/>
    <mergeCell ref="C8:C11"/>
    <mergeCell ref="D8:D11"/>
    <mergeCell ref="E8:F9"/>
    <mergeCell ref="G8:H9"/>
    <mergeCell ref="B1:H1"/>
    <mergeCell ref="B2:H2"/>
    <mergeCell ref="A5:N5"/>
    <mergeCell ref="A6:G6"/>
    <mergeCell ref="A7:D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2012-11-30T08:54:14Z</cp:lastPrinted>
  <dcterms:created xsi:type="dcterms:W3CDTF">2010-04-02T05:03:24Z</dcterms:created>
  <dcterms:modified xsi:type="dcterms:W3CDTF">2013-05-26T08:53:16Z</dcterms:modified>
  <cp:category/>
  <cp:version/>
  <cp:contentType/>
  <cp:contentStatus/>
</cp:coreProperties>
</file>