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355" activeTab="5"/>
  </bookViews>
  <sheets>
    <sheet name="Лист1" sheetId="1" r:id="rId1"/>
    <sheet name="Лист2" sheetId="2" r:id="rId2"/>
    <sheet name="2012 полн (2)" sheetId="3" r:id="rId3"/>
    <sheet name="2011 полн" sheetId="4" r:id="rId4"/>
    <sheet name="2011 печать" sheetId="5" r:id="rId5"/>
    <sheet name="2012 печать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<sst xmlns="http://schemas.openxmlformats.org/spreadsheetml/2006/main" count="479" uniqueCount="135">
  <si>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</si>
  <si>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</si>
  <si>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</si>
  <si>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</si>
  <si>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</si>
  <si>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</si>
  <si>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</si>
  <si>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</si>
  <si>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</si>
  <si>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</si>
  <si>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</si>
  <si>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</si>
  <si>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</si>
  <si>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</si>
  <si>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</si>
  <si>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</si>
  <si>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</si>
  <si>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</si>
  <si>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</si>
  <si>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</si>
  <si>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</si>
  <si>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</si>
  <si>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</si>
  <si>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</si>
  <si>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</si>
  <si>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</si>
  <si>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</si>
  <si>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</si>
  <si>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</si>
  <si>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</si>
  <si>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</si>
  <si>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</si>
  <si>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</si>
  <si>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</si>
  <si>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</si>
  <si>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</si>
  <si>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</si>
  <si>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</si>
  <si>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</si>
  <si>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</si>
  <si>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</si>
  <si>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</si>
  <si>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</si>
  <si>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</si>
  <si>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</si>
  <si>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</si>
  <si>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</si>
  <si>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</si>
  <si>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</si>
  <si>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</si>
  <si>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</si>
  <si>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</si>
  <si>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</si>
  <si>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</si>
  <si>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</si>
  <si>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</si>
  <si>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</si>
  <si>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</si>
  <si>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</si>
  <si>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</si>
  <si>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</si>
  <si>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</si>
  <si>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</si>
  <si>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</si>
  <si>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</si>
  <si>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</si>
  <si>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</si>
  <si>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</si>
  <si>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тел. 3-48-80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</si>
  <si>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</si>
  <si>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</si>
  <si>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</si>
  <si>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</si>
  <si>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</si>
  <si>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Лицевой счет по адресу г. Таштагол, ул. Поспелова, д. 27</t>
  </si>
  <si>
    <t>Выписка по лицевому счету по адресу г. Таштагол ул. Поспелова, д. 27</t>
  </si>
  <si>
    <t>Адрес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</si>
  <si>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</si>
  <si>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</si>
  <si>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</si>
  <si>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</si>
  <si>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</si>
  <si>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</si>
  <si>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</si>
  <si>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</si>
  <si>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</si>
  <si>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</si>
  <si>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</si>
  <si>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</si>
  <si>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тариф на содержание и тек. ремонт</t>
  </si>
  <si>
    <t xml:space="preserve">Собрано квартплаты </t>
  </si>
  <si>
    <t>содержанию и тек.рем.</t>
  </si>
  <si>
    <t>*по состоянию на 01.01.2011 г.</t>
  </si>
  <si>
    <t>на 01.01.2011 г.</t>
  </si>
  <si>
    <t>на начало отчетного периода</t>
  </si>
  <si>
    <t>Исп. Ю.С. Дмитриева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</si>
  <si>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</si>
  <si>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</si>
  <si>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</si>
  <si>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</si>
  <si>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</si>
  <si>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</si>
  <si>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</si>
  <si>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</si>
  <si>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</si>
  <si>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</si>
  <si>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</si>
  <si>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</si>
  <si>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</si>
  <si>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</si>
  <si>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</si>
  <si>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</si>
  <si>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</si>
  <si>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</si>
  <si>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</si>
  <si>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</si>
  <si>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</si>
  <si>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</si>
  <si>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</si>
  <si>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</si>
  <si>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 xml:space="preserve">Доходы от нежилых помещений 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</si>
  <si>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</si>
  <si>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</si>
  <si>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</si>
  <si>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</si>
  <si>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</si>
  <si>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Поспелова, д.27</t>
  </si>
  <si>
    <t>Тариф по содержанию и тек.ремонту 100 % (8,55руб.*площадь)</t>
  </si>
  <si>
    <t>Долг(-)/ переплата(+)  ИП Павлов О.В.</t>
  </si>
  <si>
    <t>Лицевой счет по адресу г. Таштагол, ул. Поспелова, д.27</t>
  </si>
  <si>
    <t>2012 год</t>
  </si>
  <si>
    <t>т.р. За счет целевых</t>
  </si>
  <si>
    <t>на 01.01.2013 г.</t>
  </si>
  <si>
    <t>Тариф по содержанию и тек.ремонту 100 % (9,51руб.*площадь)</t>
  </si>
  <si>
    <t>*по состоянию на 01.05.2013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</si>
</sst>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textRotation="90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5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wrapText="1"/>
    </xf>
    <xf numFmtId="4" fontId="1" fillId="36" borderId="22" xfId="0" applyNumberFormat="1" applyFont="1" applyFill="1" applyBorder="1" applyAlignment="1">
      <alignment wrapText="1"/>
    </xf>
    <xf numFmtId="4" fontId="1" fillId="33" borderId="22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right"/>
    </xf>
    <xf numFmtId="4" fontId="0" fillId="38" borderId="40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10" fillId="0" borderId="19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1" fillId="0" borderId="32" xfId="0" applyFont="1" applyFill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right"/>
    </xf>
    <xf numFmtId="4" fontId="1" fillId="33" borderId="32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4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2" fillId="0" borderId="11" xfId="54" applyNumberFormat="1" applyFont="1" applyFill="1" applyBorder="1" applyAlignment="1">
      <alignment horizontal="right"/>
      <protection/>
    </xf>
    <xf numFmtId="3" fontId="0" fillId="0" borderId="11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5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37" borderId="32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4" fontId="0" fillId="37" borderId="19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 horizontal="center"/>
    </xf>
    <xf numFmtId="4" fontId="0" fillId="37" borderId="29" xfId="0" applyNumberFormat="1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37" borderId="29" xfId="0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37" borderId="29" xfId="0" applyFont="1" applyFill="1" applyBorder="1" applyAlignment="1">
      <alignment/>
    </xf>
    <xf numFmtId="0" fontId="11" fillId="0" borderId="32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31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9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38" borderId="15" xfId="0" applyNumberFormat="1" applyFont="1" applyFill="1" applyBorder="1" applyAlignment="1">
      <alignment horizontal="center" wrapText="1"/>
    </xf>
    <xf numFmtId="4" fontId="10" fillId="35" borderId="19" xfId="0" applyNumberFormat="1" applyFont="1" applyFill="1" applyBorder="1" applyAlignment="1">
      <alignment horizontal="right"/>
    </xf>
    <xf numFmtId="43" fontId="0" fillId="35" borderId="11" xfId="0" applyNumberFormat="1" applyFont="1" applyFill="1" applyBorder="1" applyAlignment="1">
      <alignment horizontal="right"/>
    </xf>
    <xf numFmtId="4" fontId="2" fillId="39" borderId="51" xfId="0" applyNumberFormat="1" applyFont="1" applyFill="1" applyBorder="1" applyAlignment="1">
      <alignment horizontal="right" wrapText="1"/>
    </xf>
    <xf numFmtId="43" fontId="0" fillId="35" borderId="11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1" fillId="0" borderId="57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 wrapText="1"/>
    </xf>
    <xf numFmtId="4" fontId="2" fillId="0" borderId="23" xfId="34" applyNumberFormat="1" applyFont="1" applyFill="1" applyBorder="1" applyAlignment="1">
      <alignment horizontal="right" vertical="center" wrapText="1"/>
      <protection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4" fontId="0" fillId="0" borderId="22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textRotation="90"/>
    </xf>
    <xf numFmtId="0" fontId="1" fillId="37" borderId="34" xfId="0" applyFont="1" applyFill="1" applyBorder="1" applyAlignment="1">
      <alignment horizontal="center" textRotation="90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8" borderId="47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34" xfId="0" applyNumberFormat="1" applyFont="1" applyFill="1" applyBorder="1" applyAlignment="1">
      <alignment horizontal="center" vertical="center" wrapText="1"/>
    </xf>
    <xf numFmtId="2" fontId="1" fillId="35" borderId="35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36" borderId="25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left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3" fontId="0" fillId="0" borderId="19" xfId="61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6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69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65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textRotation="90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38" borderId="66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4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76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textRotation="90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4" fontId="2" fillId="34" borderId="51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center"/>
    </xf>
    <xf numFmtId="4" fontId="0" fillId="40" borderId="15" xfId="0" applyNumberFormat="1" applyFont="1" applyFill="1" applyBorder="1" applyAlignment="1">
      <alignment horizontal="center" wrapText="1"/>
    </xf>
    <xf numFmtId="4" fontId="0" fillId="41" borderId="15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56;&#1072;&#1089;&#1095;&#1077;&#1090;%20&#1079;&#1072;&#1076;&#1086;&#1083;&#1078;&#1077;&#1085;&#1085;&#1086;&#1089;&#1090;&#1080;%20&#1087;&#1086;%20&#1076;&#1086;&#1075;&#1086;&#1074;&#1086;&#1088;&#1072;&#1084;%20&#1057;&#1044;%20&#1076;&#1083;&#1103;%20&#1089;&#1091;&#1076;&#1072;%20&#1080;&#1089;&#1087;&#1088;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53">
          <cell r="I53">
            <v>311.8032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55">
          <cell r="I55">
            <v>311.52</v>
          </cell>
          <cell r="R55">
            <v>189.84</v>
          </cell>
        </row>
        <row r="71">
          <cell r="I71">
            <v>315.126</v>
          </cell>
          <cell r="R71">
            <v>227.017</v>
          </cell>
        </row>
        <row r="91">
          <cell r="I91">
            <v>2125.728</v>
          </cell>
          <cell r="R91">
            <v>1531.3760000000002</v>
          </cell>
        </row>
        <row r="118">
          <cell r="I118">
            <v>7487.262</v>
          </cell>
          <cell r="R118">
            <v>5393.829</v>
          </cell>
        </row>
        <row r="190">
          <cell r="I190">
            <v>114</v>
          </cell>
          <cell r="R190">
            <v>28.5</v>
          </cell>
        </row>
      </sheetData>
      <sheetData sheetId="1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1">
          <cell r="J91">
            <v>1431.7920000000001</v>
          </cell>
          <cell r="S91">
            <v>1031.4640000000002</v>
          </cell>
        </row>
        <row r="118">
          <cell r="J118">
            <v>7487.262</v>
          </cell>
          <cell r="S118">
            <v>5393.829</v>
          </cell>
        </row>
        <row r="191">
          <cell r="S191">
            <v>28.5</v>
          </cell>
        </row>
        <row r="192">
          <cell r="J192">
            <v>114</v>
          </cell>
        </row>
      </sheetData>
      <sheetData sheetId="2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1">
          <cell r="J91">
            <v>1778.76</v>
          </cell>
          <cell r="S91">
            <v>1281.4199999999998</v>
          </cell>
        </row>
        <row r="118">
          <cell r="J118">
            <v>7487.262</v>
          </cell>
          <cell r="S118">
            <v>5393.829</v>
          </cell>
        </row>
        <row r="192">
          <cell r="J192">
            <v>114</v>
          </cell>
          <cell r="S192">
            <v>28.5</v>
          </cell>
        </row>
      </sheetData>
      <sheetData sheetId="3">
        <row r="55">
          <cell r="S55">
            <v>189.84</v>
          </cell>
        </row>
        <row r="71">
          <cell r="S71">
            <v>227.017</v>
          </cell>
        </row>
        <row r="92">
          <cell r="S92">
            <v>1281.4199999999998</v>
          </cell>
        </row>
        <row r="119">
          <cell r="S119">
            <v>5393.829</v>
          </cell>
        </row>
        <row r="194">
          <cell r="S194">
            <v>28.5</v>
          </cell>
        </row>
      </sheetData>
      <sheetData sheetId="4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0">
          <cell r="J90">
            <v>1778.76</v>
          </cell>
          <cell r="S90">
            <v>1281.4199999999998</v>
          </cell>
        </row>
        <row r="117">
          <cell r="J117">
            <v>7487.262</v>
          </cell>
          <cell r="S117">
            <v>5393.829</v>
          </cell>
        </row>
        <row r="192">
          <cell r="J192">
            <v>114</v>
          </cell>
          <cell r="S192">
            <v>28.5</v>
          </cell>
        </row>
      </sheetData>
      <sheetData sheetId="5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0">
          <cell r="J90">
            <v>1778.76</v>
          </cell>
          <cell r="S90">
            <v>1281.4199999999998</v>
          </cell>
        </row>
        <row r="117">
          <cell r="J117">
            <v>7487.262</v>
          </cell>
          <cell r="S117">
            <v>5393.829</v>
          </cell>
        </row>
        <row r="192">
          <cell r="J192">
            <v>114</v>
          </cell>
          <cell r="S192">
            <v>28.5</v>
          </cell>
        </row>
      </sheetData>
      <sheetData sheetId="6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0">
          <cell r="J90">
            <v>1778.76</v>
          </cell>
          <cell r="S90">
            <v>1281.4199999999998</v>
          </cell>
        </row>
        <row r="117">
          <cell r="J117">
            <v>7487.262</v>
          </cell>
          <cell r="S117">
            <v>5393.829</v>
          </cell>
        </row>
        <row r="196">
          <cell r="J196">
            <v>114</v>
          </cell>
          <cell r="S196">
            <v>28.5</v>
          </cell>
        </row>
      </sheetData>
      <sheetData sheetId="7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0">
          <cell r="J90">
            <v>1778.76</v>
          </cell>
          <cell r="S90">
            <v>1281.4199999999998</v>
          </cell>
        </row>
        <row r="117">
          <cell r="J117">
            <v>7487.262</v>
          </cell>
          <cell r="S117">
            <v>5393.829</v>
          </cell>
        </row>
        <row r="200">
          <cell r="J200">
            <v>114</v>
          </cell>
          <cell r="S200">
            <v>28.5</v>
          </cell>
        </row>
      </sheetData>
      <sheetData sheetId="8">
        <row r="55">
          <cell r="J55">
            <v>311.52</v>
          </cell>
        </row>
        <row r="71">
          <cell r="J71">
            <v>315.126</v>
          </cell>
        </row>
        <row r="90">
          <cell r="J90">
            <v>1778.76</v>
          </cell>
        </row>
        <row r="117">
          <cell r="J117">
            <v>7487.262</v>
          </cell>
        </row>
        <row r="200">
          <cell r="J200">
            <v>114</v>
          </cell>
        </row>
      </sheetData>
      <sheetData sheetId="9">
        <row r="55">
          <cell r="S55">
            <v>189.84</v>
          </cell>
        </row>
        <row r="71">
          <cell r="S71">
            <v>227.017</v>
          </cell>
        </row>
        <row r="90">
          <cell r="S90">
            <v>1281.4199999999998</v>
          </cell>
        </row>
        <row r="117">
          <cell r="S117">
            <v>5393.829</v>
          </cell>
        </row>
        <row r="200">
          <cell r="S200">
            <v>28.5</v>
          </cell>
        </row>
      </sheetData>
      <sheetData sheetId="10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0">
          <cell r="J90">
            <v>1778.76</v>
          </cell>
          <cell r="S90">
            <v>1281.4199999999998</v>
          </cell>
        </row>
        <row r="117">
          <cell r="J117">
            <v>7487.262</v>
          </cell>
          <cell r="S117">
            <v>5393.829</v>
          </cell>
        </row>
        <row r="200">
          <cell r="J200">
            <v>114</v>
          </cell>
          <cell r="S200">
            <v>28.5</v>
          </cell>
        </row>
      </sheetData>
      <sheetData sheetId="11">
        <row r="55">
          <cell r="J55">
            <v>311.52</v>
          </cell>
          <cell r="S55">
            <v>189.84</v>
          </cell>
        </row>
        <row r="71">
          <cell r="J71">
            <v>315.126</v>
          </cell>
          <cell r="S71">
            <v>227.017</v>
          </cell>
        </row>
        <row r="90">
          <cell r="J90">
            <v>1778.76</v>
          </cell>
          <cell r="S90">
            <v>1281.4199999999998</v>
          </cell>
        </row>
        <row r="117">
          <cell r="J117">
            <v>7487.262</v>
          </cell>
          <cell r="S117">
            <v>5393.829</v>
          </cell>
        </row>
        <row r="159">
          <cell r="J159">
            <v>1200</v>
          </cell>
          <cell r="S159">
            <v>300</v>
          </cell>
        </row>
        <row r="224">
          <cell r="J224">
            <v>114</v>
          </cell>
          <cell r="S224">
            <v>28.5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2">
        <row r="61">
          <cell r="F61">
            <v>39.83</v>
          </cell>
        </row>
        <row r="68">
          <cell r="F68">
            <v>49.15</v>
          </cell>
        </row>
        <row r="73">
          <cell r="F73">
            <v>19.6</v>
          </cell>
        </row>
        <row r="81">
          <cell r="F81">
            <v>10.4</v>
          </cell>
        </row>
        <row r="91">
          <cell r="F91">
            <v>9</v>
          </cell>
        </row>
        <row r="94">
          <cell r="F94">
            <v>6</v>
          </cell>
        </row>
        <row r="100">
          <cell r="F100">
            <v>26</v>
          </cell>
        </row>
        <row r="103">
          <cell r="F103">
            <v>16.5</v>
          </cell>
        </row>
        <row r="108">
          <cell r="F108">
            <v>18</v>
          </cell>
        </row>
        <row r="112">
          <cell r="F112">
            <v>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55">
          <cell r="J55">
            <v>311.52</v>
          </cell>
        </row>
        <row r="71">
          <cell r="J71">
            <v>315.126</v>
          </cell>
        </row>
        <row r="92">
          <cell r="J92">
            <v>1778.76</v>
          </cell>
        </row>
        <row r="119">
          <cell r="J119">
            <v>7487.262</v>
          </cell>
        </row>
        <row r="194">
          <cell r="J194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55">
          <cell r="J55">
            <v>311.52</v>
          </cell>
        </row>
        <row r="71">
          <cell r="J71">
            <v>315.126</v>
          </cell>
        </row>
        <row r="90">
          <cell r="J90">
            <v>1778.76</v>
          </cell>
        </row>
        <row r="117">
          <cell r="J117">
            <v>7487.262</v>
          </cell>
        </row>
        <row r="200">
          <cell r="J200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олдыкова Е.Г."/>
      <sheetName val="Судочакова О.Г."/>
      <sheetName val="Шулбаева Р.Д."/>
      <sheetName val="Фрид О.А."/>
      <sheetName val="Эглит А.В."/>
      <sheetName val="Константинов Д.Н."/>
      <sheetName val="Таштагольское ПО"/>
      <sheetName val="ООО &quot;Кармен&quot;"/>
      <sheetName val="Носов О.М."/>
      <sheetName val="Лысенко Т.Д."/>
      <sheetName val="Куртуков И.В."/>
      <sheetName val="Павлов О.В."/>
      <sheetName val="ООО &quot;Фортуна&quot;"/>
      <sheetName val="Кириленко В.Ю."/>
      <sheetName val="ООО &quot;Элита&quot;"/>
      <sheetName val="ООО &quot;Чибис&quot; "/>
      <sheetName val="Дедух Н.Г."/>
      <sheetName val="Дедух Т.И."/>
      <sheetName val="Дедух Т.И. (2)"/>
      <sheetName val="Елистратов Е.А."/>
      <sheetName val="Башева А.П."/>
      <sheetName val="Юнусов А.З."/>
      <sheetName val="Никитаев А.Ю."/>
    </sheetNames>
    <sheetDataSet>
      <sheetData sheetId="11">
        <row r="5">
          <cell r="D5">
            <v>788.364</v>
          </cell>
        </row>
        <row r="6">
          <cell r="D6">
            <v>788.364</v>
          </cell>
        </row>
        <row r="7">
          <cell r="D7">
            <v>788.364</v>
          </cell>
        </row>
        <row r="8">
          <cell r="D8">
            <v>788.364</v>
          </cell>
        </row>
        <row r="9">
          <cell r="D9">
            <v>788.364</v>
          </cell>
        </row>
        <row r="10">
          <cell r="D10">
            <v>788.364</v>
          </cell>
        </row>
        <row r="11">
          <cell r="D11">
            <v>788.364</v>
          </cell>
        </row>
        <row r="12">
          <cell r="D12">
            <v>788.364</v>
          </cell>
        </row>
        <row r="13">
          <cell r="D13">
            <v>788.364</v>
          </cell>
        </row>
        <row r="14">
          <cell r="D14">
            <v>788.364</v>
          </cell>
        </row>
        <row r="15">
          <cell r="D15">
            <v>788.364</v>
          </cell>
        </row>
        <row r="16">
          <cell r="D16">
            <v>788.364</v>
          </cell>
        </row>
        <row r="17">
          <cell r="D17">
            <v>788.364</v>
          </cell>
        </row>
        <row r="18">
          <cell r="D18">
            <v>788.364</v>
          </cell>
        </row>
        <row r="19">
          <cell r="D19">
            <v>788.364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33">
          <cell r="J33">
            <v>385.20000000000005</v>
          </cell>
          <cell r="S33">
            <v>189.84</v>
          </cell>
        </row>
        <row r="46">
          <cell r="J46">
            <v>403.235</v>
          </cell>
          <cell r="S46">
            <v>227.017</v>
          </cell>
        </row>
        <row r="120">
          <cell r="J120">
            <v>2276.1</v>
          </cell>
          <cell r="S120">
            <v>1281.4199999999998</v>
          </cell>
        </row>
        <row r="137">
          <cell r="J137">
            <v>9580.695</v>
          </cell>
          <cell r="S137">
            <v>5393.829</v>
          </cell>
        </row>
        <row r="157">
          <cell r="J157">
            <v>0</v>
          </cell>
          <cell r="S157">
            <v>0</v>
          </cell>
        </row>
        <row r="222">
          <cell r="J222">
            <v>114</v>
          </cell>
          <cell r="S222">
            <v>28.5</v>
          </cell>
        </row>
      </sheetData>
      <sheetData sheetId="2">
        <row r="32">
          <cell r="J32">
            <v>385.20000000000005</v>
          </cell>
          <cell r="S32">
            <v>189.84</v>
          </cell>
        </row>
        <row r="44">
          <cell r="J44">
            <v>403.235</v>
          </cell>
          <cell r="S44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58">
          <cell r="J158">
            <v>600</v>
          </cell>
          <cell r="S158">
            <v>150</v>
          </cell>
        </row>
        <row r="223">
          <cell r="J223">
            <v>114</v>
          </cell>
          <cell r="S223">
            <v>28.5</v>
          </cell>
        </row>
      </sheetData>
      <sheetData sheetId="3">
        <row r="32">
          <cell r="J32">
            <v>385.20000000000005</v>
          </cell>
          <cell r="S32">
            <v>189.84</v>
          </cell>
        </row>
        <row r="44">
          <cell r="J44">
            <v>403.235</v>
          </cell>
          <cell r="S44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58">
          <cell r="J158">
            <v>200</v>
          </cell>
          <cell r="S158">
            <v>50</v>
          </cell>
        </row>
        <row r="223">
          <cell r="J223">
            <v>114</v>
          </cell>
          <cell r="S223">
            <v>28.5</v>
          </cell>
        </row>
      </sheetData>
      <sheetData sheetId="4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58">
          <cell r="J158">
            <v>200</v>
          </cell>
          <cell r="S158">
            <v>50</v>
          </cell>
        </row>
        <row r="229">
          <cell r="J229">
            <v>114</v>
          </cell>
          <cell r="S229">
            <v>28.5</v>
          </cell>
        </row>
      </sheetData>
      <sheetData sheetId="5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64">
          <cell r="J164">
            <v>200</v>
          </cell>
          <cell r="S164">
            <v>50</v>
          </cell>
        </row>
        <row r="260">
          <cell r="J260">
            <v>114</v>
          </cell>
          <cell r="S260">
            <v>28.5</v>
          </cell>
        </row>
      </sheetData>
      <sheetData sheetId="6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3">
          <cell r="J123">
            <v>2276.1</v>
          </cell>
          <cell r="S123">
            <v>1281.4199999999998</v>
          </cell>
        </row>
        <row r="140">
          <cell r="J140">
            <v>9580.695</v>
          </cell>
          <cell r="S140">
            <v>5393.829</v>
          </cell>
        </row>
        <row r="166">
          <cell r="J166">
            <v>200</v>
          </cell>
          <cell r="S166">
            <v>50</v>
          </cell>
        </row>
        <row r="262">
          <cell r="J262">
            <v>114</v>
          </cell>
          <cell r="S262">
            <v>28.5</v>
          </cell>
        </row>
      </sheetData>
      <sheetData sheetId="7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3">
          <cell r="J123">
            <v>2276.1</v>
          </cell>
          <cell r="S123">
            <v>1281.4199999999998</v>
          </cell>
        </row>
        <row r="140">
          <cell r="J140">
            <v>9580.695</v>
          </cell>
          <cell r="S140">
            <v>5393.829</v>
          </cell>
        </row>
        <row r="166">
          <cell r="J166">
            <v>200</v>
          </cell>
          <cell r="S166">
            <v>50</v>
          </cell>
        </row>
        <row r="262">
          <cell r="J262">
            <v>114</v>
          </cell>
          <cell r="S262">
            <v>28.5</v>
          </cell>
        </row>
        <row r="294">
          <cell r="J294">
            <v>2400</v>
          </cell>
          <cell r="S294">
            <v>600</v>
          </cell>
        </row>
      </sheetData>
      <sheetData sheetId="8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2">
          <cell r="J122">
            <v>2276.1</v>
          </cell>
          <cell r="S122">
            <v>1281.4199999999998</v>
          </cell>
        </row>
        <row r="139">
          <cell r="J139">
            <v>9580.695</v>
          </cell>
          <cell r="S139">
            <v>5393.829</v>
          </cell>
        </row>
        <row r="169">
          <cell r="J169">
            <v>200</v>
          </cell>
          <cell r="S169">
            <v>50</v>
          </cell>
        </row>
        <row r="262">
          <cell r="J262">
            <v>114</v>
          </cell>
          <cell r="S262">
            <v>28.5</v>
          </cell>
        </row>
        <row r="294">
          <cell r="J294">
            <v>800</v>
          </cell>
          <cell r="S294">
            <v>200</v>
          </cell>
        </row>
      </sheetData>
      <sheetData sheetId="9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68">
          <cell r="J168">
            <v>200</v>
          </cell>
          <cell r="S168">
            <v>50</v>
          </cell>
        </row>
        <row r="261">
          <cell r="J261">
            <v>114</v>
          </cell>
          <cell r="S261">
            <v>28.5</v>
          </cell>
        </row>
        <row r="293">
          <cell r="J293">
            <v>800</v>
          </cell>
          <cell r="S293">
            <v>200</v>
          </cell>
        </row>
      </sheetData>
      <sheetData sheetId="10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70">
          <cell r="J170">
            <v>200</v>
          </cell>
          <cell r="S170">
            <v>50</v>
          </cell>
        </row>
        <row r="263">
          <cell r="J263">
            <v>114</v>
          </cell>
          <cell r="S263">
            <v>28.5</v>
          </cell>
        </row>
        <row r="295">
          <cell r="J295">
            <v>800</v>
          </cell>
          <cell r="S295">
            <v>200</v>
          </cell>
        </row>
      </sheetData>
      <sheetData sheetId="11">
        <row r="31">
          <cell r="J31">
            <v>385.20000000000005</v>
          </cell>
          <cell r="S31">
            <v>189.84</v>
          </cell>
        </row>
        <row r="43">
          <cell r="J43">
            <v>403.235</v>
          </cell>
          <cell r="S43">
            <v>227.017</v>
          </cell>
        </row>
        <row r="121">
          <cell r="J121">
            <v>2276.1</v>
          </cell>
          <cell r="S121">
            <v>1281.4199999999998</v>
          </cell>
        </row>
        <row r="138">
          <cell r="J138">
            <v>9580.695</v>
          </cell>
          <cell r="S138">
            <v>5393.829</v>
          </cell>
        </row>
        <row r="173">
          <cell r="J173">
            <v>200</v>
          </cell>
          <cell r="S173">
            <v>50</v>
          </cell>
        </row>
        <row r="266">
          <cell r="J266">
            <v>114</v>
          </cell>
          <cell r="S266">
            <v>28.5</v>
          </cell>
        </row>
        <row r="298">
          <cell r="J298">
            <v>800</v>
          </cell>
          <cell r="S298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53">
          <cell r="O53">
            <v>124.59462240000002</v>
          </cell>
        </row>
      </sheetData>
      <sheetData sheetId="7">
        <row r="54">
          <cell r="O54">
            <v>124.53801072000002</v>
          </cell>
        </row>
      </sheetData>
      <sheetData sheetId="8">
        <row r="54">
          <cell r="O54">
            <v>124.51917508800001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56">
          <cell r="I56">
            <v>311.8032</v>
          </cell>
        </row>
        <row r="76">
          <cell r="I76">
            <v>1261.19984</v>
          </cell>
        </row>
        <row r="97">
          <cell r="I97">
            <v>2126.86088</v>
          </cell>
        </row>
      </sheetData>
      <sheetData sheetId="2">
        <row r="57">
          <cell r="O57">
            <v>125.66879999999999</v>
          </cell>
        </row>
        <row r="77">
          <cell r="O77">
            <v>150.27894</v>
          </cell>
        </row>
        <row r="98">
          <cell r="O98">
            <v>1013.7283199999999</v>
          </cell>
        </row>
        <row r="124">
          <cell r="O124">
            <v>3570.5647799999997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56">
          <cell r="O56">
            <v>125.48344</v>
          </cell>
        </row>
        <row r="76">
          <cell r="O76">
            <v>114.8</v>
          </cell>
        </row>
        <row r="97">
          <cell r="O97">
            <v>1012.317256</v>
          </cell>
        </row>
      </sheetData>
      <sheetData sheetId="1">
        <row r="56">
          <cell r="I56">
            <v>311.8032</v>
          </cell>
          <cell r="O56">
            <v>125.66879999999999</v>
          </cell>
        </row>
        <row r="76">
          <cell r="I76">
            <v>315.30246</v>
          </cell>
          <cell r="O76">
            <v>150.27894</v>
          </cell>
        </row>
        <row r="97">
          <cell r="I97">
            <v>2126.86088</v>
          </cell>
          <cell r="O97">
            <v>1013.7283199999999</v>
          </cell>
        </row>
        <row r="122">
          <cell r="I122">
            <v>0</v>
          </cell>
          <cell r="O122">
            <v>3570.5647799999997</v>
          </cell>
        </row>
      </sheetData>
      <sheetData sheetId="2">
        <row r="57">
          <cell r="I57">
            <v>311.8032</v>
          </cell>
        </row>
        <row r="77">
          <cell r="I77">
            <v>315.30246</v>
          </cell>
        </row>
        <row r="98">
          <cell r="I98">
            <v>2126.86088</v>
          </cell>
        </row>
        <row r="124">
          <cell r="I1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54">
          <cell r="I54">
            <v>311.8032</v>
          </cell>
        </row>
        <row r="74">
          <cell r="I74">
            <v>315.29246</v>
          </cell>
        </row>
        <row r="95">
          <cell r="I95">
            <v>2126.86088</v>
          </cell>
        </row>
        <row r="121">
          <cell r="I121">
            <v>7491.21702</v>
          </cell>
        </row>
      </sheetData>
      <sheetData sheetId="2">
        <row r="55">
          <cell r="M55">
            <v>125.52</v>
          </cell>
        </row>
        <row r="75">
          <cell r="M75">
            <v>150.101</v>
          </cell>
        </row>
        <row r="96">
          <cell r="M96">
            <v>1012.528</v>
          </cell>
        </row>
        <row r="122">
          <cell r="M122">
            <v>3566.3369999999995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55">
          <cell r="I55">
            <v>311.8032</v>
          </cell>
          <cell r="M55">
            <v>125.52</v>
          </cell>
        </row>
        <row r="75">
          <cell r="I75">
            <v>315.29246</v>
          </cell>
          <cell r="M75">
            <v>150.101</v>
          </cell>
        </row>
        <row r="96">
          <cell r="I96">
            <v>2126.86088</v>
          </cell>
          <cell r="M96">
            <v>1012.528</v>
          </cell>
        </row>
        <row r="122">
          <cell r="I122">
            <v>7491.21702</v>
          </cell>
          <cell r="M122">
            <v>3566.3369999999995</v>
          </cell>
        </row>
      </sheetData>
      <sheetData sheetId="5">
        <row r="55">
          <cell r="M55">
            <v>125.52</v>
          </cell>
        </row>
        <row r="73">
          <cell r="M73">
            <v>150.101</v>
          </cell>
        </row>
        <row r="94">
          <cell r="M94">
            <v>1012.528</v>
          </cell>
        </row>
        <row r="119">
          <cell r="M119">
            <v>3566.3369999999995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55">
          <cell r="I55">
            <v>311.8032</v>
          </cell>
        </row>
        <row r="73">
          <cell r="I73">
            <v>315.29246</v>
          </cell>
        </row>
        <row r="94">
          <cell r="I94">
            <v>2126.86088</v>
          </cell>
        </row>
        <row r="119">
          <cell r="I119">
            <v>7491.21702</v>
          </cell>
        </row>
      </sheetData>
      <sheetData sheetId="6">
        <row r="55">
          <cell r="I55">
            <v>311.8032</v>
          </cell>
          <cell r="M55">
            <v>125.52</v>
          </cell>
        </row>
        <row r="72">
          <cell r="I72">
            <v>315.29246</v>
          </cell>
          <cell r="M72">
            <v>150.101</v>
          </cell>
        </row>
        <row r="93">
          <cell r="I93">
            <v>2126.86088</v>
          </cell>
          <cell r="M93">
            <v>1012.528</v>
          </cell>
        </row>
        <row r="118">
          <cell r="I118">
            <v>7491.21702</v>
          </cell>
          <cell r="M118">
            <v>3566.3369999999995</v>
          </cell>
        </row>
      </sheetData>
      <sheetData sheetId="9">
        <row r="55">
          <cell r="I55">
            <v>311.8032</v>
          </cell>
          <cell r="M55">
            <v>125.52</v>
          </cell>
        </row>
        <row r="72">
          <cell r="I72">
            <v>315.30246</v>
          </cell>
          <cell r="M72">
            <v>150.101</v>
          </cell>
        </row>
        <row r="93">
          <cell r="I93">
            <v>2126.86088</v>
          </cell>
          <cell r="M93">
            <v>1012.528</v>
          </cell>
        </row>
        <row r="119">
          <cell r="I119">
            <v>7491.21702</v>
          </cell>
          <cell r="M119">
            <v>3566.3369999999995</v>
          </cell>
        </row>
      </sheetData>
      <sheetData sheetId="10">
        <row r="55">
          <cell r="I55">
            <v>311.8032</v>
          </cell>
          <cell r="M55">
            <v>125.52</v>
          </cell>
        </row>
        <row r="72">
          <cell r="I72">
            <v>315.29246</v>
          </cell>
          <cell r="M72">
            <v>150.101</v>
          </cell>
        </row>
        <row r="93">
          <cell r="I93">
            <v>2126.86088</v>
          </cell>
          <cell r="M93">
            <v>1012.528</v>
          </cell>
        </row>
        <row r="118">
          <cell r="I118">
            <v>7491.21702</v>
          </cell>
          <cell r="M118">
            <v>3566.3369999999995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6">
      <selection activeCell="BF30" sqref="BF3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625" style="2" customWidth="1"/>
    <col min="4" max="4" width="10.375" style="2" customWidth="1"/>
    <col min="5" max="5" width="12.25390625" style="2" customWidth="1"/>
    <col min="6" max="6" width="9.125" style="2" customWidth="1"/>
    <col min="7" max="7" width="10.7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1.875" style="2" customWidth="1"/>
    <col min="55" max="55" width="9.125" style="2" customWidth="1"/>
    <col min="56" max="56" width="11.625" style="2" customWidth="1"/>
    <col min="57" max="57" width="10.375" style="2" customWidth="1"/>
    <col min="58" max="58" width="10.25390625" style="2" customWidth="1"/>
    <col min="59" max="16384" width="9.125" style="2" customWidth="1"/>
  </cols>
  <sheetData>
    <row r="1" spans="1:18" ht="12.75">
      <c r="A1" s="383" t="s">
        <v>74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56" t="s">
        <v>76</v>
      </c>
      <c r="B3" s="385" t="s">
        <v>0</v>
      </c>
      <c r="C3" s="387" t="s">
        <v>1</v>
      </c>
      <c r="D3" s="389" t="s">
        <v>2</v>
      </c>
      <c r="E3" s="356" t="s">
        <v>11</v>
      </c>
      <c r="F3" s="380"/>
      <c r="G3" s="356" t="s">
        <v>12</v>
      </c>
      <c r="H3" s="357"/>
      <c r="I3" s="356" t="s">
        <v>13</v>
      </c>
      <c r="J3" s="357"/>
      <c r="K3" s="356" t="s">
        <v>14</v>
      </c>
      <c r="L3" s="357"/>
      <c r="M3" s="360" t="s">
        <v>15</v>
      </c>
      <c r="N3" s="357"/>
      <c r="O3" s="356" t="s">
        <v>16</v>
      </c>
      <c r="P3" s="357"/>
      <c r="Q3" s="356" t="s">
        <v>17</v>
      </c>
      <c r="R3" s="357"/>
      <c r="S3" s="356" t="s">
        <v>3</v>
      </c>
      <c r="T3" s="360"/>
      <c r="U3" s="362" t="s">
        <v>4</v>
      </c>
      <c r="V3" s="363"/>
      <c r="W3" s="363"/>
      <c r="X3" s="363"/>
      <c r="Y3" s="363"/>
      <c r="Z3" s="363"/>
      <c r="AA3" s="363"/>
      <c r="AB3" s="363"/>
      <c r="AC3" s="366" t="s">
        <v>77</v>
      </c>
      <c r="AD3" s="351" t="s">
        <v>6</v>
      </c>
      <c r="AE3" s="351" t="s">
        <v>7</v>
      </c>
      <c r="AF3" s="373" t="s">
        <v>73</v>
      </c>
      <c r="AG3" s="405" t="s">
        <v>8</v>
      </c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7"/>
      <c r="BC3" s="400" t="s">
        <v>78</v>
      </c>
      <c r="BD3" s="402"/>
      <c r="BE3" s="393" t="s">
        <v>9</v>
      </c>
      <c r="BF3" s="393" t="s">
        <v>10</v>
      </c>
    </row>
    <row r="4" spans="1:58" ht="36" customHeight="1" thickBot="1">
      <c r="A4" s="384"/>
      <c r="B4" s="386"/>
      <c r="C4" s="388"/>
      <c r="D4" s="390"/>
      <c r="E4" s="381"/>
      <c r="F4" s="382"/>
      <c r="G4" s="358"/>
      <c r="H4" s="359"/>
      <c r="I4" s="358"/>
      <c r="J4" s="359"/>
      <c r="K4" s="358"/>
      <c r="L4" s="359"/>
      <c r="M4" s="378"/>
      <c r="N4" s="379"/>
      <c r="O4" s="358"/>
      <c r="P4" s="359"/>
      <c r="Q4" s="358"/>
      <c r="R4" s="359"/>
      <c r="S4" s="358"/>
      <c r="T4" s="361"/>
      <c r="U4" s="364"/>
      <c r="V4" s="365"/>
      <c r="W4" s="365"/>
      <c r="X4" s="365"/>
      <c r="Y4" s="365"/>
      <c r="Z4" s="365"/>
      <c r="AA4" s="365"/>
      <c r="AB4" s="365"/>
      <c r="AC4" s="367"/>
      <c r="AD4" s="352"/>
      <c r="AE4" s="352"/>
      <c r="AF4" s="374"/>
      <c r="AG4" s="377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9"/>
      <c r="BC4" s="396" t="s">
        <v>79</v>
      </c>
      <c r="BD4" s="399" t="s">
        <v>80</v>
      </c>
      <c r="BE4" s="394"/>
      <c r="BF4" s="394"/>
    </row>
    <row r="5" spans="1:58" ht="29.25" customHeight="1" thickBot="1">
      <c r="A5" s="384"/>
      <c r="B5" s="386"/>
      <c r="C5" s="388"/>
      <c r="D5" s="390"/>
      <c r="E5" s="391" t="s">
        <v>18</v>
      </c>
      <c r="F5" s="345" t="s">
        <v>19</v>
      </c>
      <c r="G5" s="345" t="s">
        <v>18</v>
      </c>
      <c r="H5" s="345" t="s">
        <v>19</v>
      </c>
      <c r="I5" s="345" t="s">
        <v>18</v>
      </c>
      <c r="J5" s="345" t="s">
        <v>19</v>
      </c>
      <c r="K5" s="345" t="s">
        <v>18</v>
      </c>
      <c r="L5" s="345" t="s">
        <v>19</v>
      </c>
      <c r="M5" s="345" t="s">
        <v>18</v>
      </c>
      <c r="N5" s="345" t="s">
        <v>19</v>
      </c>
      <c r="O5" s="345" t="s">
        <v>18</v>
      </c>
      <c r="P5" s="345" t="s">
        <v>19</v>
      </c>
      <c r="Q5" s="345" t="s">
        <v>18</v>
      </c>
      <c r="R5" s="345" t="s">
        <v>19</v>
      </c>
      <c r="S5" s="345" t="s">
        <v>18</v>
      </c>
      <c r="T5" s="369" t="s">
        <v>19</v>
      </c>
      <c r="U5" s="347" t="s">
        <v>20</v>
      </c>
      <c r="V5" s="347" t="s">
        <v>21</v>
      </c>
      <c r="W5" s="347" t="s">
        <v>22</v>
      </c>
      <c r="X5" s="347" t="s">
        <v>23</v>
      </c>
      <c r="Y5" s="347" t="s">
        <v>24</v>
      </c>
      <c r="Z5" s="347" t="s">
        <v>25</v>
      </c>
      <c r="AA5" s="347" t="s">
        <v>26</v>
      </c>
      <c r="AB5" s="376" t="s">
        <v>27</v>
      </c>
      <c r="AC5" s="367"/>
      <c r="AD5" s="352"/>
      <c r="AE5" s="352"/>
      <c r="AF5" s="374"/>
      <c r="AG5" s="371" t="s">
        <v>28</v>
      </c>
      <c r="AH5" s="410" t="s">
        <v>29</v>
      </c>
      <c r="AI5" s="410" t="s">
        <v>30</v>
      </c>
      <c r="AJ5" s="349" t="s">
        <v>31</v>
      </c>
      <c r="AK5" s="410" t="s">
        <v>32</v>
      </c>
      <c r="AL5" s="349" t="s">
        <v>31</v>
      </c>
      <c r="AM5" s="349" t="s">
        <v>33</v>
      </c>
      <c r="AN5" s="349" t="s">
        <v>31</v>
      </c>
      <c r="AO5" s="349" t="s">
        <v>34</v>
      </c>
      <c r="AP5" s="349" t="s">
        <v>31</v>
      </c>
      <c r="AQ5" s="412" t="s">
        <v>81</v>
      </c>
      <c r="AR5" s="354" t="s">
        <v>31</v>
      </c>
      <c r="AS5" s="343" t="s">
        <v>82</v>
      </c>
      <c r="AT5" s="343" t="s">
        <v>83</v>
      </c>
      <c r="AU5" s="78" t="s">
        <v>31</v>
      </c>
      <c r="AV5" s="400" t="s">
        <v>84</v>
      </c>
      <c r="AW5" s="401"/>
      <c r="AX5" s="402"/>
      <c r="AY5" s="403" t="s">
        <v>17</v>
      </c>
      <c r="AZ5" s="399" t="s">
        <v>36</v>
      </c>
      <c r="BA5" s="399" t="s">
        <v>31</v>
      </c>
      <c r="BB5" s="399" t="s">
        <v>37</v>
      </c>
      <c r="BC5" s="397"/>
      <c r="BD5" s="349"/>
      <c r="BE5" s="394"/>
      <c r="BF5" s="394"/>
    </row>
    <row r="6" spans="1:58" ht="54" customHeight="1" thickBot="1">
      <c r="A6" s="384"/>
      <c r="B6" s="386"/>
      <c r="C6" s="388"/>
      <c r="D6" s="390"/>
      <c r="E6" s="392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70"/>
      <c r="U6" s="348"/>
      <c r="V6" s="348"/>
      <c r="W6" s="348"/>
      <c r="X6" s="348"/>
      <c r="Y6" s="348"/>
      <c r="Z6" s="348"/>
      <c r="AA6" s="348"/>
      <c r="AB6" s="377"/>
      <c r="AC6" s="368"/>
      <c r="AD6" s="353"/>
      <c r="AE6" s="353"/>
      <c r="AF6" s="375"/>
      <c r="AG6" s="372"/>
      <c r="AH6" s="411"/>
      <c r="AI6" s="411"/>
      <c r="AJ6" s="350"/>
      <c r="AK6" s="411"/>
      <c r="AL6" s="350"/>
      <c r="AM6" s="350"/>
      <c r="AN6" s="350"/>
      <c r="AO6" s="350"/>
      <c r="AP6" s="350"/>
      <c r="AQ6" s="413"/>
      <c r="AR6" s="355"/>
      <c r="AS6" s="344"/>
      <c r="AT6" s="344"/>
      <c r="AU6" s="80"/>
      <c r="AV6" s="79" t="s">
        <v>85</v>
      </c>
      <c r="AW6" s="79" t="s">
        <v>86</v>
      </c>
      <c r="AX6" s="79" t="s">
        <v>87</v>
      </c>
      <c r="AY6" s="404"/>
      <c r="AZ6" s="350"/>
      <c r="BA6" s="350"/>
      <c r="BB6" s="350"/>
      <c r="BC6" s="398"/>
      <c r="BD6" s="350"/>
      <c r="BE6" s="395"/>
      <c r="BF6" s="395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81">
        <v>43</v>
      </c>
      <c r="AR7" s="82">
        <v>44</v>
      </c>
      <c r="AS7" s="83">
        <v>45</v>
      </c>
      <c r="AT7" s="42">
        <v>46</v>
      </c>
      <c r="AU7" s="83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84"/>
    </row>
    <row r="8" spans="1:58" ht="12.75">
      <c r="A8" s="5" t="s">
        <v>38</v>
      </c>
      <c r="B8" s="6"/>
      <c r="C8" s="6"/>
      <c r="D8" s="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6"/>
      <c r="AG8" s="6"/>
      <c r="AH8" s="6"/>
      <c r="AI8" s="6"/>
      <c r="AJ8" s="6"/>
      <c r="AK8" s="6"/>
      <c r="AL8" s="6"/>
      <c r="AM8" s="6"/>
      <c r="AN8" s="6"/>
      <c r="AO8" s="6"/>
      <c r="AP8" s="41"/>
      <c r="AQ8" s="85"/>
      <c r="AR8" s="85"/>
      <c r="AS8" s="41"/>
      <c r="AT8" s="41"/>
      <c r="AU8" s="41"/>
      <c r="AV8" s="6"/>
      <c r="AW8" s="6"/>
      <c r="AX8" s="6"/>
      <c r="AY8" s="6"/>
      <c r="AZ8" s="10"/>
      <c r="BA8" s="1"/>
      <c r="BB8" s="1"/>
      <c r="BC8" s="1"/>
      <c r="BD8" s="1"/>
      <c r="BE8" s="1"/>
      <c r="BF8" s="84"/>
    </row>
    <row r="9" spans="1:58" s="104" customFormat="1" ht="12.75">
      <c r="A9" s="86" t="s">
        <v>39</v>
      </c>
      <c r="B9" s="87">
        <v>5284.7</v>
      </c>
      <c r="C9" s="88">
        <f>B9*8.65</f>
        <v>45712.655</v>
      </c>
      <c r="D9" s="89">
        <f>C9*0.24088</f>
        <v>11011.2643364</v>
      </c>
      <c r="E9" s="65">
        <v>3516.16</v>
      </c>
      <c r="F9" s="65">
        <v>923.07</v>
      </c>
      <c r="G9" s="65">
        <v>4746.9</v>
      </c>
      <c r="H9" s="65">
        <v>1246.15</v>
      </c>
      <c r="I9" s="65">
        <v>11427.6</v>
      </c>
      <c r="J9" s="65">
        <v>3000.02</v>
      </c>
      <c r="K9" s="65">
        <v>7911.44</v>
      </c>
      <c r="L9" s="65">
        <v>2076.94</v>
      </c>
      <c r="M9" s="65">
        <v>2812.93</v>
      </c>
      <c r="N9" s="65">
        <v>738.45</v>
      </c>
      <c r="O9" s="65">
        <v>0</v>
      </c>
      <c r="P9" s="65">
        <v>0</v>
      </c>
      <c r="Q9" s="65">
        <v>0</v>
      </c>
      <c r="R9" s="65">
        <v>0</v>
      </c>
      <c r="S9" s="66">
        <f>E9+G9+I9+K9+M9+O9+Q9</f>
        <v>30415.03</v>
      </c>
      <c r="T9" s="90">
        <f>P9+N9+L9+J9+H9+F9+R9</f>
        <v>7984.629999999999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91">
        <v>0</v>
      </c>
      <c r="AA9" s="91">
        <v>0</v>
      </c>
      <c r="AB9" s="91">
        <f>SUM(U9:AA9)</f>
        <v>0</v>
      </c>
      <c r="AC9" s="92">
        <f>D9+T9+AB9</f>
        <v>18995.8943364</v>
      </c>
      <c r="AD9" s="93">
        <f>P9+Z9</f>
        <v>0</v>
      </c>
      <c r="AE9" s="94">
        <f>R9+AA9</f>
        <v>0</v>
      </c>
      <c r="AF9" s="94"/>
      <c r="AG9" s="13">
        <f>0.6*B9</f>
        <v>3170.8199999999997</v>
      </c>
      <c r="AH9" s="13">
        <f>B9*0.2*1.05826</f>
        <v>1118.5173244</v>
      </c>
      <c r="AI9" s="13">
        <f>0.8518*B9-0.01</f>
        <v>4501.49746</v>
      </c>
      <c r="AJ9" s="13">
        <f>AI9*0.18</f>
        <v>810.2695427999998</v>
      </c>
      <c r="AK9" s="13">
        <f>1.04*B9*0.9531</f>
        <v>5238.321472799999</v>
      </c>
      <c r="AL9" s="13">
        <f>AK9*0.18</f>
        <v>942.8978651039998</v>
      </c>
      <c r="AM9" s="13">
        <f>(1.91)*B9*0.9531</f>
        <v>9620.3788587</v>
      </c>
      <c r="AN9" s="13">
        <f>AM9*0.18</f>
        <v>1731.668194566</v>
      </c>
      <c r="AO9" s="13"/>
      <c r="AP9" s="13">
        <f>AO9*0.18</f>
        <v>0</v>
      </c>
      <c r="AQ9" s="95"/>
      <c r="AR9" s="95"/>
      <c r="AS9" s="96"/>
      <c r="AT9" s="96"/>
      <c r="AU9" s="96">
        <f>(AS9+AT9)*0.18</f>
        <v>0</v>
      </c>
      <c r="AV9" s="97"/>
      <c r="AW9" s="182"/>
      <c r="AX9" s="13">
        <f>AW9*1.12*1.18</f>
        <v>0</v>
      </c>
      <c r="AY9" s="99"/>
      <c r="AZ9" s="100"/>
      <c r="BA9" s="100">
        <f>AZ9*0.18</f>
        <v>0</v>
      </c>
      <c r="BB9" s="100">
        <f>SUM(AG9:BA9)-AV9-AW9</f>
        <v>27134.370718369995</v>
      </c>
      <c r="BC9" s="101"/>
      <c r="BD9" s="26">
        <f>BB9-(AF9-BC9)</f>
        <v>27134.370718369995</v>
      </c>
      <c r="BE9" s="102">
        <f>AC9-BB9</f>
        <v>-8138.476381969995</v>
      </c>
      <c r="BF9" s="103">
        <f>AB9-S9</f>
        <v>-30415.03</v>
      </c>
    </row>
    <row r="10" spans="1:58" ht="12.75">
      <c r="A10" s="11" t="s">
        <v>40</v>
      </c>
      <c r="B10" s="87">
        <v>5284.7</v>
      </c>
      <c r="C10" s="88">
        <f>B10*8.65</f>
        <v>45712.655</v>
      </c>
      <c r="D10" s="89">
        <f>C10*0.24088</f>
        <v>11011.2643364</v>
      </c>
      <c r="E10" s="65">
        <v>3414.62</v>
      </c>
      <c r="F10" s="65">
        <v>891.48</v>
      </c>
      <c r="G10" s="65">
        <v>4609.73</v>
      </c>
      <c r="H10" s="65">
        <v>1203.53</v>
      </c>
      <c r="I10" s="65">
        <v>11097.42</v>
      </c>
      <c r="J10" s="65">
        <v>2897.32</v>
      </c>
      <c r="K10" s="65">
        <v>7682.84</v>
      </c>
      <c r="L10" s="65">
        <v>2005.83</v>
      </c>
      <c r="M10" s="65">
        <v>2731.65</v>
      </c>
      <c r="N10" s="65">
        <v>713.2</v>
      </c>
      <c r="O10" s="65">
        <v>0</v>
      </c>
      <c r="P10" s="65">
        <v>0</v>
      </c>
      <c r="Q10" s="65">
        <v>0</v>
      </c>
      <c r="R10" s="65">
        <v>0</v>
      </c>
      <c r="S10" s="66">
        <f>E10+G10+I10+K10+M10+O10+Q10</f>
        <v>29536.260000000002</v>
      </c>
      <c r="T10" s="90">
        <f>P10+N10+L10+J10+H10+F10+R10</f>
        <v>7711.360000000001</v>
      </c>
      <c r="U10" s="66">
        <v>2345.8</v>
      </c>
      <c r="V10" s="66">
        <v>3169.53</v>
      </c>
      <c r="W10" s="66">
        <v>7630.25</v>
      </c>
      <c r="X10" s="66">
        <v>5282.41</v>
      </c>
      <c r="Y10" s="66">
        <v>1878.23</v>
      </c>
      <c r="Z10" s="91">
        <v>0</v>
      </c>
      <c r="AA10" s="91">
        <v>0</v>
      </c>
      <c r="AB10" s="105">
        <f>SUM(U10:AA10)</f>
        <v>20306.219999999998</v>
      </c>
      <c r="AC10" s="106">
        <f>D10+T10+AB10</f>
        <v>39028.8443364</v>
      </c>
      <c r="AD10" s="94">
        <f>P10+Z10</f>
        <v>0</v>
      </c>
      <c r="AE10" s="94">
        <f>R10+AA10</f>
        <v>0</v>
      </c>
      <c r="AF10" s="94"/>
      <c r="AG10" s="13">
        <f>0.6*B10</f>
        <v>3170.8199999999997</v>
      </c>
      <c r="AH10" s="13">
        <f>B10*0.201+1</f>
        <v>1063.2247</v>
      </c>
      <c r="AI10" s="13">
        <f>0.8518*B10-0.01</f>
        <v>4501.49746</v>
      </c>
      <c r="AJ10" s="13">
        <f>AI10*0.18</f>
        <v>810.2695427999998</v>
      </c>
      <c r="AK10" s="13">
        <f>1.04*B10*0.9531</f>
        <v>5238.321472799999</v>
      </c>
      <c r="AL10" s="13">
        <f>AK10*0.18</f>
        <v>942.8978651039998</v>
      </c>
      <c r="AM10" s="13">
        <f>(1.91)*B10*0.9531</f>
        <v>9620.3788587</v>
      </c>
      <c r="AN10" s="13">
        <f>AM10*0.18</f>
        <v>1731.668194566</v>
      </c>
      <c r="AO10" s="13"/>
      <c r="AP10" s="13">
        <f>AO10*0.18</f>
        <v>0</v>
      </c>
      <c r="AQ10" s="95"/>
      <c r="AR10" s="95"/>
      <c r="AS10" s="96">
        <v>2920</v>
      </c>
      <c r="AT10" s="96"/>
      <c r="AU10" s="96">
        <f>(AS10+AT10)*0.18</f>
        <v>525.6</v>
      </c>
      <c r="AV10" s="97"/>
      <c r="AW10" s="182"/>
      <c r="AX10" s="13">
        <f>AW10*1.12*1.18</f>
        <v>0</v>
      </c>
      <c r="AY10" s="99"/>
      <c r="AZ10" s="100"/>
      <c r="BA10" s="100">
        <f>AZ10*0.18</f>
        <v>0</v>
      </c>
      <c r="BB10" s="100">
        <f>SUM(AG10:BA10)-AV10-AW10</f>
        <v>30524.678093969997</v>
      </c>
      <c r="BC10" s="101"/>
      <c r="BD10" s="26">
        <f>BB10-(AF10-BC10)</f>
        <v>30524.678093969997</v>
      </c>
      <c r="BE10" s="102">
        <f>AC10-BB10</f>
        <v>8504.166242430001</v>
      </c>
      <c r="BF10" s="102">
        <f>AB10-S10</f>
        <v>-9230.040000000005</v>
      </c>
    </row>
    <row r="11" spans="1:58" ht="13.5" thickBot="1">
      <c r="A11" s="28" t="s">
        <v>41</v>
      </c>
      <c r="B11" s="87">
        <v>5284.7</v>
      </c>
      <c r="C11" s="88">
        <f>B11*8.65</f>
        <v>45712.655</v>
      </c>
      <c r="D11" s="89">
        <f>C11*0.24035</f>
        <v>10987.03662925</v>
      </c>
      <c r="E11" s="65">
        <v>3357.55</v>
      </c>
      <c r="F11" s="65">
        <v>894.64</v>
      </c>
      <c r="G11" s="65">
        <v>4532.76</v>
      </c>
      <c r="H11" s="65">
        <v>1207.77</v>
      </c>
      <c r="I11" s="65">
        <v>10912.02</v>
      </c>
      <c r="J11" s="65">
        <v>2907.57</v>
      </c>
      <c r="K11" s="65">
        <v>7554.55</v>
      </c>
      <c r="L11" s="65">
        <v>2012.94</v>
      </c>
      <c r="M11" s="65">
        <v>2686.1</v>
      </c>
      <c r="N11" s="65">
        <v>715.72</v>
      </c>
      <c r="O11" s="65">
        <v>0</v>
      </c>
      <c r="P11" s="183">
        <v>0</v>
      </c>
      <c r="Q11" s="65">
        <v>0</v>
      </c>
      <c r="R11" s="183">
        <v>0</v>
      </c>
      <c r="S11" s="66">
        <f>E11+G11+I11+K11+M11+O11+Q11</f>
        <v>29042.98</v>
      </c>
      <c r="T11" s="90">
        <f>P11+N11+L11+J11+H11+F11+R11</f>
        <v>7738.64</v>
      </c>
      <c r="U11" s="66">
        <v>3777.3</v>
      </c>
      <c r="V11" s="66">
        <v>5096.63</v>
      </c>
      <c r="W11" s="66">
        <v>12355.17</v>
      </c>
      <c r="X11" s="66">
        <v>8494.4</v>
      </c>
      <c r="Y11" s="66">
        <v>3020.18</v>
      </c>
      <c r="Z11" s="91">
        <v>0</v>
      </c>
      <c r="AA11" s="91">
        <v>0</v>
      </c>
      <c r="AB11" s="105">
        <f>SUM(U11:AA11)</f>
        <v>32743.68</v>
      </c>
      <c r="AC11" s="106">
        <f>D11+T11+AB11</f>
        <v>51469.35662925</v>
      </c>
      <c r="AD11" s="94">
        <f>P11+Z11</f>
        <v>0</v>
      </c>
      <c r="AE11" s="94">
        <f>R11+AA11</f>
        <v>0</v>
      </c>
      <c r="AF11" s="94"/>
      <c r="AG11" s="13">
        <f>0.6*B11</f>
        <v>3170.8199999999997</v>
      </c>
      <c r="AH11" s="13">
        <f>B11*0.2*1.02524-0.01</f>
        <v>1083.6071656</v>
      </c>
      <c r="AI11" s="13">
        <f>0.84932*B11</f>
        <v>4488.401403999999</v>
      </c>
      <c r="AJ11" s="13">
        <f>AI11*0.18</f>
        <v>807.9122527199999</v>
      </c>
      <c r="AK11" s="13">
        <f>1.04*B11*0.95033</f>
        <v>5223.097309039999</v>
      </c>
      <c r="AL11" s="13">
        <f>AK11*0.18</f>
        <v>940.1575156271998</v>
      </c>
      <c r="AM11" s="13">
        <f>(1.91)*B11*0.95033-0.1</f>
        <v>9592.31909641</v>
      </c>
      <c r="AN11" s="13">
        <f>AM11*0.18</f>
        <v>1726.6174373538</v>
      </c>
      <c r="AO11" s="13"/>
      <c r="AP11" s="13">
        <f>AO11*0.18</f>
        <v>0</v>
      </c>
      <c r="AQ11" s="95"/>
      <c r="AR11" s="95"/>
      <c r="AS11" s="96">
        <v>26411</v>
      </c>
      <c r="AT11" s="96"/>
      <c r="AU11" s="96">
        <f>(AS11+AT11)*0.18</f>
        <v>4753.98</v>
      </c>
      <c r="AV11" s="97"/>
      <c r="AW11" s="182"/>
      <c r="AX11" s="13">
        <f>AW11*1.12*1.18</f>
        <v>0</v>
      </c>
      <c r="AY11" s="99"/>
      <c r="AZ11" s="100"/>
      <c r="BA11" s="100">
        <f>AZ11*0.18</f>
        <v>0</v>
      </c>
      <c r="BB11" s="100">
        <f>SUM(AG11:BA11)-AV11-AW11</f>
        <v>58197.912180750995</v>
      </c>
      <c r="BC11" s="101"/>
      <c r="BD11" s="26">
        <f>BB11-(AF11-BC11)</f>
        <v>58197.912180750995</v>
      </c>
      <c r="BE11" s="102">
        <f>AC11-BB11</f>
        <v>-6728.555551500991</v>
      </c>
      <c r="BF11" s="102">
        <f>AB11-S11</f>
        <v>3700.7000000000007</v>
      </c>
    </row>
    <row r="12" spans="1:58" s="16" customFormat="1" ht="15" customHeight="1" thickBot="1">
      <c r="A12" s="29" t="s">
        <v>3</v>
      </c>
      <c r="B12" s="107"/>
      <c r="C12" s="107">
        <f>SUM(C9:C11)</f>
        <v>137137.965</v>
      </c>
      <c r="D12" s="107">
        <f aca="true" t="shared" si="0" ref="D12:BD12">SUM(D9:D11)</f>
        <v>33009.56530205</v>
      </c>
      <c r="E12" s="107">
        <f t="shared" si="0"/>
        <v>10288.33</v>
      </c>
      <c r="F12" s="107">
        <f t="shared" si="0"/>
        <v>2709.19</v>
      </c>
      <c r="G12" s="107">
        <f t="shared" si="0"/>
        <v>13889.39</v>
      </c>
      <c r="H12" s="107">
        <f t="shared" si="0"/>
        <v>3657.4500000000003</v>
      </c>
      <c r="I12" s="107">
        <f t="shared" si="0"/>
        <v>33437.04</v>
      </c>
      <c r="J12" s="107">
        <f t="shared" si="0"/>
        <v>8804.91</v>
      </c>
      <c r="K12" s="107">
        <f t="shared" si="0"/>
        <v>23148.829999999998</v>
      </c>
      <c r="L12" s="107">
        <f t="shared" si="0"/>
        <v>6095.71</v>
      </c>
      <c r="M12" s="107">
        <f t="shared" si="0"/>
        <v>8230.68</v>
      </c>
      <c r="N12" s="107">
        <f t="shared" si="0"/>
        <v>2167.37</v>
      </c>
      <c r="O12" s="107">
        <f t="shared" si="0"/>
        <v>0</v>
      </c>
      <c r="P12" s="107">
        <f t="shared" si="0"/>
        <v>0</v>
      </c>
      <c r="Q12" s="107">
        <f t="shared" si="0"/>
        <v>0</v>
      </c>
      <c r="R12" s="107">
        <f t="shared" si="0"/>
        <v>0</v>
      </c>
      <c r="S12" s="107">
        <f t="shared" si="0"/>
        <v>88994.27</v>
      </c>
      <c r="T12" s="107">
        <f t="shared" si="0"/>
        <v>23434.63</v>
      </c>
      <c r="U12" s="107">
        <f t="shared" si="0"/>
        <v>6123.1</v>
      </c>
      <c r="V12" s="107">
        <f t="shared" si="0"/>
        <v>8266.16</v>
      </c>
      <c r="W12" s="107">
        <f t="shared" si="0"/>
        <v>19985.42</v>
      </c>
      <c r="X12" s="107">
        <f t="shared" si="0"/>
        <v>13776.81</v>
      </c>
      <c r="Y12" s="107">
        <f t="shared" si="0"/>
        <v>4898.41</v>
      </c>
      <c r="Z12" s="107">
        <f t="shared" si="0"/>
        <v>0</v>
      </c>
      <c r="AA12" s="107">
        <f t="shared" si="0"/>
        <v>0</v>
      </c>
      <c r="AB12" s="107">
        <f t="shared" si="0"/>
        <v>53049.899999999994</v>
      </c>
      <c r="AC12" s="107">
        <f t="shared" si="0"/>
        <v>109494.09530205</v>
      </c>
      <c r="AD12" s="107">
        <f t="shared" si="0"/>
        <v>0</v>
      </c>
      <c r="AE12" s="107">
        <f t="shared" si="0"/>
        <v>0</v>
      </c>
      <c r="AF12" s="107">
        <f t="shared" si="0"/>
        <v>0</v>
      </c>
      <c r="AG12" s="107">
        <f t="shared" si="0"/>
        <v>9512.46</v>
      </c>
      <c r="AH12" s="107">
        <f t="shared" si="0"/>
        <v>3265.34919</v>
      </c>
      <c r="AI12" s="107">
        <f t="shared" si="0"/>
        <v>13491.396323999998</v>
      </c>
      <c r="AJ12" s="107">
        <f t="shared" si="0"/>
        <v>2428.4513383199996</v>
      </c>
      <c r="AK12" s="107">
        <f t="shared" si="0"/>
        <v>15699.740254639997</v>
      </c>
      <c r="AL12" s="107">
        <f t="shared" si="0"/>
        <v>2825.9532458351996</v>
      </c>
      <c r="AM12" s="107">
        <f t="shared" si="0"/>
        <v>28833.07681381</v>
      </c>
      <c r="AN12" s="107">
        <f t="shared" si="0"/>
        <v>5189.9538264858</v>
      </c>
      <c r="AO12" s="107">
        <f t="shared" si="0"/>
        <v>0</v>
      </c>
      <c r="AP12" s="107">
        <f t="shared" si="0"/>
        <v>0</v>
      </c>
      <c r="AQ12" s="108">
        <f t="shared" si="0"/>
        <v>0</v>
      </c>
      <c r="AR12" s="108">
        <f t="shared" si="0"/>
        <v>0</v>
      </c>
      <c r="AS12" s="109">
        <f t="shared" si="0"/>
        <v>29331</v>
      </c>
      <c r="AT12" s="109">
        <f t="shared" si="0"/>
        <v>0</v>
      </c>
      <c r="AU12" s="109">
        <f t="shared" si="0"/>
        <v>5279.58</v>
      </c>
      <c r="AV12" s="107">
        <f t="shared" si="0"/>
        <v>0</v>
      </c>
      <c r="AW12" s="107">
        <f t="shared" si="0"/>
        <v>0</v>
      </c>
      <c r="AX12" s="107">
        <f t="shared" si="0"/>
        <v>0</v>
      </c>
      <c r="AY12" s="107">
        <f t="shared" si="0"/>
        <v>0</v>
      </c>
      <c r="AZ12" s="107">
        <f t="shared" si="0"/>
        <v>0</v>
      </c>
      <c r="BA12" s="107">
        <f t="shared" si="0"/>
        <v>0</v>
      </c>
      <c r="BB12" s="107">
        <f t="shared" si="0"/>
        <v>115856.960993091</v>
      </c>
      <c r="BC12" s="107">
        <f t="shared" si="0"/>
        <v>0</v>
      </c>
      <c r="BD12" s="107">
        <f t="shared" si="0"/>
        <v>115856.960993091</v>
      </c>
      <c r="BE12" s="107">
        <f>SUM(BE9:BE11)</f>
        <v>-6362.8656910409845</v>
      </c>
      <c r="BF12" s="110">
        <f>SUM(BF9:BF11)</f>
        <v>-35944.37000000001</v>
      </c>
    </row>
    <row r="13" spans="1:58" ht="15" customHeight="1">
      <c r="A13" s="7" t="s">
        <v>42</v>
      </c>
      <c r="B13" s="111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5"/>
      <c r="Q13" s="116"/>
      <c r="R13" s="116"/>
      <c r="S13" s="116"/>
      <c r="T13" s="116"/>
      <c r="U13" s="117"/>
      <c r="V13" s="117"/>
      <c r="W13" s="117"/>
      <c r="X13" s="117"/>
      <c r="Y13" s="117"/>
      <c r="Z13" s="117"/>
      <c r="AA13" s="118"/>
      <c r="AB13" s="118"/>
      <c r="AC13" s="119"/>
      <c r="AD13" s="120"/>
      <c r="AE13" s="120"/>
      <c r="AF13" s="37"/>
      <c r="AG13" s="37"/>
      <c r="AH13" s="37"/>
      <c r="AI13" s="37"/>
      <c r="AJ13" s="37"/>
      <c r="AK13" s="37"/>
      <c r="AL13" s="37"/>
      <c r="AM13" s="37"/>
      <c r="AN13" s="121"/>
      <c r="AO13" s="121"/>
      <c r="AP13" s="121"/>
      <c r="AQ13" s="122"/>
      <c r="AR13" s="123"/>
      <c r="AS13" s="124"/>
      <c r="AT13" s="124"/>
      <c r="AU13" s="125"/>
      <c r="AV13" s="37"/>
      <c r="AW13" s="37"/>
      <c r="AX13" s="39"/>
      <c r="AY13" s="1"/>
      <c r="AZ13" s="1"/>
      <c r="BA13" s="1"/>
      <c r="BB13" s="1"/>
      <c r="BC13" s="1"/>
      <c r="BD13" s="1"/>
      <c r="BE13" s="1"/>
      <c r="BF13" s="84"/>
    </row>
    <row r="14" spans="1:58" ht="12.75">
      <c r="A14" s="11" t="s">
        <v>43</v>
      </c>
      <c r="B14" s="126">
        <v>5281.4</v>
      </c>
      <c r="C14" s="88">
        <f>B14*8.65</f>
        <v>45684.11</v>
      </c>
      <c r="D14" s="89">
        <f>C14*0.125</f>
        <v>5710.51375</v>
      </c>
      <c r="E14" s="65">
        <v>3434.97</v>
      </c>
      <c r="F14" s="65">
        <v>917.18</v>
      </c>
      <c r="G14" s="65">
        <v>4637.23</v>
      </c>
      <c r="H14" s="65">
        <v>1238.23</v>
      </c>
      <c r="I14" s="65">
        <v>11249.08</v>
      </c>
      <c r="J14" s="65">
        <v>2980.91</v>
      </c>
      <c r="K14" s="65">
        <v>7728.68</v>
      </c>
      <c r="L14" s="65">
        <v>2063.69</v>
      </c>
      <c r="M14" s="65">
        <v>2747.96</v>
      </c>
      <c r="N14" s="65">
        <v>733.75</v>
      </c>
      <c r="O14" s="65">
        <v>0</v>
      </c>
      <c r="P14" s="183">
        <v>0</v>
      </c>
      <c r="Q14" s="65">
        <v>0</v>
      </c>
      <c r="R14" s="183">
        <v>0</v>
      </c>
      <c r="S14" s="66">
        <f aca="true" t="shared" si="1" ref="S14:S25">E14+G14+I14+K14+M14+O14+Q14</f>
        <v>29797.92</v>
      </c>
      <c r="T14" s="90">
        <f aca="true" t="shared" si="2" ref="T14:T25">P14+N14+L14+J14+H14+F14+R14</f>
        <v>7933.76</v>
      </c>
      <c r="U14" s="66">
        <v>2760</v>
      </c>
      <c r="V14" s="66">
        <v>3726.12</v>
      </c>
      <c r="W14" s="66">
        <v>8970.25</v>
      </c>
      <c r="X14" s="66">
        <v>6210.05</v>
      </c>
      <c r="Y14" s="66">
        <v>2208.01</v>
      </c>
      <c r="Z14" s="91">
        <v>0</v>
      </c>
      <c r="AA14" s="91">
        <v>0</v>
      </c>
      <c r="AB14" s="127">
        <f aca="true" t="shared" si="3" ref="AB14:AB22">SUM(U14:AA14)</f>
        <v>23874.43</v>
      </c>
      <c r="AC14" s="106">
        <f aca="true" t="shared" si="4" ref="AC14:AC22">D14+T14+AB14</f>
        <v>37518.70375</v>
      </c>
      <c r="AD14" s="94">
        <f aca="true" t="shared" si="5" ref="AD14:AD25">P14+Z14</f>
        <v>0</v>
      </c>
      <c r="AE14" s="94">
        <f aca="true" t="shared" si="6" ref="AE14:AE25">R14+AA14</f>
        <v>0</v>
      </c>
      <c r="AF14" s="94"/>
      <c r="AG14" s="13">
        <f>0.6*B14*0.9</f>
        <v>2851.9559999999997</v>
      </c>
      <c r="AH14" s="13">
        <f>B14*0.2*0.891</f>
        <v>941.14548</v>
      </c>
      <c r="AI14" s="13">
        <f>0.85*B14*0.867-0.02</f>
        <v>3892.1077299999997</v>
      </c>
      <c r="AJ14" s="13">
        <f aca="true" t="shared" si="7" ref="AJ14:AJ25">AI14*0.18</f>
        <v>700.5793914</v>
      </c>
      <c r="AK14" s="13">
        <f>0.83*B14*0.8686</f>
        <v>3807.5619532</v>
      </c>
      <c r="AL14" s="13">
        <f aca="true" t="shared" si="8" ref="AL14:AL25">AK14*0.18</f>
        <v>685.361151576</v>
      </c>
      <c r="AM14" s="13">
        <f>1.91*B14*0.8686</f>
        <v>8761.9799164</v>
      </c>
      <c r="AN14" s="13">
        <f aca="true" t="shared" si="9" ref="AN14:AN25">AM14*0.18</f>
        <v>1577.1563849519998</v>
      </c>
      <c r="AO14" s="13"/>
      <c r="AP14" s="13">
        <f aca="true" t="shared" si="10" ref="AP14:AR25">AO14*0.18</f>
        <v>0</v>
      </c>
      <c r="AQ14" s="95"/>
      <c r="AR14" s="95">
        <f>AQ14*0.18</f>
        <v>0</v>
      </c>
      <c r="AS14" s="96">
        <v>11104</v>
      </c>
      <c r="AT14" s="96"/>
      <c r="AU14" s="96">
        <f>(AS14+AT14)*0.18+0.01</f>
        <v>1998.73</v>
      </c>
      <c r="AV14" s="97">
        <v>508</v>
      </c>
      <c r="AW14" s="184">
        <v>3.5</v>
      </c>
      <c r="AX14" s="13"/>
      <c r="AY14" s="99"/>
      <c r="AZ14" s="100"/>
      <c r="BA14" s="100">
        <f>AZ14*0.18</f>
        <v>0</v>
      </c>
      <c r="BB14" s="100">
        <f>SUM(AG14:AU14)</f>
        <v>36320.578007528</v>
      </c>
      <c r="BC14" s="101"/>
      <c r="BD14" s="128">
        <f>BB14-(AF14-BC14)</f>
        <v>36320.578007528</v>
      </c>
      <c r="BE14" s="102">
        <f>(AC14-BB14)+(AF14-BC14)</f>
        <v>1198.1257424720025</v>
      </c>
      <c r="BF14" s="102">
        <f aca="true" t="shared" si="11" ref="BF14:BF19">AB14-S14</f>
        <v>-5923.489999999998</v>
      </c>
    </row>
    <row r="15" spans="1:58" ht="12.75">
      <c r="A15" s="11" t="s">
        <v>44</v>
      </c>
      <c r="B15" s="126">
        <v>5281.4</v>
      </c>
      <c r="C15" s="88">
        <f aca="true" t="shared" si="12" ref="C15:C25">B15*8.65</f>
        <v>45684.11</v>
      </c>
      <c r="D15" s="89">
        <f>C15*0.125</f>
        <v>5710.51375</v>
      </c>
      <c r="E15" s="65">
        <v>3397.52</v>
      </c>
      <c r="F15" s="65">
        <v>908.68</v>
      </c>
      <c r="G15" s="65">
        <v>4586.68</v>
      </c>
      <c r="H15" s="65">
        <v>1226.74</v>
      </c>
      <c r="I15" s="65">
        <v>11041.89</v>
      </c>
      <c r="J15" s="65">
        <v>2953.26</v>
      </c>
      <c r="K15" s="65">
        <v>7644.42</v>
      </c>
      <c r="L15" s="65">
        <v>2044.55</v>
      </c>
      <c r="M15" s="65">
        <v>2718.01</v>
      </c>
      <c r="N15" s="65">
        <v>726.95</v>
      </c>
      <c r="O15" s="65">
        <v>0</v>
      </c>
      <c r="P15" s="183">
        <v>0</v>
      </c>
      <c r="Q15" s="65">
        <v>0</v>
      </c>
      <c r="R15" s="183">
        <v>0</v>
      </c>
      <c r="S15" s="66">
        <f t="shared" si="1"/>
        <v>29388.520000000004</v>
      </c>
      <c r="T15" s="90">
        <f t="shared" si="2"/>
        <v>7860.18</v>
      </c>
      <c r="U15" s="66">
        <v>3146.95</v>
      </c>
      <c r="V15" s="66">
        <v>4248.52</v>
      </c>
      <c r="W15" s="66">
        <v>10227.55</v>
      </c>
      <c r="X15" s="66">
        <v>7080.78</v>
      </c>
      <c r="Y15" s="66">
        <v>2517.62</v>
      </c>
      <c r="Z15" s="91">
        <v>0</v>
      </c>
      <c r="AA15" s="91">
        <v>0</v>
      </c>
      <c r="AB15" s="105">
        <f t="shared" si="3"/>
        <v>27221.42</v>
      </c>
      <c r="AC15" s="106">
        <f t="shared" si="4"/>
        <v>40792.11375</v>
      </c>
      <c r="AD15" s="94">
        <f t="shared" si="5"/>
        <v>0</v>
      </c>
      <c r="AE15" s="94">
        <f t="shared" si="6"/>
        <v>0</v>
      </c>
      <c r="AF15" s="94"/>
      <c r="AG15" s="13">
        <f>0.6*B15*0.9</f>
        <v>2851.9559999999997</v>
      </c>
      <c r="AH15" s="13">
        <f>B15*0.2*0.9153</f>
        <v>966.813084</v>
      </c>
      <c r="AI15" s="13">
        <f>0.85*B15*0.866</f>
        <v>3887.6385399999995</v>
      </c>
      <c r="AJ15" s="13">
        <f t="shared" si="7"/>
        <v>699.7749371999998</v>
      </c>
      <c r="AK15" s="13">
        <f>0.83*B15*0.8684</f>
        <v>3806.6852407999995</v>
      </c>
      <c r="AL15" s="13">
        <f t="shared" si="8"/>
        <v>685.2033433439999</v>
      </c>
      <c r="AM15" s="13">
        <f>(1.91)*B15*0.8684</f>
        <v>8759.962421599997</v>
      </c>
      <c r="AN15" s="13">
        <f t="shared" si="9"/>
        <v>1576.7932358879996</v>
      </c>
      <c r="AO15" s="13"/>
      <c r="AP15" s="13">
        <f t="shared" si="10"/>
        <v>0</v>
      </c>
      <c r="AQ15" s="95"/>
      <c r="AR15" s="95">
        <f>AQ15*0.18</f>
        <v>0</v>
      </c>
      <c r="AS15" s="96">
        <v>1805</v>
      </c>
      <c r="AT15" s="96">
        <f>756*8</f>
        <v>6048</v>
      </c>
      <c r="AU15" s="96">
        <f aca="true" t="shared" si="13" ref="AU15:AU25">(AS15+AT15)*0.18</f>
        <v>1413.54</v>
      </c>
      <c r="AV15" s="97">
        <v>407</v>
      </c>
      <c r="AW15" s="184">
        <v>3.5</v>
      </c>
      <c r="AX15" s="13"/>
      <c r="AY15" s="99"/>
      <c r="AZ15" s="100"/>
      <c r="BA15" s="100">
        <f>AZ15*0.18</f>
        <v>0</v>
      </c>
      <c r="BB15" s="100">
        <f>SUM(AG15:AU15)+AY15</f>
        <v>32501.366802831995</v>
      </c>
      <c r="BC15" s="71"/>
      <c r="BD15" s="128">
        <f>BB15-(AF15-BC15)</f>
        <v>32501.366802831995</v>
      </c>
      <c r="BE15" s="102">
        <f>(AC15-BB15)+(AF15-BC15)</f>
        <v>8290.746947168001</v>
      </c>
      <c r="BF15" s="102">
        <f t="shared" si="11"/>
        <v>-2167.100000000006</v>
      </c>
    </row>
    <row r="16" spans="1:58" ht="13.5" thickBot="1">
      <c r="A16" s="129" t="s">
        <v>45</v>
      </c>
      <c r="B16" s="185">
        <v>5281.4</v>
      </c>
      <c r="C16" s="88">
        <f t="shared" si="12"/>
        <v>45684.11</v>
      </c>
      <c r="D16" s="89">
        <f>C16*0.125</f>
        <v>5710.51375</v>
      </c>
      <c r="E16" s="64">
        <v>3463.69</v>
      </c>
      <c r="F16" s="64">
        <v>915.89</v>
      </c>
      <c r="G16" s="64">
        <v>4746.03</v>
      </c>
      <c r="H16" s="64">
        <v>1236.48</v>
      </c>
      <c r="I16" s="64">
        <v>11256.97</v>
      </c>
      <c r="J16" s="64">
        <v>2976.71</v>
      </c>
      <c r="K16" s="64">
        <v>7793.31</v>
      </c>
      <c r="L16" s="64">
        <v>2060.77</v>
      </c>
      <c r="M16" s="64">
        <v>2770.94</v>
      </c>
      <c r="N16" s="64">
        <v>732.71</v>
      </c>
      <c r="O16" s="64">
        <v>0</v>
      </c>
      <c r="P16" s="186">
        <v>0</v>
      </c>
      <c r="Q16" s="64">
        <v>0</v>
      </c>
      <c r="R16" s="186">
        <v>0</v>
      </c>
      <c r="S16" s="66">
        <f t="shared" si="1"/>
        <v>30030.94</v>
      </c>
      <c r="T16" s="90">
        <f t="shared" si="2"/>
        <v>7922.56</v>
      </c>
      <c r="U16" s="67">
        <v>3260.54</v>
      </c>
      <c r="V16" s="67">
        <v>4401.67</v>
      </c>
      <c r="W16" s="67">
        <v>10596.47</v>
      </c>
      <c r="X16" s="67">
        <v>7336.14</v>
      </c>
      <c r="Y16" s="67">
        <v>2608.38</v>
      </c>
      <c r="Z16" s="130">
        <v>0</v>
      </c>
      <c r="AA16" s="130">
        <v>0</v>
      </c>
      <c r="AB16" s="127">
        <f t="shared" si="3"/>
        <v>28203.2</v>
      </c>
      <c r="AC16" s="106">
        <f t="shared" si="4"/>
        <v>41836.27375</v>
      </c>
      <c r="AD16" s="94">
        <f t="shared" si="5"/>
        <v>0</v>
      </c>
      <c r="AE16" s="94">
        <f t="shared" si="6"/>
        <v>0</v>
      </c>
      <c r="AF16" s="94"/>
      <c r="AG16" s="13">
        <f>0.6*B16*0.9</f>
        <v>2851.9559999999997</v>
      </c>
      <c r="AH16" s="72">
        <f>B16*0.2*0.9082-0.01</f>
        <v>959.303496</v>
      </c>
      <c r="AI16" s="13">
        <f>0.85*B16*0.8675</f>
        <v>3894.372325</v>
      </c>
      <c r="AJ16" s="13">
        <f t="shared" si="7"/>
        <v>700.9870185</v>
      </c>
      <c r="AK16" s="72">
        <f>0.83*B16*0.838</f>
        <v>3673.424956</v>
      </c>
      <c r="AL16" s="13">
        <f t="shared" si="8"/>
        <v>661.21649208</v>
      </c>
      <c r="AM16" s="13">
        <f>1.91*B16*0.838</f>
        <v>8453.303211999999</v>
      </c>
      <c r="AN16" s="13">
        <f t="shared" si="9"/>
        <v>1521.5945781599999</v>
      </c>
      <c r="AO16" s="13"/>
      <c r="AP16" s="13">
        <f t="shared" si="10"/>
        <v>0</v>
      </c>
      <c r="AQ16" s="95"/>
      <c r="AR16" s="95">
        <f>AQ16*0.18</f>
        <v>0</v>
      </c>
      <c r="AS16" s="96">
        <v>2484</v>
      </c>
      <c r="AT16" s="96"/>
      <c r="AU16" s="96">
        <f t="shared" si="13"/>
        <v>447.12</v>
      </c>
      <c r="AV16" s="97">
        <v>383</v>
      </c>
      <c r="AW16" s="184">
        <v>3.5</v>
      </c>
      <c r="AX16" s="13"/>
      <c r="AY16" s="99"/>
      <c r="AZ16" s="100"/>
      <c r="BA16" s="100">
        <f>AZ16*0.18</f>
        <v>0</v>
      </c>
      <c r="BB16" s="100">
        <f>SUM(AG16:AU16)</f>
        <v>25647.278077739997</v>
      </c>
      <c r="BC16" s="71"/>
      <c r="BD16" s="131">
        <f>BB16-(AF16-BC16)</f>
        <v>25647.278077739997</v>
      </c>
      <c r="BE16" s="132">
        <f>(AC16-BB16)+(AF16-BC16)</f>
        <v>16188.995672260004</v>
      </c>
      <c r="BF16" s="132">
        <f t="shared" si="11"/>
        <v>-1827.739999999998</v>
      </c>
    </row>
    <row r="17" spans="1:58" ht="13.5" thickBot="1">
      <c r="A17" s="133" t="s">
        <v>46</v>
      </c>
      <c r="B17" s="187">
        <v>5281.4</v>
      </c>
      <c r="C17" s="88">
        <f t="shared" si="12"/>
        <v>45684.11</v>
      </c>
      <c r="D17" s="89">
        <f>C17*0.125</f>
        <v>5710.51375</v>
      </c>
      <c r="E17" s="64">
        <v>3565.64</v>
      </c>
      <c r="F17" s="64">
        <v>942.14</v>
      </c>
      <c r="G17" s="64">
        <v>4813.65</v>
      </c>
      <c r="H17" s="64">
        <v>1271.92</v>
      </c>
      <c r="I17" s="64">
        <v>11588.32</v>
      </c>
      <c r="J17" s="64">
        <v>3062.02</v>
      </c>
      <c r="K17" s="64">
        <v>8022.73</v>
      </c>
      <c r="L17" s="64">
        <v>2119.84</v>
      </c>
      <c r="M17" s="64">
        <v>2852.53</v>
      </c>
      <c r="N17" s="64">
        <v>753.72</v>
      </c>
      <c r="O17" s="64">
        <v>0</v>
      </c>
      <c r="P17" s="186">
        <v>0</v>
      </c>
      <c r="Q17" s="64">
        <v>0</v>
      </c>
      <c r="R17" s="186">
        <v>0</v>
      </c>
      <c r="S17" s="66">
        <f t="shared" si="1"/>
        <v>30842.87</v>
      </c>
      <c r="T17" s="90">
        <f t="shared" si="2"/>
        <v>8149.64</v>
      </c>
      <c r="U17" s="66">
        <v>3866.11</v>
      </c>
      <c r="V17" s="66">
        <v>5219.22</v>
      </c>
      <c r="W17" s="66">
        <v>12564.78</v>
      </c>
      <c r="X17" s="66">
        <v>8698.76</v>
      </c>
      <c r="Y17" s="66">
        <v>3092.88</v>
      </c>
      <c r="Z17" s="66">
        <v>0</v>
      </c>
      <c r="AA17" s="66">
        <v>0</v>
      </c>
      <c r="AB17" s="127">
        <f t="shared" si="3"/>
        <v>33441.75</v>
      </c>
      <c r="AC17" s="106">
        <f t="shared" si="4"/>
        <v>47301.90375</v>
      </c>
      <c r="AD17" s="94">
        <f t="shared" si="5"/>
        <v>0</v>
      </c>
      <c r="AE17" s="94">
        <f t="shared" si="6"/>
        <v>0</v>
      </c>
      <c r="AF17" s="94"/>
      <c r="AG17" s="13">
        <f>0.6*B17*0.9</f>
        <v>2851.9559999999997</v>
      </c>
      <c r="AH17" s="72">
        <f>B17*0.2*0.9234</f>
        <v>975.3689519999999</v>
      </c>
      <c r="AI17" s="13">
        <f>0.85*B17*0.8934-0.01</f>
        <v>4010.6323459999994</v>
      </c>
      <c r="AJ17" s="13">
        <f t="shared" si="7"/>
        <v>721.9138222799999</v>
      </c>
      <c r="AK17" s="13">
        <f>0.83*B17*0.8498</f>
        <v>3725.1509876</v>
      </c>
      <c r="AL17" s="13">
        <f t="shared" si="8"/>
        <v>670.527177768</v>
      </c>
      <c r="AM17" s="13">
        <f>(1.91)*B17*0.8498-0.01</f>
        <v>8572.325405199997</v>
      </c>
      <c r="AN17" s="13">
        <f t="shared" si="9"/>
        <v>1543.0185729359996</v>
      </c>
      <c r="AO17" s="13"/>
      <c r="AP17" s="13">
        <f t="shared" si="10"/>
        <v>0</v>
      </c>
      <c r="AQ17" s="95"/>
      <c r="AR17" s="95">
        <f t="shared" si="10"/>
        <v>0</v>
      </c>
      <c r="AS17" s="96">
        <v>2808.18</v>
      </c>
      <c r="AT17" s="96"/>
      <c r="AU17" s="96">
        <f t="shared" si="13"/>
        <v>505.47239999999994</v>
      </c>
      <c r="AV17" s="97">
        <v>307</v>
      </c>
      <c r="AW17" s="184">
        <v>3.5</v>
      </c>
      <c r="AX17" s="13">
        <v>7424.09</v>
      </c>
      <c r="AY17" s="99"/>
      <c r="AZ17" s="100"/>
      <c r="BA17" s="100">
        <f aca="true" t="shared" si="14" ref="BA17:BA25">AZ17*0.18</f>
        <v>0</v>
      </c>
      <c r="BB17" s="100">
        <f aca="true" t="shared" si="15" ref="BB17:BB22">SUM(AG17:BA17)-AV17-AW17</f>
        <v>33808.63566378399</v>
      </c>
      <c r="BC17" s="71"/>
      <c r="BD17" s="134">
        <f>(AC17-BA17)+(AF17-BB17)</f>
        <v>13493.268086216005</v>
      </c>
      <c r="BE17" s="132">
        <f>(AC17-BB17)+(AF17-BC17)</f>
        <v>13493.268086216005</v>
      </c>
      <c r="BF17" s="132">
        <f t="shared" si="11"/>
        <v>2598.880000000001</v>
      </c>
    </row>
    <row r="18" spans="1:58" ht="13.5" thickBot="1">
      <c r="A18" s="11" t="s">
        <v>47</v>
      </c>
      <c r="B18" s="185">
        <v>5281.4</v>
      </c>
      <c r="C18" s="88">
        <f t="shared" si="12"/>
        <v>45684.11</v>
      </c>
      <c r="D18" s="135">
        <f aca="true" t="shared" si="16" ref="D18:D25">C18-E18-F18-G18-H18-I18-J18-K18-L18-M18-N18</f>
        <v>4111.810000000001</v>
      </c>
      <c r="E18" s="64">
        <v>3750.2</v>
      </c>
      <c r="F18" s="64">
        <v>1048.86</v>
      </c>
      <c r="G18" s="64">
        <v>5077.11</v>
      </c>
      <c r="H18" s="64">
        <v>1421.76</v>
      </c>
      <c r="I18" s="64">
        <v>12202.53</v>
      </c>
      <c r="J18" s="64">
        <v>3414.57</v>
      </c>
      <c r="K18" s="64">
        <v>8452.29</v>
      </c>
      <c r="L18" s="64">
        <v>2365.75</v>
      </c>
      <c r="M18" s="64">
        <v>3000.15</v>
      </c>
      <c r="N18" s="64">
        <v>839.08</v>
      </c>
      <c r="O18" s="64">
        <v>0</v>
      </c>
      <c r="P18" s="186">
        <v>0</v>
      </c>
      <c r="Q18" s="64">
        <v>0</v>
      </c>
      <c r="R18" s="186">
        <v>0</v>
      </c>
      <c r="S18" s="66">
        <f t="shared" si="1"/>
        <v>32482.280000000002</v>
      </c>
      <c r="T18" s="90">
        <f t="shared" si="2"/>
        <v>9090.02</v>
      </c>
      <c r="U18" s="67">
        <v>3667.96</v>
      </c>
      <c r="V18" s="67">
        <v>4952.01</v>
      </c>
      <c r="W18" s="67">
        <v>11921.18</v>
      </c>
      <c r="X18" s="67">
        <v>8253.13</v>
      </c>
      <c r="Y18" s="67">
        <v>2934.35</v>
      </c>
      <c r="Z18" s="130">
        <v>0</v>
      </c>
      <c r="AA18" s="130">
        <v>0</v>
      </c>
      <c r="AB18" s="127">
        <f t="shared" si="3"/>
        <v>31728.629999999997</v>
      </c>
      <c r="AC18" s="106">
        <f t="shared" si="4"/>
        <v>44930.46</v>
      </c>
      <c r="AD18" s="94">
        <f t="shared" si="5"/>
        <v>0</v>
      </c>
      <c r="AE18" s="94">
        <f t="shared" si="6"/>
        <v>0</v>
      </c>
      <c r="AF18" s="94"/>
      <c r="AG18" s="13">
        <f aca="true" t="shared" si="17" ref="AG18:AG25">0.6*B18</f>
        <v>3168.8399999999997</v>
      </c>
      <c r="AH18" s="13">
        <f>B18*0.2*1.01</f>
        <v>1066.8428</v>
      </c>
      <c r="AI18" s="13">
        <f>0.85*B18</f>
        <v>4489.19</v>
      </c>
      <c r="AJ18" s="13">
        <f t="shared" si="7"/>
        <v>808.0541999999999</v>
      </c>
      <c r="AK18" s="13">
        <f>0.83*B18</f>
        <v>4383.562</v>
      </c>
      <c r="AL18" s="13">
        <f t="shared" si="8"/>
        <v>789.04116</v>
      </c>
      <c r="AM18" s="13">
        <f>(1.91)*B18-0.01</f>
        <v>10087.463999999998</v>
      </c>
      <c r="AN18" s="13">
        <f t="shared" si="9"/>
        <v>1815.7435199999995</v>
      </c>
      <c r="AO18" s="13"/>
      <c r="AP18" s="13">
        <f t="shared" si="10"/>
        <v>0</v>
      </c>
      <c r="AQ18" s="95"/>
      <c r="AR18" s="95">
        <f t="shared" si="10"/>
        <v>0</v>
      </c>
      <c r="AS18" s="96">
        <v>0</v>
      </c>
      <c r="AT18" s="96">
        <v>800</v>
      </c>
      <c r="AU18" s="96">
        <f t="shared" si="13"/>
        <v>144</v>
      </c>
      <c r="AV18" s="97">
        <v>263</v>
      </c>
      <c r="AW18" s="184">
        <v>3.5</v>
      </c>
      <c r="AX18" s="13">
        <f aca="true" t="shared" si="18" ref="AX18:AX25">AV18*AW18*1.12*1.18</f>
        <v>1216.5328</v>
      </c>
      <c r="AY18" s="99"/>
      <c r="AZ18" s="100"/>
      <c r="BA18" s="100">
        <f t="shared" si="14"/>
        <v>0</v>
      </c>
      <c r="BB18" s="100">
        <f t="shared" si="15"/>
        <v>28769.27048</v>
      </c>
      <c r="BC18" s="71"/>
      <c r="BD18" s="26">
        <f aca="true" t="shared" si="19" ref="BD18:BD25">BB18-(AF18-BC18)</f>
        <v>28769.27048</v>
      </c>
      <c r="BE18" s="132">
        <f>(AC18-BB18)+(AF18-BC18)</f>
        <v>16161.18952</v>
      </c>
      <c r="BF18" s="132">
        <f t="shared" si="11"/>
        <v>-753.6500000000051</v>
      </c>
    </row>
    <row r="19" spans="1:58" ht="13.5" thickBot="1">
      <c r="A19" s="129" t="s">
        <v>48</v>
      </c>
      <c r="B19" s="185">
        <v>5281.4</v>
      </c>
      <c r="C19" s="88">
        <f t="shared" si="12"/>
        <v>45684.11</v>
      </c>
      <c r="D19" s="135">
        <f t="shared" si="16"/>
        <v>5293.4</v>
      </c>
      <c r="E19" s="64">
        <v>3613.26</v>
      </c>
      <c r="F19" s="64">
        <v>1048.85</v>
      </c>
      <c r="G19" s="64">
        <v>4895.25</v>
      </c>
      <c r="H19" s="64">
        <v>1421.75</v>
      </c>
      <c r="I19" s="64">
        <v>11757.45</v>
      </c>
      <c r="J19" s="64">
        <v>3414.57</v>
      </c>
      <c r="K19" s="64">
        <v>8144.14</v>
      </c>
      <c r="L19" s="64">
        <v>2365.76</v>
      </c>
      <c r="M19" s="64">
        <v>2890.6</v>
      </c>
      <c r="N19" s="64">
        <v>839.08</v>
      </c>
      <c r="O19" s="64">
        <v>0</v>
      </c>
      <c r="P19" s="186">
        <v>0</v>
      </c>
      <c r="Q19" s="64">
        <v>0</v>
      </c>
      <c r="R19" s="186">
        <v>0</v>
      </c>
      <c r="S19" s="66">
        <f t="shared" si="1"/>
        <v>31300.699999999997</v>
      </c>
      <c r="T19" s="90">
        <f t="shared" si="2"/>
        <v>9090.01</v>
      </c>
      <c r="U19" s="67">
        <v>3637.24</v>
      </c>
      <c r="V19" s="67">
        <v>4922.79</v>
      </c>
      <c r="W19" s="67">
        <v>11833.46</v>
      </c>
      <c r="X19" s="67">
        <v>8196.08</v>
      </c>
      <c r="Y19" s="67">
        <v>2909.75</v>
      </c>
      <c r="Z19" s="130">
        <v>0</v>
      </c>
      <c r="AA19" s="130">
        <v>0</v>
      </c>
      <c r="AB19" s="127">
        <f t="shared" si="3"/>
        <v>31499.32</v>
      </c>
      <c r="AC19" s="106">
        <f t="shared" si="4"/>
        <v>45882.729999999996</v>
      </c>
      <c r="AD19" s="94">
        <f t="shared" si="5"/>
        <v>0</v>
      </c>
      <c r="AE19" s="94">
        <f t="shared" si="6"/>
        <v>0</v>
      </c>
      <c r="AF19" s="94"/>
      <c r="AG19" s="13">
        <f t="shared" si="17"/>
        <v>3168.8399999999997</v>
      </c>
      <c r="AH19" s="13">
        <f>B19*0.2*1.01045-0.01</f>
        <v>1067.3081260000001</v>
      </c>
      <c r="AI19" s="13">
        <f>0.85*B19+0.01</f>
        <v>4489.2</v>
      </c>
      <c r="AJ19" s="13">
        <f t="shared" si="7"/>
        <v>808.0559999999999</v>
      </c>
      <c r="AK19" s="13">
        <f>0.83*B19</f>
        <v>4383.562</v>
      </c>
      <c r="AL19" s="13">
        <f t="shared" si="8"/>
        <v>789.04116</v>
      </c>
      <c r="AM19" s="13">
        <f>(1.91)*B19+0.01</f>
        <v>10087.483999999999</v>
      </c>
      <c r="AN19" s="13">
        <f t="shared" si="9"/>
        <v>1815.7471199999998</v>
      </c>
      <c r="AO19" s="13"/>
      <c r="AP19" s="13">
        <f t="shared" si="10"/>
        <v>0</v>
      </c>
      <c r="AQ19" s="95"/>
      <c r="AR19" s="95">
        <f t="shared" si="10"/>
        <v>0</v>
      </c>
      <c r="AS19" s="96">
        <v>34095.6</v>
      </c>
      <c r="AT19" s="96"/>
      <c r="AU19" s="96">
        <f t="shared" si="13"/>
        <v>6137.208</v>
      </c>
      <c r="AV19" s="97">
        <v>233</v>
      </c>
      <c r="AW19" s="184">
        <v>3.5</v>
      </c>
      <c r="AX19" s="13">
        <f t="shared" si="18"/>
        <v>1077.7648000000002</v>
      </c>
      <c r="AY19" s="99"/>
      <c r="AZ19" s="100"/>
      <c r="BA19" s="100">
        <f t="shared" si="14"/>
        <v>0</v>
      </c>
      <c r="BB19" s="100">
        <f t="shared" si="15"/>
        <v>67919.811206</v>
      </c>
      <c r="BC19" s="71"/>
      <c r="BD19" s="136">
        <f t="shared" si="19"/>
        <v>67919.811206</v>
      </c>
      <c r="BE19" s="137">
        <f aca="true" t="shared" si="20" ref="BE19:BE25">(AC19-BB19)+(AF19-BC19)</f>
        <v>-22037.081206000003</v>
      </c>
      <c r="BF19" s="132">
        <f t="shared" si="11"/>
        <v>198.62000000000262</v>
      </c>
    </row>
    <row r="20" spans="1:58" ht="12.75">
      <c r="A20" s="133" t="s">
        <v>49</v>
      </c>
      <c r="B20" s="126">
        <v>5281.4</v>
      </c>
      <c r="C20" s="88">
        <f t="shared" si="12"/>
        <v>45684.11</v>
      </c>
      <c r="D20" s="135">
        <f t="shared" si="16"/>
        <v>4568.840000000003</v>
      </c>
      <c r="E20" s="64">
        <v>3694.3</v>
      </c>
      <c r="F20" s="64">
        <v>1052.02</v>
      </c>
      <c r="G20" s="64">
        <v>5001.35</v>
      </c>
      <c r="H20" s="64">
        <v>1426.04</v>
      </c>
      <c r="I20" s="64">
        <v>12020.55</v>
      </c>
      <c r="J20" s="64">
        <v>3424.86</v>
      </c>
      <c r="K20" s="64">
        <v>8326.22</v>
      </c>
      <c r="L20" s="64">
        <v>2372.88</v>
      </c>
      <c r="M20" s="64">
        <v>2955.44</v>
      </c>
      <c r="N20" s="64">
        <v>841.61</v>
      </c>
      <c r="O20" s="64">
        <v>0</v>
      </c>
      <c r="P20" s="186">
        <v>0</v>
      </c>
      <c r="Q20" s="64">
        <v>0</v>
      </c>
      <c r="R20" s="186">
        <v>0</v>
      </c>
      <c r="S20" s="66">
        <f t="shared" si="1"/>
        <v>31997.859999999997</v>
      </c>
      <c r="T20" s="90">
        <f t="shared" si="2"/>
        <v>9117.41</v>
      </c>
      <c r="U20" s="67">
        <v>3595.72</v>
      </c>
      <c r="V20" s="67">
        <v>4867.35</v>
      </c>
      <c r="W20" s="67">
        <v>11699.16</v>
      </c>
      <c r="X20" s="67">
        <v>8103.31</v>
      </c>
      <c r="Y20" s="67">
        <v>2876.62</v>
      </c>
      <c r="Z20" s="130">
        <v>0</v>
      </c>
      <c r="AA20" s="130">
        <v>0</v>
      </c>
      <c r="AB20" s="127">
        <f t="shared" si="3"/>
        <v>31142.16</v>
      </c>
      <c r="AC20" s="106">
        <f t="shared" si="4"/>
        <v>44828.41</v>
      </c>
      <c r="AD20" s="94">
        <f t="shared" si="5"/>
        <v>0</v>
      </c>
      <c r="AE20" s="94">
        <f t="shared" si="6"/>
        <v>0</v>
      </c>
      <c r="AF20" s="94">
        <f>'[1]Т07-09'!$I$53</f>
        <v>311.8032</v>
      </c>
      <c r="AG20" s="13">
        <f t="shared" si="17"/>
        <v>3168.8399999999997</v>
      </c>
      <c r="AH20" s="13">
        <f>B20*0.2*0.99425</f>
        <v>1050.2063899999998</v>
      </c>
      <c r="AI20" s="13">
        <f>0.85*B20*0.9857</f>
        <v>4424.994583</v>
      </c>
      <c r="AJ20" s="13">
        <f t="shared" si="7"/>
        <v>796.4990249399999</v>
      </c>
      <c r="AK20" s="13">
        <f>0.83*B20*0.9905</f>
        <v>4341.9181610000005</v>
      </c>
      <c r="AL20" s="13">
        <f t="shared" si="8"/>
        <v>781.5452689800001</v>
      </c>
      <c r="AM20" s="13">
        <f>(1.91)*B20*0.9904</f>
        <v>9990.634249599998</v>
      </c>
      <c r="AN20" s="13">
        <f t="shared" si="9"/>
        <v>1798.3141649279996</v>
      </c>
      <c r="AO20" s="13"/>
      <c r="AP20" s="13">
        <f t="shared" si="10"/>
        <v>0</v>
      </c>
      <c r="AQ20" s="95"/>
      <c r="AR20" s="95">
        <f t="shared" si="10"/>
        <v>0</v>
      </c>
      <c r="AS20" s="96">
        <v>33507.32</v>
      </c>
      <c r="AT20" s="96"/>
      <c r="AU20" s="96">
        <f t="shared" si="13"/>
        <v>6031.317599999999</v>
      </c>
      <c r="AV20" s="97">
        <v>248</v>
      </c>
      <c r="AW20" s="184">
        <v>3.5</v>
      </c>
      <c r="AX20" s="13">
        <f t="shared" si="18"/>
        <v>1147.1488</v>
      </c>
      <c r="AY20" s="99"/>
      <c r="AZ20" s="100"/>
      <c r="BA20" s="100">
        <f t="shared" si="14"/>
        <v>0</v>
      </c>
      <c r="BB20" s="100">
        <f t="shared" si="15"/>
        <v>67038.73824244799</v>
      </c>
      <c r="BC20" s="71">
        <f>'[2]Т07-09'!$O$53</f>
        <v>124.59462240000002</v>
      </c>
      <c r="BD20" s="26">
        <f t="shared" si="19"/>
        <v>66851.52966484799</v>
      </c>
      <c r="BE20" s="102">
        <f t="shared" si="20"/>
        <v>-22023.119664847985</v>
      </c>
      <c r="BF20" s="103">
        <f aca="true" t="shared" si="21" ref="BF20:BF25">AB20-S20</f>
        <v>-855.6999999999971</v>
      </c>
    </row>
    <row r="21" spans="1:58" ht="12.75">
      <c r="A21" s="11" t="s">
        <v>50</v>
      </c>
      <c r="B21" s="126">
        <v>5281.4</v>
      </c>
      <c r="C21" s="88">
        <f t="shared" si="12"/>
        <v>45684.11</v>
      </c>
      <c r="D21" s="135">
        <f t="shared" si="16"/>
        <v>4102.279999999993</v>
      </c>
      <c r="E21" s="64">
        <v>3726.8</v>
      </c>
      <c r="F21" s="64">
        <v>1073.36</v>
      </c>
      <c r="G21" s="64">
        <v>5045.4</v>
      </c>
      <c r="H21" s="64">
        <v>1454.97</v>
      </c>
      <c r="I21" s="64">
        <v>12126.36</v>
      </c>
      <c r="J21" s="64">
        <v>3494.32</v>
      </c>
      <c r="K21" s="64">
        <v>8399.51</v>
      </c>
      <c r="L21" s="64">
        <v>2421</v>
      </c>
      <c r="M21" s="64">
        <v>2981.43</v>
      </c>
      <c r="N21" s="64">
        <v>858.68</v>
      </c>
      <c r="O21" s="64">
        <v>0</v>
      </c>
      <c r="P21" s="186">
        <v>0</v>
      </c>
      <c r="Q21" s="67">
        <v>0</v>
      </c>
      <c r="R21" s="67">
        <v>0</v>
      </c>
      <c r="S21" s="66">
        <f t="shared" si="1"/>
        <v>32279.5</v>
      </c>
      <c r="T21" s="90">
        <f t="shared" si="2"/>
        <v>9302.33</v>
      </c>
      <c r="U21" s="67">
        <v>3351.56</v>
      </c>
      <c r="V21" s="67">
        <v>4538.34</v>
      </c>
      <c r="W21" s="67">
        <v>10906.43</v>
      </c>
      <c r="X21" s="67">
        <v>7554.75</v>
      </c>
      <c r="Y21" s="67">
        <v>2681.33</v>
      </c>
      <c r="Z21" s="130">
        <v>0</v>
      </c>
      <c r="AA21" s="130">
        <v>0</v>
      </c>
      <c r="AB21" s="127">
        <f t="shared" si="3"/>
        <v>29032.410000000003</v>
      </c>
      <c r="AC21" s="106">
        <f t="shared" si="4"/>
        <v>42437.02</v>
      </c>
      <c r="AD21" s="94">
        <f t="shared" si="5"/>
        <v>0</v>
      </c>
      <c r="AE21" s="94">
        <f t="shared" si="6"/>
        <v>0</v>
      </c>
      <c r="AF21" s="94">
        <f>'[1]Т07-09'!$I$53</f>
        <v>311.8032</v>
      </c>
      <c r="AG21" s="13">
        <f t="shared" si="17"/>
        <v>3168.8399999999997</v>
      </c>
      <c r="AH21" s="13">
        <f>B21*0.2*0.99875</f>
        <v>1054.95965</v>
      </c>
      <c r="AI21" s="13">
        <f>0.85*B21*0.98525</f>
        <v>4422.9744475</v>
      </c>
      <c r="AJ21" s="13">
        <f t="shared" si="7"/>
        <v>796.13540055</v>
      </c>
      <c r="AK21" s="13">
        <f>0.83*B21*0.99</f>
        <v>4339.72638</v>
      </c>
      <c r="AL21" s="13">
        <f t="shared" si="8"/>
        <v>781.1507484</v>
      </c>
      <c r="AM21" s="13">
        <f>(1.91)*B21*0.9899</f>
        <v>9985.590512599998</v>
      </c>
      <c r="AN21" s="13">
        <f t="shared" si="9"/>
        <v>1797.4062922679996</v>
      </c>
      <c r="AO21" s="13"/>
      <c r="AP21" s="13">
        <f t="shared" si="10"/>
        <v>0</v>
      </c>
      <c r="AQ21" s="95"/>
      <c r="AR21" s="95">
        <f t="shared" si="10"/>
        <v>0</v>
      </c>
      <c r="AS21" s="96">
        <v>19424.68</v>
      </c>
      <c r="AT21" s="96"/>
      <c r="AU21" s="96">
        <f t="shared" si="13"/>
        <v>3496.4424</v>
      </c>
      <c r="AV21" s="97">
        <v>293</v>
      </c>
      <c r="AW21" s="184">
        <v>3.5</v>
      </c>
      <c r="AX21" s="13">
        <f t="shared" si="18"/>
        <v>1355.3008000000002</v>
      </c>
      <c r="AY21" s="99"/>
      <c r="AZ21" s="100"/>
      <c r="BA21" s="100">
        <f t="shared" si="14"/>
        <v>0</v>
      </c>
      <c r="BB21" s="100">
        <f t="shared" si="15"/>
        <v>50623.206631318</v>
      </c>
      <c r="BC21" s="71">
        <f>'[2]Т08-09'!$O$54</f>
        <v>124.53801072000002</v>
      </c>
      <c r="BD21" s="26">
        <f t="shared" si="19"/>
        <v>50435.941442038</v>
      </c>
      <c r="BE21" s="102">
        <f t="shared" si="20"/>
        <v>-7998.921442037999</v>
      </c>
      <c r="BF21" s="103">
        <f t="shared" si="21"/>
        <v>-3247.0899999999965</v>
      </c>
    </row>
    <row r="22" spans="1:58" ht="13.5" thickBot="1">
      <c r="A22" s="129" t="s">
        <v>51</v>
      </c>
      <c r="B22" s="87">
        <v>5281.4</v>
      </c>
      <c r="C22" s="88">
        <f t="shared" si="12"/>
        <v>45684.11</v>
      </c>
      <c r="D22" s="135">
        <f t="shared" si="16"/>
        <v>4091.0099999999934</v>
      </c>
      <c r="E22" s="65">
        <v>3773.55</v>
      </c>
      <c r="F22" s="65">
        <v>1027.94</v>
      </c>
      <c r="G22" s="65">
        <v>5108.67</v>
      </c>
      <c r="H22" s="65">
        <v>1393.41</v>
      </c>
      <c r="I22" s="65">
        <v>12278.43</v>
      </c>
      <c r="J22" s="65">
        <v>3346.5</v>
      </c>
      <c r="K22" s="65">
        <v>8504.83</v>
      </c>
      <c r="L22" s="65">
        <v>2318.58</v>
      </c>
      <c r="M22" s="65">
        <v>3018.83</v>
      </c>
      <c r="N22" s="65">
        <v>822.36</v>
      </c>
      <c r="O22" s="65">
        <v>0</v>
      </c>
      <c r="P22" s="183">
        <v>0</v>
      </c>
      <c r="Q22" s="65">
        <v>0</v>
      </c>
      <c r="R22" s="183">
        <v>0</v>
      </c>
      <c r="S22" s="66">
        <f t="shared" si="1"/>
        <v>32684.310000000005</v>
      </c>
      <c r="T22" s="90">
        <f t="shared" si="2"/>
        <v>8908.79</v>
      </c>
      <c r="U22" s="66">
        <v>2976.04</v>
      </c>
      <c r="V22" s="66">
        <v>4028.98</v>
      </c>
      <c r="W22" s="66">
        <v>9683.29</v>
      </c>
      <c r="X22" s="66">
        <v>6707.26</v>
      </c>
      <c r="Y22" s="66">
        <v>2380.78</v>
      </c>
      <c r="Z22" s="91">
        <v>0</v>
      </c>
      <c r="AA22" s="91">
        <v>0</v>
      </c>
      <c r="AB22" s="127">
        <f t="shared" si="3"/>
        <v>25776.35</v>
      </c>
      <c r="AC22" s="106">
        <f t="shared" si="4"/>
        <v>38776.149999999994</v>
      </c>
      <c r="AD22" s="94">
        <f t="shared" si="5"/>
        <v>0</v>
      </c>
      <c r="AE22" s="94">
        <f t="shared" si="6"/>
        <v>0</v>
      </c>
      <c r="AF22" s="94">
        <f>'[1]Т07-09'!$I$53</f>
        <v>311.8032</v>
      </c>
      <c r="AG22" s="13">
        <f t="shared" si="17"/>
        <v>3168.8399999999997</v>
      </c>
      <c r="AH22" s="13">
        <f>B22*0.2*0.9997</f>
        <v>1055.963116</v>
      </c>
      <c r="AI22" s="13">
        <f>0.85*B22*0.98508</f>
        <v>4422.211285199999</v>
      </c>
      <c r="AJ22" s="13">
        <f t="shared" si="7"/>
        <v>795.9980313359998</v>
      </c>
      <c r="AK22" s="13">
        <f>0.83*B22*0.98981</f>
        <v>4338.89350322</v>
      </c>
      <c r="AL22" s="13">
        <f t="shared" si="8"/>
        <v>781.0008305795999</v>
      </c>
      <c r="AM22" s="13">
        <f>(1.91)*B22*0.98981</f>
        <v>9984.682639939998</v>
      </c>
      <c r="AN22" s="13">
        <f t="shared" si="9"/>
        <v>1797.2428751891996</v>
      </c>
      <c r="AO22" s="13"/>
      <c r="AP22" s="13">
        <f t="shared" si="10"/>
        <v>0</v>
      </c>
      <c r="AQ22" s="95"/>
      <c r="AR22" s="95">
        <f t="shared" si="10"/>
        <v>0</v>
      </c>
      <c r="AS22" s="96"/>
      <c r="AT22" s="96"/>
      <c r="AU22" s="96">
        <f t="shared" si="13"/>
        <v>0</v>
      </c>
      <c r="AV22" s="97">
        <v>349</v>
      </c>
      <c r="AW22" s="184">
        <v>3.5</v>
      </c>
      <c r="AX22" s="13">
        <f t="shared" si="18"/>
        <v>1614.3344000000002</v>
      </c>
      <c r="AY22" s="99"/>
      <c r="AZ22" s="100"/>
      <c r="BA22" s="100">
        <f t="shared" si="14"/>
        <v>0</v>
      </c>
      <c r="BB22" s="100">
        <f t="shared" si="15"/>
        <v>27959.166681464794</v>
      </c>
      <c r="BC22" s="71">
        <f>'[2]Т09-09'!$O$54</f>
        <v>124.51917508800001</v>
      </c>
      <c r="BD22" s="136">
        <f t="shared" si="19"/>
        <v>27771.882656552792</v>
      </c>
      <c r="BE22" s="132">
        <f t="shared" si="20"/>
        <v>11004.2673434472</v>
      </c>
      <c r="BF22" s="138">
        <f t="shared" si="21"/>
        <v>-6907.960000000006</v>
      </c>
    </row>
    <row r="23" spans="1:58" ht="12.75">
      <c r="A23" s="139" t="s">
        <v>39</v>
      </c>
      <c r="B23" s="87">
        <v>5280.4</v>
      </c>
      <c r="C23" s="140">
        <f t="shared" si="12"/>
        <v>45675.46</v>
      </c>
      <c r="D23" s="135">
        <f t="shared" si="16"/>
        <v>4168.060000000001</v>
      </c>
      <c r="E23" s="68">
        <f>3719.6-46.23</f>
        <v>3673.37</v>
      </c>
      <c r="F23" s="66">
        <v>1118.04</v>
      </c>
      <c r="G23" s="66">
        <f>5035.84-62.39</f>
        <v>4973.45</v>
      </c>
      <c r="H23" s="66">
        <v>1515.53</v>
      </c>
      <c r="I23" s="66">
        <f>12103.14-150.2</f>
        <v>11952.939999999999</v>
      </c>
      <c r="J23" s="66">
        <v>3639.73</v>
      </c>
      <c r="K23" s="66">
        <f>8383.48-103.97</f>
        <v>8279.51</v>
      </c>
      <c r="L23" s="66">
        <v>2521.74</v>
      </c>
      <c r="M23" s="66">
        <f>2975.65-36.98</f>
        <v>2938.67</v>
      </c>
      <c r="N23" s="66">
        <v>894.42</v>
      </c>
      <c r="O23" s="66">
        <v>0</v>
      </c>
      <c r="P23" s="91">
        <v>0</v>
      </c>
      <c r="Q23" s="66">
        <v>0</v>
      </c>
      <c r="R23" s="66">
        <v>0</v>
      </c>
      <c r="S23" s="66">
        <f t="shared" si="1"/>
        <v>31817.939999999995</v>
      </c>
      <c r="T23" s="90">
        <f t="shared" si="2"/>
        <v>9689.46</v>
      </c>
      <c r="U23" s="69">
        <f>3432.65+323.2</f>
        <v>3755.85</v>
      </c>
      <c r="V23" s="66">
        <f>4646.91+438.53</f>
        <v>5085.44</v>
      </c>
      <c r="W23" s="66">
        <f>11169.12+1052.68</f>
        <v>12221.800000000001</v>
      </c>
      <c r="X23" s="66">
        <f>7736.3+729.42</f>
        <v>8465.72</v>
      </c>
      <c r="Y23" s="66">
        <f>2746.13+258.54</f>
        <v>3004.67</v>
      </c>
      <c r="Z23" s="91">
        <v>0</v>
      </c>
      <c r="AA23" s="91">
        <v>0</v>
      </c>
      <c r="AB23" s="91">
        <f>SUM(U23:AA23)</f>
        <v>32533.479999999996</v>
      </c>
      <c r="AC23" s="106">
        <f>AB23+T23+D23</f>
        <v>46391</v>
      </c>
      <c r="AD23" s="94">
        <f t="shared" si="5"/>
        <v>0</v>
      </c>
      <c r="AE23" s="94">
        <f t="shared" si="6"/>
        <v>0</v>
      </c>
      <c r="AF23" s="94">
        <f>'[3]Т10'!$I$56+'[3]Т10'!$I$76+'[3]Т10'!$I$97</f>
        <v>3699.8639200000002</v>
      </c>
      <c r="AG23" s="13">
        <f t="shared" si="17"/>
        <v>3168.24</v>
      </c>
      <c r="AH23" s="13">
        <f>B23*0.2</f>
        <v>1056.08</v>
      </c>
      <c r="AI23" s="13">
        <f>0.847*B23</f>
        <v>4472.498799999999</v>
      </c>
      <c r="AJ23" s="13">
        <f t="shared" si="7"/>
        <v>805.0497839999998</v>
      </c>
      <c r="AK23" s="13">
        <f>0.83*B23</f>
        <v>4382.731999999999</v>
      </c>
      <c r="AL23" s="13">
        <f t="shared" si="8"/>
        <v>788.8917599999997</v>
      </c>
      <c r="AM23" s="13">
        <f>(2.25/1.18)*B23</f>
        <v>10068.559322033898</v>
      </c>
      <c r="AN23" s="13">
        <f t="shared" si="9"/>
        <v>1812.3406779661016</v>
      </c>
      <c r="AO23" s="13"/>
      <c r="AP23" s="13">
        <f t="shared" si="10"/>
        <v>0</v>
      </c>
      <c r="AQ23" s="95">
        <f>1637.97+4526.4</f>
        <v>6164.37</v>
      </c>
      <c r="AR23" s="95">
        <f t="shared" si="10"/>
        <v>1109.5865999999999</v>
      </c>
      <c r="AS23" s="96">
        <v>1453.63</v>
      </c>
      <c r="AT23" s="96"/>
      <c r="AU23" s="96">
        <f t="shared" si="13"/>
        <v>261.65340000000003</v>
      </c>
      <c r="AV23" s="97">
        <v>425</v>
      </c>
      <c r="AW23" s="98">
        <v>3.5</v>
      </c>
      <c r="AX23" s="13">
        <f t="shared" si="18"/>
        <v>1965.88</v>
      </c>
      <c r="AY23" s="99"/>
      <c r="AZ23" s="141"/>
      <c r="BA23" s="100">
        <f t="shared" si="14"/>
        <v>0</v>
      </c>
      <c r="BB23" s="100">
        <f>SUM(AG23:AU23)+AX23+AY23+AZ23+BA23</f>
        <v>37509.512343999995</v>
      </c>
      <c r="BC23" s="71">
        <f>'[4]Т10'!$O$56+'[4]Т10'!$O$76+'[4]Т10'!$O$97</f>
        <v>1252.600696</v>
      </c>
      <c r="BD23" s="142">
        <f t="shared" si="19"/>
        <v>35062.24911999999</v>
      </c>
      <c r="BE23" s="102">
        <f>(AC23-BB23)+(AF23-BC23)</f>
        <v>11328.750880000005</v>
      </c>
      <c r="BF23" s="102">
        <f t="shared" si="21"/>
        <v>715.5400000000009</v>
      </c>
    </row>
    <row r="24" spans="1:58" ht="12.75">
      <c r="A24" s="11" t="s">
        <v>40</v>
      </c>
      <c r="B24" s="126">
        <v>5280.4</v>
      </c>
      <c r="C24" s="140">
        <f t="shared" si="12"/>
        <v>45675.46</v>
      </c>
      <c r="D24" s="135">
        <f t="shared" si="16"/>
        <v>4128.27999999999</v>
      </c>
      <c r="E24" s="65">
        <v>3715.08</v>
      </c>
      <c r="F24" s="65">
        <v>1081.02</v>
      </c>
      <c r="G24" s="65">
        <v>5029.66</v>
      </c>
      <c r="H24" s="65">
        <v>1465.37</v>
      </c>
      <c r="I24" s="65">
        <v>12069.19</v>
      </c>
      <c r="J24" s="65">
        <v>3538.47</v>
      </c>
      <c r="K24" s="65">
        <v>8373.26</v>
      </c>
      <c r="L24" s="65">
        <v>2438.28</v>
      </c>
      <c r="M24" s="65">
        <v>2972.04</v>
      </c>
      <c r="N24" s="65">
        <v>864.81</v>
      </c>
      <c r="O24" s="65">
        <v>0</v>
      </c>
      <c r="P24" s="183">
        <v>0</v>
      </c>
      <c r="Q24" s="183">
        <v>0</v>
      </c>
      <c r="R24" s="183">
        <v>0</v>
      </c>
      <c r="S24" s="66">
        <f t="shared" si="1"/>
        <v>32159.230000000003</v>
      </c>
      <c r="T24" s="90">
        <f t="shared" si="2"/>
        <v>9387.95</v>
      </c>
      <c r="U24" s="66">
        <v>3614.7</v>
      </c>
      <c r="V24" s="66">
        <v>4894.83</v>
      </c>
      <c r="W24" s="66">
        <v>11762.63</v>
      </c>
      <c r="X24" s="66">
        <v>8148.17</v>
      </c>
      <c r="Y24" s="66">
        <v>2891.78</v>
      </c>
      <c r="Z24" s="91">
        <v>0</v>
      </c>
      <c r="AA24" s="91">
        <v>0</v>
      </c>
      <c r="AB24" s="91">
        <f>SUM(U24:AA24)</f>
        <v>31312.109999999993</v>
      </c>
      <c r="AC24" s="106">
        <f>D24+T24+AB24</f>
        <v>44828.33999999998</v>
      </c>
      <c r="AD24" s="94">
        <f t="shared" si="5"/>
        <v>0</v>
      </c>
      <c r="AE24" s="94">
        <f t="shared" si="6"/>
        <v>0</v>
      </c>
      <c r="AF24" s="94">
        <f>'[4]Т11'!$I$56+'[4]Т11'!$I$76+'[4]Т11'!$I$97+'[4]Т11'!$I$122</f>
        <v>2753.9665400000004</v>
      </c>
      <c r="AG24" s="13">
        <f t="shared" si="17"/>
        <v>3168.24</v>
      </c>
      <c r="AH24" s="13">
        <f>B24*0.2</f>
        <v>1056.08</v>
      </c>
      <c r="AI24" s="13">
        <f>0.85*B24</f>
        <v>4488.339999999999</v>
      </c>
      <c r="AJ24" s="13">
        <f t="shared" si="7"/>
        <v>807.9011999999998</v>
      </c>
      <c r="AK24" s="13">
        <f>0.83*B24</f>
        <v>4382.731999999999</v>
      </c>
      <c r="AL24" s="13">
        <f t="shared" si="8"/>
        <v>788.8917599999997</v>
      </c>
      <c r="AM24" s="13">
        <f>(1.91)*B24</f>
        <v>10085.563999999998</v>
      </c>
      <c r="AN24" s="13">
        <f t="shared" si="9"/>
        <v>1815.4015199999997</v>
      </c>
      <c r="AO24" s="13"/>
      <c r="AP24" s="13">
        <f t="shared" si="10"/>
        <v>0</v>
      </c>
      <c r="AQ24" s="95"/>
      <c r="AR24" s="95">
        <f t="shared" si="10"/>
        <v>0</v>
      </c>
      <c r="AS24" s="96">
        <v>14309</v>
      </c>
      <c r="AT24" s="96"/>
      <c r="AU24" s="96">
        <f t="shared" si="13"/>
        <v>2575.62</v>
      </c>
      <c r="AV24" s="97">
        <v>470</v>
      </c>
      <c r="AW24" s="98">
        <v>3.5</v>
      </c>
      <c r="AX24" s="13">
        <f t="shared" si="18"/>
        <v>2174.032</v>
      </c>
      <c r="AY24" s="99"/>
      <c r="AZ24" s="100"/>
      <c r="BA24" s="100">
        <f t="shared" si="14"/>
        <v>0</v>
      </c>
      <c r="BB24" s="100">
        <f>SUM(AG24:AU24)+AX24+AY24+AZ24+BA24</f>
        <v>45651.80248</v>
      </c>
      <c r="BC24" s="101">
        <f>'[4]Т11'!$O$56+'[4]Т11'!$O$76+'[4]Т11'!$O$97+'[4]Т11'!$O$122</f>
        <v>4860.2408399999995</v>
      </c>
      <c r="BD24" s="39">
        <f t="shared" si="19"/>
        <v>47758.076779999996</v>
      </c>
      <c r="BE24" s="102">
        <f t="shared" si="20"/>
        <v>-2929.7367800000156</v>
      </c>
      <c r="BF24" s="102">
        <f t="shared" si="21"/>
        <v>-847.1200000000099</v>
      </c>
    </row>
    <row r="25" spans="1:58" s="104" customFormat="1" ht="12.75">
      <c r="A25" s="86" t="s">
        <v>41</v>
      </c>
      <c r="B25" s="87">
        <v>5280.4</v>
      </c>
      <c r="C25" s="140">
        <f t="shared" si="12"/>
        <v>45675.46</v>
      </c>
      <c r="D25" s="135">
        <f t="shared" si="16"/>
        <v>4816.039999999997</v>
      </c>
      <c r="E25" s="65">
        <v>3630.67</v>
      </c>
      <c r="F25" s="65">
        <v>1086.06</v>
      </c>
      <c r="G25" s="65">
        <v>4915.34</v>
      </c>
      <c r="H25" s="65">
        <v>1472.17</v>
      </c>
      <c r="I25" s="65">
        <v>11772.51</v>
      </c>
      <c r="J25" s="65">
        <v>3576.77</v>
      </c>
      <c r="K25" s="65">
        <v>8182.97</v>
      </c>
      <c r="L25" s="65">
        <v>2449.6</v>
      </c>
      <c r="M25" s="65">
        <v>2904.49</v>
      </c>
      <c r="N25" s="65">
        <v>868.84</v>
      </c>
      <c r="O25" s="65">
        <v>0</v>
      </c>
      <c r="P25" s="183">
        <v>0</v>
      </c>
      <c r="Q25" s="183"/>
      <c r="R25" s="183"/>
      <c r="S25" s="66">
        <f t="shared" si="1"/>
        <v>31405.980000000003</v>
      </c>
      <c r="T25" s="90">
        <f t="shared" si="2"/>
        <v>9453.44</v>
      </c>
      <c r="U25" s="66">
        <v>4657.4</v>
      </c>
      <c r="V25" s="66">
        <v>6305.79</v>
      </c>
      <c r="W25" s="66">
        <v>15154.2</v>
      </c>
      <c r="X25" s="66">
        <v>10497.54</v>
      </c>
      <c r="Y25" s="66">
        <v>3725.93</v>
      </c>
      <c r="Z25" s="91">
        <v>0</v>
      </c>
      <c r="AA25" s="91">
        <v>0</v>
      </c>
      <c r="AB25" s="91">
        <f>SUM(U25:AA25)</f>
        <v>40340.86</v>
      </c>
      <c r="AC25" s="106">
        <f>D25+T25+AB25</f>
        <v>54610.34</v>
      </c>
      <c r="AD25" s="94">
        <f t="shared" si="5"/>
        <v>0</v>
      </c>
      <c r="AE25" s="94">
        <f t="shared" si="6"/>
        <v>0</v>
      </c>
      <c r="AF25" s="94">
        <f>'[4]Т12'!$I$57+'[4]Т12'!$I$77+'[4]Т12'!$I$98+'[4]Т12'!$I$124</f>
        <v>2753.9665400000004</v>
      </c>
      <c r="AG25" s="13">
        <f t="shared" si="17"/>
        <v>3168.24</v>
      </c>
      <c r="AH25" s="13">
        <f>B25*0.2</f>
        <v>1056.08</v>
      </c>
      <c r="AI25" s="13">
        <f>0.85*B25</f>
        <v>4488.339999999999</v>
      </c>
      <c r="AJ25" s="13">
        <f t="shared" si="7"/>
        <v>807.9011999999998</v>
      </c>
      <c r="AK25" s="13">
        <f>0.83*B25</f>
        <v>4382.731999999999</v>
      </c>
      <c r="AL25" s="13">
        <f t="shared" si="8"/>
        <v>788.8917599999997</v>
      </c>
      <c r="AM25" s="13">
        <f>(1.91)*B25</f>
        <v>10085.563999999998</v>
      </c>
      <c r="AN25" s="13">
        <f t="shared" si="9"/>
        <v>1815.4015199999997</v>
      </c>
      <c r="AO25" s="13"/>
      <c r="AP25" s="13">
        <f t="shared" si="10"/>
        <v>0</v>
      </c>
      <c r="AQ25" s="95"/>
      <c r="AR25" s="95">
        <f t="shared" si="10"/>
        <v>0</v>
      </c>
      <c r="AS25" s="96">
        <v>22816</v>
      </c>
      <c r="AT25" s="96"/>
      <c r="AU25" s="96">
        <f t="shared" si="13"/>
        <v>4106.88</v>
      </c>
      <c r="AV25" s="97">
        <v>514</v>
      </c>
      <c r="AW25" s="98">
        <v>3.5</v>
      </c>
      <c r="AX25" s="13">
        <f t="shared" si="18"/>
        <v>2377.5584</v>
      </c>
      <c r="AY25" s="99"/>
      <c r="AZ25" s="100"/>
      <c r="BA25" s="100">
        <f t="shared" si="14"/>
        <v>0</v>
      </c>
      <c r="BB25" s="100">
        <f>SUM(AG25:BA25)-AV25-AW25</f>
        <v>55893.588879999996</v>
      </c>
      <c r="BC25" s="101">
        <f>'[3]Т12'!$O$57+'[3]Т12'!$O$77+'[3]Т12'!$O$98+'[3]Т12'!$O$124</f>
        <v>4860.2408399999995</v>
      </c>
      <c r="BD25" s="45">
        <f t="shared" si="19"/>
        <v>57999.86317999999</v>
      </c>
      <c r="BE25" s="102">
        <f t="shared" si="20"/>
        <v>-3389.5231799999983</v>
      </c>
      <c r="BF25" s="102">
        <f t="shared" si="21"/>
        <v>8934.879999999997</v>
      </c>
    </row>
    <row r="26" spans="1:58" s="16" customFormat="1" ht="12.75">
      <c r="A26" s="14" t="s">
        <v>3</v>
      </c>
      <c r="B26" s="48"/>
      <c r="C26" s="48">
        <f>SUM(C14:C25)</f>
        <v>548183.37</v>
      </c>
      <c r="D26" s="48">
        <f aca="true" t="shared" si="22" ref="D26:BF26">SUM(D14:D25)</f>
        <v>58121.77499999998</v>
      </c>
      <c r="E26" s="48">
        <f t="shared" si="22"/>
        <v>43439.049999999996</v>
      </c>
      <c r="F26" s="48">
        <f t="shared" si="22"/>
        <v>12220.039999999999</v>
      </c>
      <c r="G26" s="48">
        <f t="shared" si="22"/>
        <v>58829.81999999999</v>
      </c>
      <c r="H26" s="48">
        <f t="shared" si="22"/>
        <v>16544.370000000003</v>
      </c>
      <c r="I26" s="48">
        <f t="shared" si="22"/>
        <v>141316.22000000003</v>
      </c>
      <c r="J26" s="48">
        <f t="shared" si="22"/>
        <v>39822.689999999995</v>
      </c>
      <c r="K26" s="48">
        <f t="shared" si="22"/>
        <v>97851.87</v>
      </c>
      <c r="L26" s="48">
        <f t="shared" si="22"/>
        <v>27542.439999999995</v>
      </c>
      <c r="M26" s="48">
        <f t="shared" si="22"/>
        <v>34751.09</v>
      </c>
      <c r="N26" s="48">
        <f t="shared" si="22"/>
        <v>9776.01</v>
      </c>
      <c r="O26" s="48">
        <f t="shared" si="22"/>
        <v>0</v>
      </c>
      <c r="P26" s="48">
        <f t="shared" si="22"/>
        <v>0</v>
      </c>
      <c r="Q26" s="48">
        <f t="shared" si="22"/>
        <v>0</v>
      </c>
      <c r="R26" s="48">
        <f t="shared" si="22"/>
        <v>0</v>
      </c>
      <c r="S26" s="48">
        <f t="shared" si="22"/>
        <v>376188.04999999993</v>
      </c>
      <c r="T26" s="48">
        <f t="shared" si="22"/>
        <v>105905.55</v>
      </c>
      <c r="U26" s="48">
        <f t="shared" si="22"/>
        <v>42290.07000000001</v>
      </c>
      <c r="V26" s="48">
        <f t="shared" si="22"/>
        <v>57191.06000000001</v>
      </c>
      <c r="W26" s="48">
        <f t="shared" si="22"/>
        <v>137541.2</v>
      </c>
      <c r="X26" s="48">
        <f t="shared" si="22"/>
        <v>95251.69</v>
      </c>
      <c r="Y26" s="48">
        <f t="shared" si="22"/>
        <v>33832.1</v>
      </c>
      <c r="Z26" s="48">
        <f t="shared" si="22"/>
        <v>0</v>
      </c>
      <c r="AA26" s="48">
        <f t="shared" si="22"/>
        <v>0</v>
      </c>
      <c r="AB26" s="48">
        <f t="shared" si="22"/>
        <v>366106.12</v>
      </c>
      <c r="AC26" s="48">
        <f t="shared" si="22"/>
        <v>530133.445</v>
      </c>
      <c r="AD26" s="48">
        <f t="shared" si="22"/>
        <v>0</v>
      </c>
      <c r="AE26" s="48">
        <f t="shared" si="22"/>
        <v>0</v>
      </c>
      <c r="AF26" s="48">
        <f t="shared" si="22"/>
        <v>10143.206600000001</v>
      </c>
      <c r="AG26" s="48">
        <f t="shared" si="22"/>
        <v>36756.74399999999</v>
      </c>
      <c r="AH26" s="48">
        <f t="shared" si="22"/>
        <v>12306.151093999999</v>
      </c>
      <c r="AI26" s="48">
        <f t="shared" si="22"/>
        <v>51382.50005669999</v>
      </c>
      <c r="AJ26" s="48">
        <f t="shared" si="22"/>
        <v>9248.850010205999</v>
      </c>
      <c r="AK26" s="48">
        <f t="shared" si="22"/>
        <v>49948.68118181999</v>
      </c>
      <c r="AL26" s="48">
        <f t="shared" si="22"/>
        <v>8990.7626127276</v>
      </c>
      <c r="AM26" s="48">
        <f t="shared" si="22"/>
        <v>114923.11367937387</v>
      </c>
      <c r="AN26" s="48">
        <f t="shared" si="22"/>
        <v>20686.1604622873</v>
      </c>
      <c r="AO26" s="48">
        <f t="shared" si="22"/>
        <v>0</v>
      </c>
      <c r="AP26" s="48">
        <f t="shared" si="22"/>
        <v>0</v>
      </c>
      <c r="AQ26" s="143">
        <f t="shared" si="22"/>
        <v>6164.37</v>
      </c>
      <c r="AR26" s="143">
        <f t="shared" si="22"/>
        <v>1109.5865999999999</v>
      </c>
      <c r="AS26" s="46">
        <f t="shared" si="22"/>
        <v>143807.41</v>
      </c>
      <c r="AT26" s="46">
        <f t="shared" si="22"/>
        <v>6848</v>
      </c>
      <c r="AU26" s="46">
        <f t="shared" si="22"/>
        <v>27117.983799999998</v>
      </c>
      <c r="AV26" s="48">
        <f t="shared" si="22"/>
        <v>4400</v>
      </c>
      <c r="AW26" s="48">
        <f t="shared" si="22"/>
        <v>42</v>
      </c>
      <c r="AX26" s="48">
        <f t="shared" si="22"/>
        <v>20352.642</v>
      </c>
      <c r="AY26" s="48">
        <f t="shared" si="22"/>
        <v>0</v>
      </c>
      <c r="AZ26" s="48">
        <f t="shared" si="22"/>
        <v>0</v>
      </c>
      <c r="BA26" s="48">
        <f t="shared" si="22"/>
        <v>0</v>
      </c>
      <c r="BB26" s="48">
        <f t="shared" si="22"/>
        <v>509642.9554971148</v>
      </c>
      <c r="BC26" s="48">
        <f t="shared" si="22"/>
        <v>11346.734184207999</v>
      </c>
      <c r="BD26" s="48">
        <f t="shared" si="22"/>
        <v>490531.11550375476</v>
      </c>
      <c r="BE26" s="48">
        <f t="shared" si="22"/>
        <v>19286.961918677218</v>
      </c>
      <c r="BF26" s="144">
        <f t="shared" si="22"/>
        <v>-10081.930000000015</v>
      </c>
    </row>
    <row r="27" spans="1:58" s="16" customFormat="1" ht="12.75">
      <c r="A27" s="14"/>
      <c r="B27" s="48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9"/>
      <c r="V27" s="49"/>
      <c r="W27" s="49"/>
      <c r="X27" s="49"/>
      <c r="Y27" s="49"/>
      <c r="Z27" s="49"/>
      <c r="AA27" s="49"/>
      <c r="AB27" s="49"/>
      <c r="AC27" s="49"/>
      <c r="AD27" s="145"/>
      <c r="AE27" s="14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46"/>
      <c r="AQ27" s="147"/>
      <c r="AR27" s="147"/>
      <c r="AS27" s="146"/>
      <c r="AT27" s="146"/>
      <c r="AU27" s="146"/>
      <c r="AV27" s="15"/>
      <c r="AW27" s="15"/>
      <c r="AX27" s="148"/>
      <c r="AY27" s="56"/>
      <c r="AZ27" s="56"/>
      <c r="BA27" s="56"/>
      <c r="BB27" s="56"/>
      <c r="BC27" s="56"/>
      <c r="BD27" s="56"/>
      <c r="BE27" s="56"/>
      <c r="BF27" s="149"/>
    </row>
    <row r="28" spans="1:58" s="16" customFormat="1" ht="13.5" thickBot="1">
      <c r="A28" s="18" t="s">
        <v>52</v>
      </c>
      <c r="B28" s="19"/>
      <c r="C28" s="19">
        <f>C12+C26</f>
        <v>685321.335</v>
      </c>
      <c r="D28" s="19">
        <f aca="true" t="shared" si="23" ref="D28:BF28">D12+D26</f>
        <v>91131.34030204998</v>
      </c>
      <c r="E28" s="19">
        <f t="shared" si="23"/>
        <v>53727.38</v>
      </c>
      <c r="F28" s="19">
        <f t="shared" si="23"/>
        <v>14929.23</v>
      </c>
      <c r="G28" s="19">
        <f t="shared" si="23"/>
        <v>72719.20999999999</v>
      </c>
      <c r="H28" s="19">
        <f t="shared" si="23"/>
        <v>20201.820000000003</v>
      </c>
      <c r="I28" s="19">
        <f t="shared" si="23"/>
        <v>174753.26000000004</v>
      </c>
      <c r="J28" s="19">
        <f t="shared" si="23"/>
        <v>48627.59999999999</v>
      </c>
      <c r="K28" s="19">
        <f t="shared" si="23"/>
        <v>121000.7</v>
      </c>
      <c r="L28" s="19">
        <f t="shared" si="23"/>
        <v>33638.149999999994</v>
      </c>
      <c r="M28" s="19">
        <f t="shared" si="23"/>
        <v>42981.77</v>
      </c>
      <c r="N28" s="19">
        <f t="shared" si="23"/>
        <v>11943.380000000001</v>
      </c>
      <c r="O28" s="19">
        <f t="shared" si="23"/>
        <v>0</v>
      </c>
      <c r="P28" s="19">
        <f t="shared" si="23"/>
        <v>0</v>
      </c>
      <c r="Q28" s="19">
        <f t="shared" si="23"/>
        <v>0</v>
      </c>
      <c r="R28" s="19">
        <f t="shared" si="23"/>
        <v>0</v>
      </c>
      <c r="S28" s="19">
        <f t="shared" si="23"/>
        <v>465182.31999999995</v>
      </c>
      <c r="T28" s="19">
        <f t="shared" si="23"/>
        <v>129340.18000000001</v>
      </c>
      <c r="U28" s="19">
        <f t="shared" si="23"/>
        <v>48413.170000000006</v>
      </c>
      <c r="V28" s="19">
        <f t="shared" si="23"/>
        <v>65457.220000000016</v>
      </c>
      <c r="W28" s="19">
        <f t="shared" si="23"/>
        <v>157526.62</v>
      </c>
      <c r="X28" s="19">
        <f t="shared" si="23"/>
        <v>109028.5</v>
      </c>
      <c r="Y28" s="19">
        <f t="shared" si="23"/>
        <v>38730.509999999995</v>
      </c>
      <c r="Z28" s="19">
        <f t="shared" si="23"/>
        <v>0</v>
      </c>
      <c r="AA28" s="19">
        <f t="shared" si="23"/>
        <v>0</v>
      </c>
      <c r="AB28" s="19">
        <f t="shared" si="23"/>
        <v>419156.02</v>
      </c>
      <c r="AC28" s="19">
        <f t="shared" si="23"/>
        <v>639627.54030205</v>
      </c>
      <c r="AD28" s="19">
        <f t="shared" si="23"/>
        <v>0</v>
      </c>
      <c r="AE28" s="19">
        <f t="shared" si="23"/>
        <v>0</v>
      </c>
      <c r="AF28" s="19">
        <f t="shared" si="23"/>
        <v>10143.206600000001</v>
      </c>
      <c r="AG28" s="19">
        <f t="shared" si="23"/>
        <v>46269.20399999999</v>
      </c>
      <c r="AH28" s="19">
        <f t="shared" si="23"/>
        <v>15571.500283999998</v>
      </c>
      <c r="AI28" s="19">
        <f t="shared" si="23"/>
        <v>64873.89638069998</v>
      </c>
      <c r="AJ28" s="19">
        <f>AJ12+AJ26</f>
        <v>11677.301348525998</v>
      </c>
      <c r="AK28" s="19">
        <f t="shared" si="23"/>
        <v>65648.42143645999</v>
      </c>
      <c r="AL28" s="19">
        <f t="shared" si="23"/>
        <v>11816.715858562799</v>
      </c>
      <c r="AM28" s="19">
        <f t="shared" si="23"/>
        <v>143756.19049318388</v>
      </c>
      <c r="AN28" s="19">
        <f t="shared" si="23"/>
        <v>25876.114288773097</v>
      </c>
      <c r="AO28" s="19">
        <f t="shared" si="23"/>
        <v>0</v>
      </c>
      <c r="AP28" s="19">
        <f t="shared" si="23"/>
        <v>0</v>
      </c>
      <c r="AQ28" s="150">
        <f t="shared" si="23"/>
        <v>6164.37</v>
      </c>
      <c r="AR28" s="150">
        <f t="shared" si="23"/>
        <v>1109.5865999999999</v>
      </c>
      <c r="AS28" s="43">
        <f t="shared" si="23"/>
        <v>173138.41</v>
      </c>
      <c r="AT28" s="43">
        <f t="shared" si="23"/>
        <v>6848</v>
      </c>
      <c r="AU28" s="43">
        <f t="shared" si="23"/>
        <v>32397.563799999996</v>
      </c>
      <c r="AV28" s="19"/>
      <c r="AW28" s="19"/>
      <c r="AX28" s="19">
        <f t="shared" si="23"/>
        <v>20352.642</v>
      </c>
      <c r="AY28" s="19">
        <f t="shared" si="23"/>
        <v>0</v>
      </c>
      <c r="AZ28" s="19">
        <f t="shared" si="23"/>
        <v>0</v>
      </c>
      <c r="BA28" s="19">
        <f t="shared" si="23"/>
        <v>0</v>
      </c>
      <c r="BB28" s="19">
        <f t="shared" si="23"/>
        <v>625499.9164902058</v>
      </c>
      <c r="BC28" s="19">
        <f t="shared" si="23"/>
        <v>11346.734184207999</v>
      </c>
      <c r="BD28" s="19">
        <f t="shared" si="23"/>
        <v>606388.0764968458</v>
      </c>
      <c r="BE28" s="19">
        <f t="shared" si="23"/>
        <v>12924.096227636233</v>
      </c>
      <c r="BF28" s="19">
        <f t="shared" si="23"/>
        <v>-46026.300000000025</v>
      </c>
    </row>
    <row r="29" spans="1:58" ht="15" customHeight="1">
      <c r="A29" s="7" t="s">
        <v>88</v>
      </c>
      <c r="B29" s="111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5"/>
      <c r="Q29" s="116"/>
      <c r="R29" s="116"/>
      <c r="S29" s="116"/>
      <c r="T29" s="116"/>
      <c r="U29" s="117"/>
      <c r="V29" s="117"/>
      <c r="W29" s="117"/>
      <c r="X29" s="117"/>
      <c r="Y29" s="117"/>
      <c r="Z29" s="117"/>
      <c r="AA29" s="118"/>
      <c r="AB29" s="118"/>
      <c r="AC29" s="119"/>
      <c r="AD29" s="120"/>
      <c r="AE29" s="120"/>
      <c r="AF29" s="37"/>
      <c r="AG29" s="37"/>
      <c r="AH29" s="37"/>
      <c r="AI29" s="37"/>
      <c r="AJ29" s="37"/>
      <c r="AK29" s="37"/>
      <c r="AL29" s="37"/>
      <c r="AM29" s="37"/>
      <c r="AN29" s="121"/>
      <c r="AO29" s="121"/>
      <c r="AP29" s="121"/>
      <c r="AQ29" s="122"/>
      <c r="AR29" s="123"/>
      <c r="AS29" s="124"/>
      <c r="AT29" s="124"/>
      <c r="AU29" s="125"/>
      <c r="AV29" s="37"/>
      <c r="AW29" s="37"/>
      <c r="AX29" s="39"/>
      <c r="AY29" s="1"/>
      <c r="AZ29" s="1"/>
      <c r="BA29" s="1"/>
      <c r="BB29" s="1"/>
      <c r="BC29" s="1"/>
      <c r="BD29" s="1"/>
      <c r="BE29" s="1"/>
      <c r="BF29" s="84"/>
    </row>
    <row r="30" spans="1:58" ht="12.75">
      <c r="A30" s="11" t="s">
        <v>43</v>
      </c>
      <c r="B30" s="191">
        <v>5280.4</v>
      </c>
      <c r="C30" s="140">
        <f aca="true" t="shared" si="24" ref="C30:C41">B30*8.65</f>
        <v>45675.46</v>
      </c>
      <c r="D30" s="135">
        <f aca="true" t="shared" si="25" ref="D30:D36">C30-E30-F30-G30-H30-I30-J30-K30-L30-M30-N30</f>
        <v>4139.510000000002</v>
      </c>
      <c r="E30" s="192">
        <v>3697.29</v>
      </c>
      <c r="F30" s="192">
        <v>1097.5</v>
      </c>
      <c r="G30" s="192">
        <v>5005.64</v>
      </c>
      <c r="H30" s="192">
        <v>1487.68</v>
      </c>
      <c r="I30" s="192">
        <v>11989.39</v>
      </c>
      <c r="J30" s="192">
        <v>3614.03</v>
      </c>
      <c r="K30" s="192">
        <v>8333.23</v>
      </c>
      <c r="L30" s="192">
        <v>2475.4</v>
      </c>
      <c r="M30" s="192">
        <v>2957.81</v>
      </c>
      <c r="N30" s="192">
        <v>877.98</v>
      </c>
      <c r="O30" s="192">
        <v>0</v>
      </c>
      <c r="P30" s="193">
        <v>0</v>
      </c>
      <c r="Q30" s="193"/>
      <c r="R30" s="193"/>
      <c r="S30" s="194">
        <f aca="true" t="shared" si="26" ref="S30:S41">E30+G30+I30+K30+M30+O30+Q30</f>
        <v>31983.36</v>
      </c>
      <c r="T30" s="195">
        <f aca="true" t="shared" si="27" ref="T30:T41">P30+N30+L30+J30+H30+F30+R30</f>
        <v>9552.59</v>
      </c>
      <c r="U30" s="194">
        <v>3105.04</v>
      </c>
      <c r="V30" s="194">
        <v>4203.91</v>
      </c>
      <c r="W30" s="194">
        <v>10101.63</v>
      </c>
      <c r="X30" s="194">
        <v>6998.48</v>
      </c>
      <c r="Y30" s="194">
        <v>2483.96</v>
      </c>
      <c r="Z30" s="196">
        <v>0</v>
      </c>
      <c r="AA30" s="196">
        <v>0</v>
      </c>
      <c r="AB30" s="196">
        <f>SUM(U30:AA30)</f>
        <v>26893.019999999997</v>
      </c>
      <c r="AC30" s="197">
        <f aca="true" t="shared" si="28" ref="AC30:AC41">D30+T30+AB30</f>
        <v>40585.119999999995</v>
      </c>
      <c r="AD30" s="198">
        <f aca="true" t="shared" si="29" ref="AD30:AD41">P30+Z30</f>
        <v>0</v>
      </c>
      <c r="AE30" s="198">
        <f aca="true" t="shared" si="30" ref="AE30:AE41">R30+AA30</f>
        <v>0</v>
      </c>
      <c r="AF30" s="198">
        <f>'[5]Т01-10'!$I$54+'[5]Т01-10'!$I$74+'[5]Т01-10'!$I$95+'[5]Т01-10'!$I$121</f>
        <v>10245.17356</v>
      </c>
      <c r="AG30" s="199">
        <f aca="true" t="shared" si="31" ref="AG30:AG41">0.6*B30</f>
        <v>3168.24</v>
      </c>
      <c r="AH30" s="199">
        <f aca="true" t="shared" si="32" ref="AH30:AH41">B30*0.2</f>
        <v>1056.08</v>
      </c>
      <c r="AI30" s="199">
        <f aca="true" t="shared" si="33" ref="AI30:AI41">1*B30</f>
        <v>5280.4</v>
      </c>
      <c r="AJ30" s="199">
        <v>0</v>
      </c>
      <c r="AK30" s="199">
        <f aca="true" t="shared" si="34" ref="AK30:AK41">0.98*B30</f>
        <v>5174.7919999999995</v>
      </c>
      <c r="AL30" s="199">
        <v>0</v>
      </c>
      <c r="AM30" s="199">
        <f aca="true" t="shared" si="35" ref="AM30:AM41">2.25*B30</f>
        <v>11880.9</v>
      </c>
      <c r="AN30" s="199">
        <v>0</v>
      </c>
      <c r="AO30" s="199"/>
      <c r="AP30" s="199">
        <v>0</v>
      </c>
      <c r="AQ30" s="200"/>
      <c r="AR30" s="200"/>
      <c r="AS30" s="201">
        <v>2492</v>
      </c>
      <c r="AT30" s="201"/>
      <c r="AU30" s="201">
        <f>AT30*0</f>
        <v>0</v>
      </c>
      <c r="AV30" s="202">
        <v>508</v>
      </c>
      <c r="AW30" s="203">
        <v>3.5</v>
      </c>
      <c r="AX30" s="199">
        <f aca="true" t="shared" si="36" ref="AX30:AX40">AV30*AW30*1.4</f>
        <v>2489.2</v>
      </c>
      <c r="AY30" s="99"/>
      <c r="AZ30" s="204"/>
      <c r="BA30" s="204">
        <f aca="true" t="shared" si="37" ref="BA30:BA38">AZ30*0.18</f>
        <v>0</v>
      </c>
      <c r="BB30" s="204">
        <f aca="true" t="shared" si="38" ref="BB30:BB41">SUM(AG30:BA30)-AV30-AW30</f>
        <v>31541.611999999997</v>
      </c>
      <c r="BC30" s="205">
        <f>'[5]Т03-10'!$M$55+'[5]Т03-10'!$M$75+'[5]Т03-10'!$M$96+'[5]Т03-10'!$M$122</f>
        <v>4854.485999999999</v>
      </c>
      <c r="BD30" s="128"/>
      <c r="BE30" s="102">
        <f>(AC30-BB30)+(AF30-BC30)</f>
        <v>14434.195559999998</v>
      </c>
      <c r="BF30" s="102">
        <f>AB30-S30</f>
        <v>-5090.340000000004</v>
      </c>
    </row>
    <row r="31" spans="1:58" ht="12.75">
      <c r="A31" s="11" t="s">
        <v>44</v>
      </c>
      <c r="B31" s="207">
        <v>5280.9</v>
      </c>
      <c r="C31" s="140">
        <f t="shared" si="24"/>
        <v>45679.784999999996</v>
      </c>
      <c r="D31" s="135">
        <f t="shared" si="25"/>
        <v>4509.465</v>
      </c>
      <c r="E31" s="208">
        <v>3650.82</v>
      </c>
      <c r="F31" s="209">
        <v>1101.73</v>
      </c>
      <c r="G31" s="209">
        <v>4942.75</v>
      </c>
      <c r="H31" s="209">
        <v>1493.42</v>
      </c>
      <c r="I31" s="209">
        <v>11920.53</v>
      </c>
      <c r="J31" s="209">
        <v>3545.49</v>
      </c>
      <c r="K31" s="209">
        <v>8228.55</v>
      </c>
      <c r="L31" s="209">
        <v>2484.96</v>
      </c>
      <c r="M31" s="209">
        <v>2920.7</v>
      </c>
      <c r="N31" s="209">
        <v>881.37</v>
      </c>
      <c r="O31" s="209">
        <v>0</v>
      </c>
      <c r="P31" s="210">
        <v>0</v>
      </c>
      <c r="Q31" s="209">
        <v>0</v>
      </c>
      <c r="R31" s="210">
        <v>0</v>
      </c>
      <c r="S31" s="194">
        <f t="shared" si="26"/>
        <v>31663.35</v>
      </c>
      <c r="T31" s="195">
        <f t="shared" si="27"/>
        <v>9506.97</v>
      </c>
      <c r="U31" s="194">
        <v>3611.53</v>
      </c>
      <c r="V31" s="194">
        <v>4890.08</v>
      </c>
      <c r="W31" s="194">
        <v>11748.88</v>
      </c>
      <c r="X31" s="194">
        <v>8140.3</v>
      </c>
      <c r="Y31" s="194">
        <v>2889.17</v>
      </c>
      <c r="Z31" s="196">
        <v>0</v>
      </c>
      <c r="AA31" s="196">
        <v>0</v>
      </c>
      <c r="AB31" s="196">
        <f>SUM(U31:AA31)</f>
        <v>31279.96</v>
      </c>
      <c r="AC31" s="197">
        <f t="shared" si="28"/>
        <v>45296.395</v>
      </c>
      <c r="AD31" s="198">
        <f t="shared" si="29"/>
        <v>0</v>
      </c>
      <c r="AE31" s="198">
        <f t="shared" si="30"/>
        <v>0</v>
      </c>
      <c r="AF31" s="198">
        <f>'[5]Т01-10'!$I$54+'[5]Т01-10'!$I$74+'[5]Т01-10'!$I$95+'[5]Т01-10'!$I$121</f>
        <v>10245.17356</v>
      </c>
      <c r="AG31" s="199">
        <f t="shared" si="31"/>
        <v>3168.5399999999995</v>
      </c>
      <c r="AH31" s="199">
        <f t="shared" si="32"/>
        <v>1056.18</v>
      </c>
      <c r="AI31" s="199">
        <f t="shared" si="33"/>
        <v>5280.9</v>
      </c>
      <c r="AJ31" s="199">
        <v>0</v>
      </c>
      <c r="AK31" s="199">
        <f t="shared" si="34"/>
        <v>5175.281999999999</v>
      </c>
      <c r="AL31" s="199">
        <v>0</v>
      </c>
      <c r="AM31" s="199">
        <f t="shared" si="35"/>
        <v>11882.025</v>
      </c>
      <c r="AN31" s="199">
        <v>0</v>
      </c>
      <c r="AO31" s="199"/>
      <c r="AP31" s="199"/>
      <c r="AQ31" s="200"/>
      <c r="AR31" s="200"/>
      <c r="AS31" s="201">
        <v>1186</v>
      </c>
      <c r="AT31" s="201"/>
      <c r="AU31" s="201">
        <f>AT31*0.18</f>
        <v>0</v>
      </c>
      <c r="AV31" s="202">
        <v>407</v>
      </c>
      <c r="AW31" s="203">
        <v>3.5</v>
      </c>
      <c r="AX31" s="199">
        <f t="shared" si="36"/>
        <v>1994.3</v>
      </c>
      <c r="AY31" s="99"/>
      <c r="AZ31" s="204"/>
      <c r="BA31" s="204">
        <f t="shared" si="37"/>
        <v>0</v>
      </c>
      <c r="BB31" s="204">
        <f t="shared" si="38"/>
        <v>29743.226999999995</v>
      </c>
      <c r="BC31" s="205">
        <f>'[5]Т03-10'!$M$55+'[5]Т03-10'!$M$75+'[5]Т03-10'!$M$96+'[5]Т03-10'!$M$122</f>
        <v>4854.485999999999</v>
      </c>
      <c r="BD31" s="128"/>
      <c r="BE31" s="102">
        <f aca="true" t="shared" si="39" ref="BE31:BE41">(AC31-BB31)+(AF31-BC31)</f>
        <v>20943.855560000004</v>
      </c>
      <c r="BF31" s="102">
        <f aca="true" t="shared" si="40" ref="BF31:BF41">AB31-S31</f>
        <v>-383.3899999999994</v>
      </c>
    </row>
    <row r="32" spans="1:58" ht="13.5" thickBot="1">
      <c r="A32" s="129" t="s">
        <v>45</v>
      </c>
      <c r="B32" s="191">
        <v>5278.1</v>
      </c>
      <c r="C32" s="140">
        <f t="shared" si="24"/>
        <v>45655.565</v>
      </c>
      <c r="D32" s="135">
        <f t="shared" si="25"/>
        <v>4135.215000000002</v>
      </c>
      <c r="E32" s="192">
        <v>3691.26</v>
      </c>
      <c r="F32" s="192">
        <v>1101.73</v>
      </c>
      <c r="G32" s="192">
        <v>4997.45</v>
      </c>
      <c r="H32" s="192">
        <v>1493.42</v>
      </c>
      <c r="I32" s="192">
        <v>12010.89</v>
      </c>
      <c r="J32" s="192">
        <v>3586.66</v>
      </c>
      <c r="K32" s="192">
        <v>8319.62</v>
      </c>
      <c r="L32" s="192">
        <v>2484.96</v>
      </c>
      <c r="M32" s="192">
        <v>2952.99</v>
      </c>
      <c r="N32" s="192">
        <v>881.37</v>
      </c>
      <c r="O32" s="192">
        <v>0</v>
      </c>
      <c r="P32" s="193">
        <v>0</v>
      </c>
      <c r="Q32" s="193">
        <v>0</v>
      </c>
      <c r="R32" s="193">
        <v>0</v>
      </c>
      <c r="S32" s="194">
        <f t="shared" si="26"/>
        <v>31972.21</v>
      </c>
      <c r="T32" s="195">
        <f t="shared" si="27"/>
        <v>9548.14</v>
      </c>
      <c r="U32" s="194">
        <v>3565.72</v>
      </c>
      <c r="V32" s="194">
        <v>4883.92</v>
      </c>
      <c r="W32" s="194">
        <v>11599.91</v>
      </c>
      <c r="X32" s="194">
        <v>8037.09</v>
      </c>
      <c r="Y32" s="194">
        <v>2852.57</v>
      </c>
      <c r="Z32" s="196">
        <v>0</v>
      </c>
      <c r="AA32" s="196">
        <v>0</v>
      </c>
      <c r="AB32" s="196">
        <f>SUM(U32:AA32)</f>
        <v>30939.21</v>
      </c>
      <c r="AC32" s="197">
        <f t="shared" si="28"/>
        <v>44622.565</v>
      </c>
      <c r="AD32" s="198">
        <f t="shared" si="29"/>
        <v>0</v>
      </c>
      <c r="AE32" s="198">
        <f t="shared" si="30"/>
        <v>0</v>
      </c>
      <c r="AF32" s="198">
        <f>'[5]Т01-10'!$I$54+'[5]Т01-10'!$I$74+'[5]Т01-10'!$I$95+'[5]Т01-10'!$I$121</f>
        <v>10245.17356</v>
      </c>
      <c r="AG32" s="199">
        <f t="shared" si="31"/>
        <v>3166.86</v>
      </c>
      <c r="AH32" s="199">
        <f t="shared" si="32"/>
        <v>1055.6200000000001</v>
      </c>
      <c r="AI32" s="199">
        <f t="shared" si="33"/>
        <v>5278.1</v>
      </c>
      <c r="AJ32" s="199">
        <v>0</v>
      </c>
      <c r="AK32" s="199">
        <f t="shared" si="34"/>
        <v>5172.5380000000005</v>
      </c>
      <c r="AL32" s="199">
        <v>0</v>
      </c>
      <c r="AM32" s="199">
        <f t="shared" si="35"/>
        <v>11875.725</v>
      </c>
      <c r="AN32" s="199">
        <v>0</v>
      </c>
      <c r="AO32" s="199"/>
      <c r="AP32" s="199"/>
      <c r="AQ32" s="200">
        <v>10654</v>
      </c>
      <c r="AR32" s="200"/>
      <c r="AS32" s="201">
        <v>275</v>
      </c>
      <c r="AT32" s="201"/>
      <c r="AU32" s="201">
        <f>AT32*0.18</f>
        <v>0</v>
      </c>
      <c r="AV32" s="202">
        <v>383</v>
      </c>
      <c r="AW32" s="203">
        <v>3.5</v>
      </c>
      <c r="AX32" s="199">
        <f t="shared" si="36"/>
        <v>1876.6999999999998</v>
      </c>
      <c r="AY32" s="99"/>
      <c r="AZ32" s="204"/>
      <c r="BA32" s="204">
        <f t="shared" si="37"/>
        <v>0</v>
      </c>
      <c r="BB32" s="204">
        <f t="shared" si="38"/>
        <v>39354.543</v>
      </c>
      <c r="BC32" s="205">
        <f>'[5]Т03-10'!$M$55+'[5]Т03-10'!$M$75+'[5]Т03-10'!$M$96+'[5]Т03-10'!$M$122</f>
        <v>4854.485999999999</v>
      </c>
      <c r="BD32" s="131"/>
      <c r="BE32" s="102">
        <f t="shared" si="39"/>
        <v>10658.709560000005</v>
      </c>
      <c r="BF32" s="102">
        <f t="shared" si="40"/>
        <v>-1033</v>
      </c>
    </row>
    <row r="33" spans="1:58" ht="12.75">
      <c r="A33" s="133" t="s">
        <v>46</v>
      </c>
      <c r="B33" s="191">
        <v>5278.1</v>
      </c>
      <c r="C33" s="140">
        <f t="shared" si="24"/>
        <v>45655.565</v>
      </c>
      <c r="D33" s="135">
        <f t="shared" si="25"/>
        <v>4110.485000000008</v>
      </c>
      <c r="E33" s="192">
        <v>3778.83</v>
      </c>
      <c r="F33" s="192">
        <v>1017.09</v>
      </c>
      <c r="G33" s="192">
        <v>5115.96</v>
      </c>
      <c r="H33" s="192">
        <v>1378.7</v>
      </c>
      <c r="I33" s="192">
        <v>12295.78</v>
      </c>
      <c r="J33" s="192">
        <v>3311.06</v>
      </c>
      <c r="K33" s="192">
        <v>8516.98</v>
      </c>
      <c r="L33" s="192">
        <v>2294</v>
      </c>
      <c r="M33" s="192">
        <v>3022.99</v>
      </c>
      <c r="N33" s="192">
        <v>813.69</v>
      </c>
      <c r="O33" s="192">
        <v>0</v>
      </c>
      <c r="P33" s="193">
        <v>0</v>
      </c>
      <c r="Q33" s="193"/>
      <c r="R33" s="193"/>
      <c r="S33" s="194">
        <f t="shared" si="26"/>
        <v>32730.54</v>
      </c>
      <c r="T33" s="195">
        <f t="shared" si="27"/>
        <v>8814.539999999999</v>
      </c>
      <c r="U33" s="194">
        <v>3866.11</v>
      </c>
      <c r="V33" s="194">
        <v>5219.22</v>
      </c>
      <c r="W33" s="194">
        <v>12564.78</v>
      </c>
      <c r="X33" s="194">
        <v>8698.76</v>
      </c>
      <c r="Y33" s="194">
        <v>3092.88</v>
      </c>
      <c r="Z33" s="196">
        <v>0</v>
      </c>
      <c r="AA33" s="196">
        <v>0</v>
      </c>
      <c r="AB33" s="196">
        <f>SUM(U33:AA33)</f>
        <v>33441.75</v>
      </c>
      <c r="AC33" s="197">
        <f t="shared" si="28"/>
        <v>46366.77500000001</v>
      </c>
      <c r="AD33" s="198">
        <f t="shared" si="29"/>
        <v>0</v>
      </c>
      <c r="AE33" s="198">
        <f t="shared" si="30"/>
        <v>0</v>
      </c>
      <c r="AF33" s="198">
        <f>'[6]Т04-10'!$I$55+'[6]Т04-10'!$I$75+'[6]Т04-10'!$I$96+'[6]Т04-10'!$I$122</f>
        <v>10245.17356</v>
      </c>
      <c r="AG33" s="199">
        <f t="shared" si="31"/>
        <v>3166.86</v>
      </c>
      <c r="AH33" s="199">
        <f t="shared" si="32"/>
        <v>1055.6200000000001</v>
      </c>
      <c r="AI33" s="199">
        <f t="shared" si="33"/>
        <v>5278.1</v>
      </c>
      <c r="AJ33" s="199">
        <v>0</v>
      </c>
      <c r="AK33" s="199">
        <f t="shared" si="34"/>
        <v>5172.5380000000005</v>
      </c>
      <c r="AL33" s="199">
        <v>0</v>
      </c>
      <c r="AM33" s="199">
        <f t="shared" si="35"/>
        <v>11875.725</v>
      </c>
      <c r="AN33" s="199">
        <v>0</v>
      </c>
      <c r="AO33" s="199"/>
      <c r="AP33" s="199"/>
      <c r="AQ33" s="200"/>
      <c r="AR33" s="200"/>
      <c r="AS33" s="201">
        <v>22767</v>
      </c>
      <c r="AT33" s="201"/>
      <c r="AU33" s="201">
        <f>AT33*0</f>
        <v>0</v>
      </c>
      <c r="AV33" s="202">
        <v>307</v>
      </c>
      <c r="AW33" s="203">
        <v>3.5</v>
      </c>
      <c r="AX33" s="199">
        <f t="shared" si="36"/>
        <v>1504.3</v>
      </c>
      <c r="AY33" s="99"/>
      <c r="AZ33" s="204"/>
      <c r="BA33" s="204">
        <f t="shared" si="37"/>
        <v>0</v>
      </c>
      <c r="BB33" s="204">
        <f t="shared" si="38"/>
        <v>50820.143000000004</v>
      </c>
      <c r="BC33" s="205">
        <f>'[6]Т04-10'!$M$55+'[6]Т04-10'!$M$75+'[6]Т04-10'!$M$96+'[6]Т04-10'!$M$122</f>
        <v>4854.485999999999</v>
      </c>
      <c r="BD33" s="45"/>
      <c r="BE33" s="102">
        <f t="shared" si="39"/>
        <v>937.3195600000054</v>
      </c>
      <c r="BF33" s="102">
        <f t="shared" si="40"/>
        <v>711.2099999999991</v>
      </c>
    </row>
    <row r="34" spans="1:58" ht="12.75">
      <c r="A34" s="11" t="s">
        <v>47</v>
      </c>
      <c r="B34" s="191">
        <v>5283.52</v>
      </c>
      <c r="C34" s="140">
        <f t="shared" si="24"/>
        <v>45702.448000000004</v>
      </c>
      <c r="D34" s="135">
        <f t="shared" si="25"/>
        <v>4140.517999999998</v>
      </c>
      <c r="E34" s="192">
        <v>3716.23</v>
      </c>
      <c r="F34" s="192">
        <v>1081.55</v>
      </c>
      <c r="G34" s="192">
        <v>5031.29</v>
      </c>
      <c r="H34" s="192">
        <v>1466.07</v>
      </c>
      <c r="I34" s="192">
        <v>12092.21</v>
      </c>
      <c r="J34" s="192">
        <v>3520.96</v>
      </c>
      <c r="K34" s="192">
        <v>8375.94</v>
      </c>
      <c r="L34" s="192">
        <v>2439.43</v>
      </c>
      <c r="M34" s="192">
        <v>2973</v>
      </c>
      <c r="N34" s="192">
        <v>865.25</v>
      </c>
      <c r="O34" s="192">
        <v>0</v>
      </c>
      <c r="P34" s="193">
        <v>0</v>
      </c>
      <c r="Q34" s="193"/>
      <c r="R34" s="193"/>
      <c r="S34" s="194">
        <f t="shared" si="26"/>
        <v>32188.67</v>
      </c>
      <c r="T34" s="195">
        <f t="shared" si="27"/>
        <v>9373.259999999998</v>
      </c>
      <c r="U34" s="151">
        <v>3525.43</v>
      </c>
      <c r="V34" s="151">
        <v>4773.1</v>
      </c>
      <c r="W34" s="151">
        <v>11468.58</v>
      </c>
      <c r="X34" s="151">
        <v>7938.76</v>
      </c>
      <c r="Y34" s="151">
        <v>2809.27</v>
      </c>
      <c r="Z34" s="152">
        <v>0</v>
      </c>
      <c r="AA34" s="152">
        <v>0</v>
      </c>
      <c r="AB34" s="196">
        <f aca="true" t="shared" si="41" ref="AB34:AB41">SUM(U34:AA34)</f>
        <v>30515.140000000003</v>
      </c>
      <c r="AC34" s="197">
        <f t="shared" si="28"/>
        <v>44028.918</v>
      </c>
      <c r="AD34" s="198">
        <f t="shared" si="29"/>
        <v>0</v>
      </c>
      <c r="AE34" s="198">
        <f t="shared" si="30"/>
        <v>0</v>
      </c>
      <c r="AF34" s="198">
        <f>'[6]Т04-10'!$I$55+'[6]Т04-10'!$I$75+'[6]Т04-10'!$I$96+'[6]Т04-10'!$I$122</f>
        <v>10245.17356</v>
      </c>
      <c r="AG34" s="199">
        <f t="shared" si="31"/>
        <v>3170.112</v>
      </c>
      <c r="AH34" s="199">
        <f t="shared" si="32"/>
        <v>1056.7040000000002</v>
      </c>
      <c r="AI34" s="199">
        <f t="shared" si="33"/>
        <v>5283.52</v>
      </c>
      <c r="AJ34" s="199">
        <v>0</v>
      </c>
      <c r="AK34" s="199">
        <f t="shared" si="34"/>
        <v>5177.8496000000005</v>
      </c>
      <c r="AL34" s="199">
        <v>0</v>
      </c>
      <c r="AM34" s="199">
        <f t="shared" si="35"/>
        <v>11887.920000000002</v>
      </c>
      <c r="AN34" s="199">
        <v>0</v>
      </c>
      <c r="AO34" s="199"/>
      <c r="AP34" s="199"/>
      <c r="AQ34" s="200"/>
      <c r="AR34" s="200"/>
      <c r="AS34" s="201">
        <v>407</v>
      </c>
      <c r="AT34" s="201"/>
      <c r="AU34" s="201">
        <f>385*0</f>
        <v>0</v>
      </c>
      <c r="AV34" s="202">
        <v>263</v>
      </c>
      <c r="AW34" s="203">
        <v>3.5</v>
      </c>
      <c r="AX34" s="199">
        <f t="shared" si="36"/>
        <v>1288.6999999999998</v>
      </c>
      <c r="AY34" s="99"/>
      <c r="AZ34" s="204"/>
      <c r="BA34" s="204">
        <f t="shared" si="37"/>
        <v>0</v>
      </c>
      <c r="BB34" s="204">
        <f t="shared" si="38"/>
        <v>28271.805600000003</v>
      </c>
      <c r="BC34" s="205">
        <f>'[6]Т04-10'!$M$55+'[6]Т04-10'!$M$75+'[6]Т04-10'!$M$96+'[6]Т04-10'!$M$122</f>
        <v>4854.485999999999</v>
      </c>
      <c r="BD34" s="26"/>
      <c r="BE34" s="102">
        <f t="shared" si="39"/>
        <v>21147.799959999997</v>
      </c>
      <c r="BF34" s="102">
        <f t="shared" si="40"/>
        <v>-1673.5299999999952</v>
      </c>
    </row>
    <row r="35" spans="1:58" ht="13.5" thickBot="1">
      <c r="A35" s="129" t="s">
        <v>48</v>
      </c>
      <c r="B35" s="191">
        <v>5283.52</v>
      </c>
      <c r="C35" s="140">
        <f t="shared" si="24"/>
        <v>45702.448000000004</v>
      </c>
      <c r="D35" s="135">
        <f t="shared" si="25"/>
        <v>4159.998000000003</v>
      </c>
      <c r="E35" s="192">
        <v>3650.48</v>
      </c>
      <c r="F35" s="192">
        <v>1145.02</v>
      </c>
      <c r="G35" s="192">
        <v>4942.26</v>
      </c>
      <c r="H35" s="192">
        <v>1552.1</v>
      </c>
      <c r="I35" s="192">
        <v>11878.22</v>
      </c>
      <c r="J35" s="192">
        <v>3727.66</v>
      </c>
      <c r="K35" s="192">
        <v>8227.65</v>
      </c>
      <c r="L35" s="192">
        <v>2582.67</v>
      </c>
      <c r="M35" s="192">
        <v>2920.39</v>
      </c>
      <c r="N35" s="192">
        <v>916</v>
      </c>
      <c r="O35" s="192">
        <v>0</v>
      </c>
      <c r="P35" s="193">
        <v>0</v>
      </c>
      <c r="Q35" s="192">
        <v>0</v>
      </c>
      <c r="R35" s="193">
        <v>0</v>
      </c>
      <c r="S35" s="194">
        <f t="shared" si="26"/>
        <v>31619</v>
      </c>
      <c r="T35" s="195">
        <f t="shared" si="27"/>
        <v>9923.45</v>
      </c>
      <c r="U35" s="194">
        <v>3782.1</v>
      </c>
      <c r="V35" s="194">
        <v>5120.9</v>
      </c>
      <c r="W35" s="194">
        <v>12304.04</v>
      </c>
      <c r="X35" s="194">
        <v>8531.75</v>
      </c>
      <c r="Y35" s="194">
        <v>3036.27</v>
      </c>
      <c r="Z35" s="196">
        <v>0</v>
      </c>
      <c r="AA35" s="196">
        <v>0</v>
      </c>
      <c r="AB35" s="196">
        <f t="shared" si="41"/>
        <v>32775.06</v>
      </c>
      <c r="AC35" s="197">
        <f t="shared" si="28"/>
        <v>46858.508</v>
      </c>
      <c r="AD35" s="198">
        <f t="shared" si="29"/>
        <v>0</v>
      </c>
      <c r="AE35" s="198">
        <f t="shared" si="30"/>
        <v>0</v>
      </c>
      <c r="AF35" s="198">
        <f>'[7]Т06-10'!$I$55+'[7]Т06-10'!$I$73+'[7]Т06-10'!$I$94+'[7]Т06-10'!$I$119</f>
        <v>10245.17356</v>
      </c>
      <c r="AG35" s="199">
        <f t="shared" si="31"/>
        <v>3170.112</v>
      </c>
      <c r="AH35" s="199">
        <f t="shared" si="32"/>
        <v>1056.7040000000002</v>
      </c>
      <c r="AI35" s="199">
        <f t="shared" si="33"/>
        <v>5283.52</v>
      </c>
      <c r="AJ35" s="199">
        <v>0</v>
      </c>
      <c r="AK35" s="199">
        <f t="shared" si="34"/>
        <v>5177.8496000000005</v>
      </c>
      <c r="AL35" s="199">
        <v>0</v>
      </c>
      <c r="AM35" s="199">
        <f t="shared" si="35"/>
        <v>11887.920000000002</v>
      </c>
      <c r="AN35" s="199">
        <v>0</v>
      </c>
      <c r="AO35" s="199"/>
      <c r="AP35" s="199"/>
      <c r="AQ35" s="200">
        <v>100</v>
      </c>
      <c r="AR35" s="200"/>
      <c r="AS35" s="201"/>
      <c r="AT35" s="201"/>
      <c r="AU35" s="201">
        <f>AT35*0.18</f>
        <v>0</v>
      </c>
      <c r="AV35" s="202">
        <v>233</v>
      </c>
      <c r="AW35" s="203">
        <v>3.5</v>
      </c>
      <c r="AX35" s="199">
        <f t="shared" si="36"/>
        <v>1141.6999999999998</v>
      </c>
      <c r="AY35" s="99"/>
      <c r="AZ35" s="204"/>
      <c r="BA35" s="204">
        <f t="shared" si="37"/>
        <v>0</v>
      </c>
      <c r="BB35" s="204">
        <f t="shared" si="38"/>
        <v>27817.805600000003</v>
      </c>
      <c r="BC35" s="205">
        <f>'[6]Т06-10'!$M$55+'[6]Т06-10'!$M$73+'[6]Т06-10'!$M$94+'[6]Т06-10'!$M$119</f>
        <v>4854.485999999999</v>
      </c>
      <c r="BD35" s="136"/>
      <c r="BE35" s="102">
        <f t="shared" si="39"/>
        <v>24431.38996</v>
      </c>
      <c r="BF35" s="102">
        <f t="shared" si="40"/>
        <v>1156.0599999999977</v>
      </c>
    </row>
    <row r="36" spans="1:58" ht="12.75">
      <c r="A36" s="133" t="s">
        <v>49</v>
      </c>
      <c r="B36" s="191">
        <v>5283.52</v>
      </c>
      <c r="C36" s="140">
        <f t="shared" si="24"/>
        <v>45702.448000000004</v>
      </c>
      <c r="D36" s="135">
        <f t="shared" si="25"/>
        <v>4064.4380000000024</v>
      </c>
      <c r="E36" s="211">
        <v>4770.73</v>
      </c>
      <c r="F36" s="192">
        <v>36</v>
      </c>
      <c r="G36" s="192">
        <v>6460.21</v>
      </c>
      <c r="H36" s="192">
        <v>48.8</v>
      </c>
      <c r="I36" s="192">
        <v>15524.62</v>
      </c>
      <c r="J36" s="192">
        <v>117.2</v>
      </c>
      <c r="K36" s="192">
        <v>10753.85</v>
      </c>
      <c r="L36" s="192">
        <v>81.2</v>
      </c>
      <c r="M36" s="192">
        <v>3816.6</v>
      </c>
      <c r="N36" s="192">
        <v>28.8</v>
      </c>
      <c r="O36" s="192">
        <v>0</v>
      </c>
      <c r="P36" s="193">
        <v>0</v>
      </c>
      <c r="Q36" s="193"/>
      <c r="R36" s="193"/>
      <c r="S36" s="194">
        <f t="shared" si="26"/>
        <v>41326.009999999995</v>
      </c>
      <c r="T36" s="195">
        <f t="shared" si="27"/>
        <v>312</v>
      </c>
      <c r="U36" s="212">
        <v>3982.48</v>
      </c>
      <c r="V36" s="194">
        <v>5390.4</v>
      </c>
      <c r="W36" s="194">
        <v>12954.45</v>
      </c>
      <c r="X36" s="194">
        <v>8974.87</v>
      </c>
      <c r="Y36" s="194">
        <v>3186.45</v>
      </c>
      <c r="Z36" s="196">
        <v>0</v>
      </c>
      <c r="AA36" s="196">
        <v>0</v>
      </c>
      <c r="AB36" s="196">
        <f t="shared" si="41"/>
        <v>34488.65</v>
      </c>
      <c r="AC36" s="197">
        <f t="shared" si="28"/>
        <v>38865.088</v>
      </c>
      <c r="AD36" s="198">
        <f t="shared" si="29"/>
        <v>0</v>
      </c>
      <c r="AE36" s="198">
        <f t="shared" si="30"/>
        <v>0</v>
      </c>
      <c r="AF36" s="198">
        <f>'[7]Т07-10'!$I$55+'[7]Т07-10'!$I$72+'[7]Т07-10'!$I$93+'[7]Т07-10'!$I$118</f>
        <v>10245.17356</v>
      </c>
      <c r="AG36" s="199">
        <f t="shared" si="31"/>
        <v>3170.112</v>
      </c>
      <c r="AH36" s="199">
        <f t="shared" si="32"/>
        <v>1056.7040000000002</v>
      </c>
      <c r="AI36" s="199">
        <f t="shared" si="33"/>
        <v>5283.52</v>
      </c>
      <c r="AJ36" s="199">
        <v>0</v>
      </c>
      <c r="AK36" s="199">
        <f t="shared" si="34"/>
        <v>5177.8496000000005</v>
      </c>
      <c r="AL36" s="199">
        <v>0</v>
      </c>
      <c r="AM36" s="199">
        <f t="shared" si="35"/>
        <v>11887.920000000002</v>
      </c>
      <c r="AN36" s="199">
        <v>0</v>
      </c>
      <c r="AO36" s="199"/>
      <c r="AP36" s="199"/>
      <c r="AQ36" s="200">
        <v>46605</v>
      </c>
      <c r="AR36" s="200"/>
      <c r="AS36" s="201"/>
      <c r="AT36" s="201">
        <f>6192.41-0.02+18114.38+30915.28+6901.7+3029.68</f>
        <v>65153.43</v>
      </c>
      <c r="AU36" s="201">
        <f>(18114.38+30915.28+6901.7+3029.68)*0.18-0.03</f>
        <v>10612.957199999999</v>
      </c>
      <c r="AV36" s="202">
        <v>248</v>
      </c>
      <c r="AW36" s="203">
        <v>3.5</v>
      </c>
      <c r="AX36" s="199">
        <f t="shared" si="36"/>
        <v>1215.1999999999998</v>
      </c>
      <c r="AY36" s="99"/>
      <c r="AZ36" s="204"/>
      <c r="BA36" s="204">
        <f t="shared" si="37"/>
        <v>0</v>
      </c>
      <c r="BB36" s="204">
        <f t="shared" si="38"/>
        <v>150162.69280000002</v>
      </c>
      <c r="BC36" s="205">
        <f>'[7]Т07-10'!$M$55+'[7]Т07-10'!$M$72+'[7]Т07-10'!$M$93+'[7]Т07-10'!$M$118</f>
        <v>4854.485999999999</v>
      </c>
      <c r="BD36" s="26"/>
      <c r="BE36" s="102">
        <f t="shared" si="39"/>
        <v>-105906.91724000001</v>
      </c>
      <c r="BF36" s="102">
        <f t="shared" si="40"/>
        <v>-6837.359999999993</v>
      </c>
    </row>
    <row r="37" spans="1:58" ht="12.75">
      <c r="A37" s="11" t="s">
        <v>50</v>
      </c>
      <c r="B37" s="191">
        <v>5282.42</v>
      </c>
      <c r="C37" s="140">
        <f t="shared" si="24"/>
        <v>45692.933000000005</v>
      </c>
      <c r="D37" s="189">
        <f>C37-E37-F37-G37-H37-I37-J37-K37-L37-M37-N37+93500</f>
        <v>97564.973</v>
      </c>
      <c r="E37" s="211">
        <v>4769.57</v>
      </c>
      <c r="F37" s="192">
        <v>36</v>
      </c>
      <c r="G37" s="192">
        <v>6458.64</v>
      </c>
      <c r="H37" s="192">
        <v>48.8</v>
      </c>
      <c r="I37" s="192">
        <v>15520.85</v>
      </c>
      <c r="J37" s="192">
        <v>117.2</v>
      </c>
      <c r="K37" s="192">
        <v>10751.23</v>
      </c>
      <c r="L37" s="192">
        <v>81.2</v>
      </c>
      <c r="M37" s="192">
        <v>3815.67</v>
      </c>
      <c r="N37" s="192">
        <v>28.8</v>
      </c>
      <c r="O37" s="192">
        <v>0</v>
      </c>
      <c r="P37" s="193">
        <v>0</v>
      </c>
      <c r="Q37" s="193"/>
      <c r="R37" s="193"/>
      <c r="S37" s="194">
        <f t="shared" si="26"/>
        <v>41315.95999999999</v>
      </c>
      <c r="T37" s="195">
        <f t="shared" si="27"/>
        <v>312</v>
      </c>
      <c r="U37" s="151">
        <v>4459.63</v>
      </c>
      <c r="V37" s="151">
        <v>6040.3</v>
      </c>
      <c r="W37" s="151">
        <v>14511.45</v>
      </c>
      <c r="X37" s="151">
        <v>10054.19</v>
      </c>
      <c r="Y37" s="151">
        <v>3567.76</v>
      </c>
      <c r="Z37" s="152">
        <v>0</v>
      </c>
      <c r="AA37" s="152">
        <v>0</v>
      </c>
      <c r="AB37" s="196">
        <f t="shared" si="41"/>
        <v>38633.33</v>
      </c>
      <c r="AC37" s="197">
        <f t="shared" si="28"/>
        <v>136510.303</v>
      </c>
      <c r="AD37" s="198">
        <f t="shared" si="29"/>
        <v>0</v>
      </c>
      <c r="AE37" s="198">
        <f t="shared" si="30"/>
        <v>0</v>
      </c>
      <c r="AF37" s="198">
        <f>'[7]Т07-10'!$I$55+'[7]Т07-10'!$I$72+'[7]Т07-10'!$I$93+'[7]Т07-10'!$I$118</f>
        <v>10245.17356</v>
      </c>
      <c r="AG37" s="199">
        <f t="shared" si="31"/>
        <v>3169.4519999999998</v>
      </c>
      <c r="AH37" s="199">
        <f t="shared" si="32"/>
        <v>1056.4840000000002</v>
      </c>
      <c r="AI37" s="199">
        <f t="shared" si="33"/>
        <v>5282.42</v>
      </c>
      <c r="AJ37" s="199">
        <v>0</v>
      </c>
      <c r="AK37" s="199">
        <f t="shared" si="34"/>
        <v>5176.7716</v>
      </c>
      <c r="AL37" s="199">
        <v>0</v>
      </c>
      <c r="AM37" s="199">
        <f t="shared" si="35"/>
        <v>11885.445</v>
      </c>
      <c r="AN37" s="199">
        <v>0</v>
      </c>
      <c r="AO37" s="199">
        <v>7403.4</v>
      </c>
      <c r="AP37" s="199"/>
      <c r="AQ37" s="200"/>
      <c r="AR37" s="200"/>
      <c r="AS37" s="201"/>
      <c r="AT37" s="201">
        <f>59336.26+47.8+84</f>
        <v>59468.060000000005</v>
      </c>
      <c r="AU37" s="201">
        <f>0*0.18</f>
        <v>0</v>
      </c>
      <c r="AV37" s="202">
        <v>293</v>
      </c>
      <c r="AW37" s="203">
        <v>3.5</v>
      </c>
      <c r="AX37" s="199">
        <f t="shared" si="36"/>
        <v>1435.6999999999998</v>
      </c>
      <c r="AY37" s="99"/>
      <c r="AZ37" s="204"/>
      <c r="BA37" s="204">
        <f t="shared" si="37"/>
        <v>0</v>
      </c>
      <c r="BB37" s="204">
        <f t="shared" si="38"/>
        <v>94877.7326</v>
      </c>
      <c r="BC37" s="205">
        <f>'[6]Т06-10'!$M$55+'[6]Т06-10'!$M$73+'[6]Т06-10'!$M$94+'[6]Т06-10'!$M$119</f>
        <v>4854.485999999999</v>
      </c>
      <c r="BD37" s="26"/>
      <c r="BE37" s="102">
        <f t="shared" si="39"/>
        <v>47023.25796000001</v>
      </c>
      <c r="BF37" s="102">
        <f t="shared" si="40"/>
        <v>-2682.62999999999</v>
      </c>
    </row>
    <row r="38" spans="1:58" ht="13.5" thickBot="1">
      <c r="A38" s="129" t="s">
        <v>51</v>
      </c>
      <c r="B38" s="188">
        <v>5282.42</v>
      </c>
      <c r="C38" s="140">
        <f t="shared" si="24"/>
        <v>45692.933000000005</v>
      </c>
      <c r="D38" s="189">
        <f>C38-E38-F38-G38-H38-I38-J38-K38-L38-M38-N38+50000</f>
        <v>54064.443</v>
      </c>
      <c r="E38" s="192">
        <v>4769.63</v>
      </c>
      <c r="F38" s="192">
        <v>36</v>
      </c>
      <c r="G38" s="192">
        <v>6458.73</v>
      </c>
      <c r="H38" s="192">
        <v>48.8</v>
      </c>
      <c r="I38" s="192">
        <v>15521.03</v>
      </c>
      <c r="J38" s="192">
        <v>117.2</v>
      </c>
      <c r="K38" s="192">
        <v>10751.38</v>
      </c>
      <c r="L38" s="192">
        <v>81.2</v>
      </c>
      <c r="M38" s="192">
        <v>3815.72</v>
      </c>
      <c r="N38" s="192">
        <v>28.8</v>
      </c>
      <c r="O38" s="192">
        <v>0</v>
      </c>
      <c r="P38" s="193">
        <v>0</v>
      </c>
      <c r="Q38" s="193"/>
      <c r="R38" s="193"/>
      <c r="S38" s="194">
        <f t="shared" si="26"/>
        <v>41316.49</v>
      </c>
      <c r="T38" s="195">
        <f t="shared" si="27"/>
        <v>312</v>
      </c>
      <c r="U38" s="194">
        <v>5336.32</v>
      </c>
      <c r="V38" s="194">
        <v>7170.84</v>
      </c>
      <c r="W38" s="194">
        <v>17234.79</v>
      </c>
      <c r="X38" s="194">
        <v>11938.72</v>
      </c>
      <c r="Y38" s="194">
        <v>4238.41</v>
      </c>
      <c r="Z38" s="196">
        <v>0</v>
      </c>
      <c r="AA38" s="196">
        <v>0</v>
      </c>
      <c r="AB38" s="196">
        <f t="shared" si="41"/>
        <v>45919.08</v>
      </c>
      <c r="AC38" s="197">
        <f t="shared" si="28"/>
        <v>100295.523</v>
      </c>
      <c r="AD38" s="198">
        <f t="shared" si="29"/>
        <v>0</v>
      </c>
      <c r="AE38" s="198">
        <f t="shared" si="30"/>
        <v>0</v>
      </c>
      <c r="AF38" s="198">
        <f>'[7]Т07-10'!$I$55+'[7]Т07-10'!$I$72+'[7]Т07-10'!$I$93+'[7]Т07-10'!$I$118</f>
        <v>10245.17356</v>
      </c>
      <c r="AG38" s="199">
        <f t="shared" si="31"/>
        <v>3169.4519999999998</v>
      </c>
      <c r="AH38" s="199">
        <f t="shared" si="32"/>
        <v>1056.4840000000002</v>
      </c>
      <c r="AI38" s="199">
        <f t="shared" si="33"/>
        <v>5282.42</v>
      </c>
      <c r="AJ38" s="199">
        <v>0</v>
      </c>
      <c r="AK38" s="199">
        <f t="shared" si="34"/>
        <v>5176.7716</v>
      </c>
      <c r="AL38" s="199">
        <v>0</v>
      </c>
      <c r="AM38" s="199">
        <f t="shared" si="35"/>
        <v>11885.445</v>
      </c>
      <c r="AN38" s="199">
        <v>0</v>
      </c>
      <c r="AO38" s="199"/>
      <c r="AP38" s="199"/>
      <c r="AQ38" s="200"/>
      <c r="AR38" s="200"/>
      <c r="AS38" s="201">
        <v>5291</v>
      </c>
      <c r="AT38" s="201"/>
      <c r="AU38" s="213">
        <f>0*0.18</f>
        <v>0</v>
      </c>
      <c r="AV38" s="202">
        <v>349</v>
      </c>
      <c r="AW38" s="203">
        <v>3.5</v>
      </c>
      <c r="AX38" s="199">
        <f t="shared" si="36"/>
        <v>1710.1</v>
      </c>
      <c r="AY38" s="99"/>
      <c r="AZ38" s="204"/>
      <c r="BA38" s="204">
        <f t="shared" si="37"/>
        <v>0</v>
      </c>
      <c r="BB38" s="204">
        <f t="shared" si="38"/>
        <v>33571.6726</v>
      </c>
      <c r="BC38" s="205">
        <f>'[6]Т06-10'!$M$55+'[6]Т06-10'!$M$73+'[6]Т06-10'!$M$94+'[6]Т06-10'!$M$119</f>
        <v>4854.485999999999</v>
      </c>
      <c r="BD38" s="136"/>
      <c r="BE38" s="102">
        <f t="shared" si="39"/>
        <v>72114.53796</v>
      </c>
      <c r="BF38" s="102">
        <f t="shared" si="40"/>
        <v>4602.590000000004</v>
      </c>
    </row>
    <row r="39" spans="1:58" ht="12.75">
      <c r="A39" s="139" t="s">
        <v>39</v>
      </c>
      <c r="B39" s="191">
        <v>5282.42</v>
      </c>
      <c r="C39" s="140">
        <f t="shared" si="24"/>
        <v>45692.933000000005</v>
      </c>
      <c r="D39" s="135">
        <f>C39-E39-F39-G39-H39-I39-J39-K39-L39-M39-N39</f>
        <v>4031.6030000000055</v>
      </c>
      <c r="E39" s="64">
        <v>4773.49</v>
      </c>
      <c r="F39" s="64">
        <v>36</v>
      </c>
      <c r="G39" s="64">
        <v>6463.74</v>
      </c>
      <c r="H39" s="64">
        <v>48.8</v>
      </c>
      <c r="I39" s="64">
        <v>15533.41</v>
      </c>
      <c r="J39" s="64">
        <v>117.2</v>
      </c>
      <c r="K39" s="64">
        <v>10759.89</v>
      </c>
      <c r="L39" s="64">
        <v>81.2</v>
      </c>
      <c r="M39" s="64">
        <v>3818.8</v>
      </c>
      <c r="N39" s="64">
        <v>28.8</v>
      </c>
      <c r="O39" s="64">
        <v>0</v>
      </c>
      <c r="P39" s="186">
        <v>0</v>
      </c>
      <c r="Q39" s="186"/>
      <c r="R39" s="186"/>
      <c r="S39" s="194">
        <f t="shared" si="26"/>
        <v>41349.33</v>
      </c>
      <c r="T39" s="195">
        <f t="shared" si="27"/>
        <v>312</v>
      </c>
      <c r="U39" s="194">
        <v>5239.8</v>
      </c>
      <c r="V39" s="194">
        <v>7093.48</v>
      </c>
      <c r="W39" s="194">
        <v>17046.8</v>
      </c>
      <c r="X39" s="194">
        <v>11809.32</v>
      </c>
      <c r="Y39" s="194">
        <v>4191.79</v>
      </c>
      <c r="Z39" s="196">
        <v>0</v>
      </c>
      <c r="AA39" s="196">
        <v>0</v>
      </c>
      <c r="AB39" s="196">
        <f t="shared" si="41"/>
        <v>45381.189999999995</v>
      </c>
      <c r="AC39" s="197">
        <f t="shared" si="28"/>
        <v>49724.793</v>
      </c>
      <c r="AD39" s="198">
        <f t="shared" si="29"/>
        <v>0</v>
      </c>
      <c r="AE39" s="198">
        <f t="shared" si="30"/>
        <v>0</v>
      </c>
      <c r="AF39" s="198">
        <f>'[7]Т10-10'!$I$55+'[7]Т10-10'!$I$72+'[7]Т10-10'!$I$93+'[7]Т10-10'!$I$119+150</f>
        <v>10395.183560000001</v>
      </c>
      <c r="AG39" s="199">
        <f t="shared" si="31"/>
        <v>3169.4519999999998</v>
      </c>
      <c r="AH39" s="199">
        <f t="shared" si="32"/>
        <v>1056.4840000000002</v>
      </c>
      <c r="AI39" s="199">
        <f t="shared" si="33"/>
        <v>5282.42</v>
      </c>
      <c r="AJ39" s="199">
        <v>0</v>
      </c>
      <c r="AK39" s="199">
        <f t="shared" si="34"/>
        <v>5176.7716</v>
      </c>
      <c r="AL39" s="199">
        <v>0</v>
      </c>
      <c r="AM39" s="199">
        <f t="shared" si="35"/>
        <v>11885.445</v>
      </c>
      <c r="AN39" s="199">
        <v>0</v>
      </c>
      <c r="AO39" s="199"/>
      <c r="AP39" s="199"/>
      <c r="AQ39" s="200">
        <f>22557+24338</f>
        <v>46895</v>
      </c>
      <c r="AR39" s="200"/>
      <c r="AS39" s="201">
        <v>5785</v>
      </c>
      <c r="AT39" s="201">
        <f>42+168</f>
        <v>210</v>
      </c>
      <c r="AU39" s="201">
        <f>0*0.18</f>
        <v>0</v>
      </c>
      <c r="AV39" s="202">
        <v>425</v>
      </c>
      <c r="AW39" s="203">
        <v>3.5</v>
      </c>
      <c r="AX39" s="199">
        <f t="shared" si="36"/>
        <v>2082.5</v>
      </c>
      <c r="AY39" s="99"/>
      <c r="AZ39" s="204"/>
      <c r="BA39" s="204">
        <f>0</f>
        <v>0</v>
      </c>
      <c r="BB39" s="204">
        <f t="shared" si="38"/>
        <v>81543.0726</v>
      </c>
      <c r="BC39" s="205">
        <f>'[7]Т10-10'!$M$55+'[7]Т10-10'!$M$72+'[7]Т10-10'!$M$93+'[7]Т10-10'!$M$119+37.5</f>
        <v>4891.985999999999</v>
      </c>
      <c r="BD39" s="142"/>
      <c r="BE39" s="102">
        <f t="shared" si="39"/>
        <v>-26315.08204</v>
      </c>
      <c r="BF39" s="102">
        <f t="shared" si="40"/>
        <v>4031.8599999999933</v>
      </c>
    </row>
    <row r="40" spans="1:58" ht="12.75">
      <c r="A40" s="11" t="s">
        <v>40</v>
      </c>
      <c r="B40" s="191">
        <v>5282.42</v>
      </c>
      <c r="C40" s="140">
        <f t="shared" si="24"/>
        <v>45692.933000000005</v>
      </c>
      <c r="D40" s="135">
        <f>C40-E40-F40-G40-H40-I40-J40-K40-L40-M40-N40</f>
        <v>4021.853000000004</v>
      </c>
      <c r="E40" s="192">
        <v>4774.64</v>
      </c>
      <c r="F40" s="192">
        <v>36</v>
      </c>
      <c r="G40" s="192">
        <v>6465.24</v>
      </c>
      <c r="H40" s="192">
        <v>48.8</v>
      </c>
      <c r="I40" s="192">
        <v>15537.07</v>
      </c>
      <c r="J40" s="192">
        <v>117.2</v>
      </c>
      <c r="K40" s="192">
        <v>10762.4</v>
      </c>
      <c r="L40" s="192">
        <v>81.2</v>
      </c>
      <c r="M40" s="192">
        <v>3819.73</v>
      </c>
      <c r="N40" s="192">
        <v>28.8</v>
      </c>
      <c r="O40" s="192">
        <v>0</v>
      </c>
      <c r="P40" s="193">
        <v>0</v>
      </c>
      <c r="Q40" s="193"/>
      <c r="R40" s="193"/>
      <c r="S40" s="194">
        <f t="shared" si="26"/>
        <v>41359.08</v>
      </c>
      <c r="T40" s="195">
        <f t="shared" si="27"/>
        <v>312</v>
      </c>
      <c r="U40" s="212">
        <v>4995.53</v>
      </c>
      <c r="V40" s="194">
        <v>6765.29</v>
      </c>
      <c r="W40" s="194">
        <v>16254.89</v>
      </c>
      <c r="X40" s="194">
        <v>11261.38</v>
      </c>
      <c r="Y40" s="194">
        <v>3996.46</v>
      </c>
      <c r="Z40" s="196">
        <v>0</v>
      </c>
      <c r="AA40" s="196">
        <v>0</v>
      </c>
      <c r="AB40" s="196">
        <f t="shared" si="41"/>
        <v>43273.549999999996</v>
      </c>
      <c r="AC40" s="197">
        <f t="shared" si="28"/>
        <v>47607.403</v>
      </c>
      <c r="AD40" s="198">
        <f t="shared" si="29"/>
        <v>0</v>
      </c>
      <c r="AE40" s="198">
        <f t="shared" si="30"/>
        <v>0</v>
      </c>
      <c r="AF40" s="198">
        <f>'[7]Т11'!$I$55+'[7]Т11'!$I$72+'[7]Т11'!$I$93+'[7]Т11'!$I$118+150</f>
        <v>10395.17356</v>
      </c>
      <c r="AG40" s="199">
        <f t="shared" si="31"/>
        <v>3169.4519999999998</v>
      </c>
      <c r="AH40" s="199">
        <f t="shared" si="32"/>
        <v>1056.4840000000002</v>
      </c>
      <c r="AI40" s="199">
        <f t="shared" si="33"/>
        <v>5282.42</v>
      </c>
      <c r="AJ40" s="199">
        <v>0</v>
      </c>
      <c r="AK40" s="199">
        <f t="shared" si="34"/>
        <v>5176.7716</v>
      </c>
      <c r="AL40" s="199">
        <v>0</v>
      </c>
      <c r="AM40" s="199">
        <f t="shared" si="35"/>
        <v>11885.445</v>
      </c>
      <c r="AN40" s="199">
        <v>0</v>
      </c>
      <c r="AO40" s="199"/>
      <c r="AP40" s="199"/>
      <c r="AQ40" s="200"/>
      <c r="AR40" s="200"/>
      <c r="AS40" s="201">
        <v>1659</v>
      </c>
      <c r="AT40" s="201"/>
      <c r="AU40" s="201">
        <f>0*0.18</f>
        <v>0</v>
      </c>
      <c r="AV40" s="202">
        <v>470</v>
      </c>
      <c r="AW40" s="203">
        <v>3.5</v>
      </c>
      <c r="AX40" s="199">
        <f t="shared" si="36"/>
        <v>2303</v>
      </c>
      <c r="AY40" s="99"/>
      <c r="AZ40" s="204"/>
      <c r="BA40" s="204">
        <v>0</v>
      </c>
      <c r="BB40" s="204">
        <f t="shared" si="38"/>
        <v>30532.5726</v>
      </c>
      <c r="BC40" s="205">
        <f>'[7]Т11'!$M$55+'[7]Т11'!$M$72+'[7]Т11'!$M$93+'[7]Т11'!$M$118+37.5</f>
        <v>4891.985999999999</v>
      </c>
      <c r="BD40" s="39"/>
      <c r="BE40" s="102">
        <f t="shared" si="39"/>
        <v>22578.017959999997</v>
      </c>
      <c r="BF40" s="102">
        <f t="shared" si="40"/>
        <v>1914.469999999994</v>
      </c>
    </row>
    <row r="41" spans="1:58" s="104" customFormat="1" ht="12.75">
      <c r="A41" s="86" t="s">
        <v>41</v>
      </c>
      <c r="B41" s="191">
        <v>5282.42</v>
      </c>
      <c r="C41" s="140">
        <f t="shared" si="24"/>
        <v>45692.933000000005</v>
      </c>
      <c r="D41" s="135">
        <f>C41-E41-F41-G41-H41-I41-J41-K41-L41-M41-N41</f>
        <v>4006.2930000000015</v>
      </c>
      <c r="E41" s="192">
        <v>4794.47</v>
      </c>
      <c r="F41" s="192">
        <v>18</v>
      </c>
      <c r="G41" s="192">
        <v>6492.01</v>
      </c>
      <c r="H41" s="192">
        <v>24.4</v>
      </c>
      <c r="I41" s="192">
        <v>15601.53</v>
      </c>
      <c r="J41" s="192">
        <v>58.6</v>
      </c>
      <c r="K41" s="192">
        <v>10807.03</v>
      </c>
      <c r="L41" s="192">
        <v>40.6</v>
      </c>
      <c r="M41" s="192">
        <v>3835.6</v>
      </c>
      <c r="N41" s="192">
        <v>14.4</v>
      </c>
      <c r="O41" s="192">
        <v>0</v>
      </c>
      <c r="P41" s="193">
        <v>0</v>
      </c>
      <c r="Q41" s="193"/>
      <c r="R41" s="193"/>
      <c r="S41" s="194">
        <f t="shared" si="26"/>
        <v>41530.64</v>
      </c>
      <c r="T41" s="195">
        <f t="shared" si="27"/>
        <v>156</v>
      </c>
      <c r="U41" s="194">
        <v>5090.76</v>
      </c>
      <c r="V41" s="194">
        <v>6893.37</v>
      </c>
      <c r="W41" s="194">
        <v>18913.84</v>
      </c>
      <c r="X41" s="194">
        <v>11474.95</v>
      </c>
      <c r="Y41" s="194">
        <v>4072.7</v>
      </c>
      <c r="Z41" s="196">
        <v>0</v>
      </c>
      <c r="AA41" s="196">
        <v>0</v>
      </c>
      <c r="AB41" s="196">
        <f t="shared" si="41"/>
        <v>46445.619999999995</v>
      </c>
      <c r="AC41" s="197">
        <f t="shared" si="28"/>
        <v>50607.913</v>
      </c>
      <c r="AD41" s="198">
        <f t="shared" si="29"/>
        <v>0</v>
      </c>
      <c r="AE41" s="198">
        <f t="shared" si="30"/>
        <v>0</v>
      </c>
      <c r="AF41" s="198">
        <f>'[7]Т11'!$I$55+'[7]Т11'!$I$72+'[7]Т11'!$I$93+'[7]Т11'!$I$118+150</f>
        <v>10395.17356</v>
      </c>
      <c r="AG41" s="199">
        <f t="shared" si="31"/>
        <v>3169.4519999999998</v>
      </c>
      <c r="AH41" s="199">
        <f t="shared" si="32"/>
        <v>1056.4840000000002</v>
      </c>
      <c r="AI41" s="199">
        <f t="shared" si="33"/>
        <v>5282.42</v>
      </c>
      <c r="AJ41" s="199">
        <v>0</v>
      </c>
      <c r="AK41" s="199">
        <f t="shared" si="34"/>
        <v>5176.7716</v>
      </c>
      <c r="AL41" s="199">
        <v>0</v>
      </c>
      <c r="AM41" s="199">
        <f t="shared" si="35"/>
        <v>11885.445</v>
      </c>
      <c r="AN41" s="199">
        <v>0</v>
      </c>
      <c r="AO41" s="199"/>
      <c r="AP41" s="199"/>
      <c r="AQ41" s="200"/>
      <c r="AR41" s="200"/>
      <c r="AS41" s="201">
        <v>3946</v>
      </c>
      <c r="AT41" s="201">
        <f>98.31+1283.05-0.01+14128.17+20981.39</f>
        <v>36490.91</v>
      </c>
      <c r="AU41" s="201">
        <f>(98.31+1283.05+14128.17+20981.39)*0.18</f>
        <v>6568.365599999999</v>
      </c>
      <c r="AV41" s="202">
        <v>514</v>
      </c>
      <c r="AW41" s="203">
        <v>3.5</v>
      </c>
      <c r="AX41" s="199">
        <f>AV41*AW41*1.4+22591.8</f>
        <v>25110.399999999998</v>
      </c>
      <c r="AY41" s="99"/>
      <c r="AZ41" s="204"/>
      <c r="BA41" s="204">
        <v>0</v>
      </c>
      <c r="BB41" s="204">
        <f t="shared" si="38"/>
        <v>98686.2482</v>
      </c>
      <c r="BC41" s="205">
        <f>'[7]Т11'!$M$55+'[7]Т11'!$M$72+'[7]Т11'!$M$93+'[7]Т11'!$M$118+37.5</f>
        <v>4891.985999999999</v>
      </c>
      <c r="BD41" s="45"/>
      <c r="BE41" s="102">
        <f t="shared" si="39"/>
        <v>-42575.14764</v>
      </c>
      <c r="BF41" s="102">
        <f t="shared" si="40"/>
        <v>4914.979999999996</v>
      </c>
    </row>
    <row r="42" spans="1:58" s="16" customFormat="1" ht="12.75">
      <c r="A42" s="14" t="s">
        <v>3</v>
      </c>
      <c r="B42" s="48"/>
      <c r="C42" s="48">
        <f>SUM(C30:C41)</f>
        <v>548238.3840000001</v>
      </c>
      <c r="D42" s="48">
        <f aca="true" t="shared" si="42" ref="D42:BF42">SUM(D30:D41)</f>
        <v>192948.79400000002</v>
      </c>
      <c r="E42" s="48">
        <f t="shared" si="42"/>
        <v>50837.439999999995</v>
      </c>
      <c r="F42" s="48">
        <f t="shared" si="42"/>
        <v>6742.620000000001</v>
      </c>
      <c r="G42" s="48">
        <f t="shared" si="42"/>
        <v>68833.91999999998</v>
      </c>
      <c r="H42" s="48">
        <f t="shared" si="42"/>
        <v>9139.789999999995</v>
      </c>
      <c r="I42" s="48">
        <f t="shared" si="42"/>
        <v>165425.53</v>
      </c>
      <c r="J42" s="48">
        <f t="shared" si="42"/>
        <v>21950.460000000003</v>
      </c>
      <c r="K42" s="48">
        <f t="shared" si="42"/>
        <v>114587.75</v>
      </c>
      <c r="L42" s="48">
        <f t="shared" si="42"/>
        <v>15208.020000000004</v>
      </c>
      <c r="M42" s="48">
        <f t="shared" si="42"/>
        <v>40670.00000000001</v>
      </c>
      <c r="N42" s="48">
        <f t="shared" si="42"/>
        <v>5394.06</v>
      </c>
      <c r="O42" s="48">
        <f t="shared" si="42"/>
        <v>0</v>
      </c>
      <c r="P42" s="48">
        <f t="shared" si="42"/>
        <v>0</v>
      </c>
      <c r="Q42" s="48">
        <f t="shared" si="42"/>
        <v>0</v>
      </c>
      <c r="R42" s="48">
        <f t="shared" si="42"/>
        <v>0</v>
      </c>
      <c r="S42" s="48">
        <f t="shared" si="42"/>
        <v>440354.64</v>
      </c>
      <c r="T42" s="48">
        <f t="shared" si="42"/>
        <v>58434.95</v>
      </c>
      <c r="U42" s="48">
        <f t="shared" si="42"/>
        <v>50560.450000000004</v>
      </c>
      <c r="V42" s="48">
        <f t="shared" si="42"/>
        <v>68444.81000000001</v>
      </c>
      <c r="W42" s="48">
        <f t="shared" si="42"/>
        <v>166704.04</v>
      </c>
      <c r="X42" s="48">
        <f t="shared" si="42"/>
        <v>113858.56999999999</v>
      </c>
      <c r="Y42" s="48">
        <f t="shared" si="42"/>
        <v>40417.69</v>
      </c>
      <c r="Z42" s="48">
        <f t="shared" si="42"/>
        <v>0</v>
      </c>
      <c r="AA42" s="48">
        <f t="shared" si="42"/>
        <v>0</v>
      </c>
      <c r="AB42" s="48">
        <f t="shared" si="42"/>
        <v>439985.56</v>
      </c>
      <c r="AC42" s="48">
        <f t="shared" si="42"/>
        <v>691369.304</v>
      </c>
      <c r="AD42" s="48">
        <f t="shared" si="42"/>
        <v>0</v>
      </c>
      <c r="AE42" s="48">
        <f t="shared" si="42"/>
        <v>0</v>
      </c>
      <c r="AF42" s="48">
        <f t="shared" si="42"/>
        <v>123392.09271999997</v>
      </c>
      <c r="AG42" s="48">
        <f t="shared" si="42"/>
        <v>38028.096000000005</v>
      </c>
      <c r="AH42" s="48">
        <f t="shared" si="42"/>
        <v>12676.032000000001</v>
      </c>
      <c r="AI42" s="48">
        <f t="shared" si="42"/>
        <v>63380.15999999999</v>
      </c>
      <c r="AJ42" s="48">
        <f t="shared" si="42"/>
        <v>0</v>
      </c>
      <c r="AK42" s="48">
        <f t="shared" si="42"/>
        <v>62112.556800000006</v>
      </c>
      <c r="AL42" s="48">
        <f t="shared" si="42"/>
        <v>0</v>
      </c>
      <c r="AM42" s="48">
        <f t="shared" si="42"/>
        <v>142605.36000000002</v>
      </c>
      <c r="AN42" s="48">
        <f t="shared" si="42"/>
        <v>0</v>
      </c>
      <c r="AO42" s="48">
        <f t="shared" si="42"/>
        <v>7403.4</v>
      </c>
      <c r="AP42" s="48">
        <f t="shared" si="42"/>
        <v>0</v>
      </c>
      <c r="AQ42" s="143">
        <f t="shared" si="42"/>
        <v>104254</v>
      </c>
      <c r="AR42" s="143">
        <f t="shared" si="42"/>
        <v>0</v>
      </c>
      <c r="AS42" s="46">
        <f t="shared" si="42"/>
        <v>43808</v>
      </c>
      <c r="AT42" s="46">
        <f t="shared" si="42"/>
        <v>161322.40000000002</v>
      </c>
      <c r="AU42" s="46">
        <f t="shared" si="42"/>
        <v>17181.322799999998</v>
      </c>
      <c r="AV42" s="48">
        <f t="shared" si="42"/>
        <v>4400</v>
      </c>
      <c r="AW42" s="48">
        <f t="shared" si="42"/>
        <v>42</v>
      </c>
      <c r="AX42" s="48">
        <f t="shared" si="42"/>
        <v>44151.8</v>
      </c>
      <c r="AY42" s="48">
        <f t="shared" si="42"/>
        <v>0</v>
      </c>
      <c r="AZ42" s="48">
        <f t="shared" si="42"/>
        <v>0</v>
      </c>
      <c r="BA42" s="48">
        <f t="shared" si="42"/>
        <v>0</v>
      </c>
      <c r="BB42" s="48">
        <f t="shared" si="42"/>
        <v>696923.1276</v>
      </c>
      <c r="BC42" s="48">
        <f t="shared" si="42"/>
        <v>58366.33199999997</v>
      </c>
      <c r="BD42" s="48">
        <f t="shared" si="42"/>
        <v>0</v>
      </c>
      <c r="BE42" s="48">
        <f t="shared" si="42"/>
        <v>59471.937119999995</v>
      </c>
      <c r="BF42" s="144">
        <f t="shared" si="42"/>
        <v>-369.0799999999981</v>
      </c>
    </row>
    <row r="43" spans="1:58" s="16" customFormat="1" ht="12.75">
      <c r="A43" s="14"/>
      <c r="B43" s="48"/>
      <c r="C43" s="48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9"/>
      <c r="V43" s="49"/>
      <c r="W43" s="49"/>
      <c r="X43" s="49"/>
      <c r="Y43" s="49"/>
      <c r="Z43" s="49"/>
      <c r="AA43" s="49"/>
      <c r="AB43" s="49"/>
      <c r="AC43" s="49"/>
      <c r="AD43" s="145"/>
      <c r="AE43" s="14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46"/>
      <c r="AQ43" s="147"/>
      <c r="AR43" s="147"/>
      <c r="AS43" s="146"/>
      <c r="AT43" s="146"/>
      <c r="AU43" s="146"/>
      <c r="AV43" s="15"/>
      <c r="AW43" s="15"/>
      <c r="AX43" s="148"/>
      <c r="AY43" s="56"/>
      <c r="AZ43" s="56"/>
      <c r="BA43" s="56"/>
      <c r="BB43" s="56"/>
      <c r="BC43" s="56"/>
      <c r="BD43" s="56"/>
      <c r="BE43" s="56"/>
      <c r="BF43" s="149"/>
    </row>
    <row r="44" spans="1:58" s="16" customFormat="1" ht="13.5" thickBot="1">
      <c r="A44" s="18" t="s">
        <v>52</v>
      </c>
      <c r="B44" s="19"/>
      <c r="C44" s="19">
        <f>C28+C42</f>
        <v>1233559.719</v>
      </c>
      <c r="D44" s="19">
        <f aca="true" t="shared" si="43" ref="D44:BF44">D28+D42</f>
        <v>284080.13430205</v>
      </c>
      <c r="E44" s="19">
        <f t="shared" si="43"/>
        <v>104564.81999999999</v>
      </c>
      <c r="F44" s="19">
        <f t="shared" si="43"/>
        <v>21671.85</v>
      </c>
      <c r="G44" s="19">
        <f t="shared" si="43"/>
        <v>141553.12999999998</v>
      </c>
      <c r="H44" s="19">
        <f t="shared" si="43"/>
        <v>29341.61</v>
      </c>
      <c r="I44" s="19">
        <f t="shared" si="43"/>
        <v>340178.79000000004</v>
      </c>
      <c r="J44" s="19">
        <f t="shared" si="43"/>
        <v>70578.06</v>
      </c>
      <c r="K44" s="19">
        <f t="shared" si="43"/>
        <v>235588.45</v>
      </c>
      <c r="L44" s="19">
        <f t="shared" si="43"/>
        <v>48846.17</v>
      </c>
      <c r="M44" s="19">
        <f t="shared" si="43"/>
        <v>83651.77</v>
      </c>
      <c r="N44" s="19">
        <f t="shared" si="43"/>
        <v>17337.440000000002</v>
      </c>
      <c r="O44" s="19">
        <f t="shared" si="43"/>
        <v>0</v>
      </c>
      <c r="P44" s="19">
        <f t="shared" si="43"/>
        <v>0</v>
      </c>
      <c r="Q44" s="19">
        <f t="shared" si="43"/>
        <v>0</v>
      </c>
      <c r="R44" s="19">
        <f t="shared" si="43"/>
        <v>0</v>
      </c>
      <c r="S44" s="19">
        <f t="shared" si="43"/>
        <v>905536.96</v>
      </c>
      <c r="T44" s="19">
        <f t="shared" si="43"/>
        <v>187775.13</v>
      </c>
      <c r="U44" s="19">
        <f t="shared" si="43"/>
        <v>98973.62000000001</v>
      </c>
      <c r="V44" s="19">
        <f t="shared" si="43"/>
        <v>133902.03000000003</v>
      </c>
      <c r="W44" s="19">
        <f t="shared" si="43"/>
        <v>324230.66000000003</v>
      </c>
      <c r="X44" s="19">
        <f t="shared" si="43"/>
        <v>222887.07</v>
      </c>
      <c r="Y44" s="19">
        <f t="shared" si="43"/>
        <v>79148.2</v>
      </c>
      <c r="Z44" s="19">
        <f t="shared" si="43"/>
        <v>0</v>
      </c>
      <c r="AA44" s="19">
        <f t="shared" si="43"/>
        <v>0</v>
      </c>
      <c r="AB44" s="19">
        <f t="shared" si="43"/>
        <v>859141.5800000001</v>
      </c>
      <c r="AC44" s="19">
        <f t="shared" si="43"/>
        <v>1330996.8443020498</v>
      </c>
      <c r="AD44" s="19">
        <f t="shared" si="43"/>
        <v>0</v>
      </c>
      <c r="AE44" s="19">
        <f t="shared" si="43"/>
        <v>0</v>
      </c>
      <c r="AF44" s="19">
        <f t="shared" si="43"/>
        <v>133535.29931999996</v>
      </c>
      <c r="AG44" s="19">
        <f t="shared" si="43"/>
        <v>84297.29999999999</v>
      </c>
      <c r="AH44" s="19">
        <f t="shared" si="43"/>
        <v>28247.532284</v>
      </c>
      <c r="AI44" s="19">
        <f t="shared" si="43"/>
        <v>128254.05638069997</v>
      </c>
      <c r="AJ44" s="19">
        <f t="shared" si="43"/>
        <v>11677.301348525998</v>
      </c>
      <c r="AK44" s="19">
        <f t="shared" si="43"/>
        <v>127760.97823646</v>
      </c>
      <c r="AL44" s="19">
        <f t="shared" si="43"/>
        <v>11816.715858562799</v>
      </c>
      <c r="AM44" s="19">
        <f t="shared" si="43"/>
        <v>286361.5504931839</v>
      </c>
      <c r="AN44" s="19">
        <f t="shared" si="43"/>
        <v>25876.114288773097</v>
      </c>
      <c r="AO44" s="19">
        <f t="shared" si="43"/>
        <v>7403.4</v>
      </c>
      <c r="AP44" s="19">
        <f t="shared" si="43"/>
        <v>0</v>
      </c>
      <c r="AQ44" s="150">
        <f t="shared" si="43"/>
        <v>110418.37</v>
      </c>
      <c r="AR44" s="150">
        <f t="shared" si="43"/>
        <v>1109.5865999999999</v>
      </c>
      <c r="AS44" s="43">
        <f t="shared" si="43"/>
        <v>216946.41</v>
      </c>
      <c r="AT44" s="43">
        <f t="shared" si="43"/>
        <v>168170.40000000002</v>
      </c>
      <c r="AU44" s="43">
        <f t="shared" si="43"/>
        <v>49578.8866</v>
      </c>
      <c r="AV44" s="19"/>
      <c r="AW44" s="19"/>
      <c r="AX44" s="19">
        <f t="shared" si="43"/>
        <v>64504.442</v>
      </c>
      <c r="AY44" s="19">
        <f t="shared" si="43"/>
        <v>0</v>
      </c>
      <c r="AZ44" s="19">
        <f t="shared" si="43"/>
        <v>0</v>
      </c>
      <c r="BA44" s="19">
        <f t="shared" si="43"/>
        <v>0</v>
      </c>
      <c r="BB44" s="19">
        <f t="shared" si="43"/>
        <v>1322423.0440902058</v>
      </c>
      <c r="BC44" s="19">
        <f t="shared" si="43"/>
        <v>69713.06618420797</v>
      </c>
      <c r="BD44" s="19">
        <f>BB44+BC44</f>
        <v>1392136.1102744138</v>
      </c>
      <c r="BE44" s="19">
        <f t="shared" si="43"/>
        <v>72396.03334763623</v>
      </c>
      <c r="BF44" s="19">
        <f t="shared" si="43"/>
        <v>-46395.38000000002</v>
      </c>
    </row>
  </sheetData>
  <sheetProtection/>
  <mergeCells count="67">
    <mergeCell ref="BE3:BE6"/>
    <mergeCell ref="AH5:AH6"/>
    <mergeCell ref="AI5:AI6"/>
    <mergeCell ref="AJ5:AJ6"/>
    <mergeCell ref="AK5:AK6"/>
    <mergeCell ref="AL5:AL6"/>
    <mergeCell ref="AM5:AM6"/>
    <mergeCell ref="AP5:AP6"/>
    <mergeCell ref="AQ5:AQ6"/>
    <mergeCell ref="AO5:AO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M3:N4"/>
    <mergeCell ref="Q5:Q6"/>
    <mergeCell ref="R5:R6"/>
    <mergeCell ref="N5:N6"/>
    <mergeCell ref="O5:O6"/>
    <mergeCell ref="E3:F4"/>
    <mergeCell ref="G3:H4"/>
    <mergeCell ref="K3:L4"/>
    <mergeCell ref="AF3:AF6"/>
    <mergeCell ref="I5:I6"/>
    <mergeCell ref="J5:J6"/>
    <mergeCell ref="K5:K6"/>
    <mergeCell ref="P5:P6"/>
    <mergeCell ref="U5:U6"/>
    <mergeCell ref="AB5:AB6"/>
    <mergeCell ref="L5:L6"/>
    <mergeCell ref="M5:M6"/>
    <mergeCell ref="I3:J4"/>
    <mergeCell ref="AD3:AD6"/>
    <mergeCell ref="AR5:AR6"/>
    <mergeCell ref="O3:P4"/>
    <mergeCell ref="Q3:R4"/>
    <mergeCell ref="S3:T4"/>
    <mergeCell ref="U3:AB4"/>
    <mergeCell ref="AC3:AC6"/>
    <mergeCell ref="AE3:AE6"/>
    <mergeCell ref="T5:T6"/>
    <mergeCell ref="AG5:AG6"/>
    <mergeCell ref="AS5:AS6"/>
    <mergeCell ref="AT5:AT6"/>
    <mergeCell ref="S5:S6"/>
    <mergeCell ref="Z5:Z6"/>
    <mergeCell ref="AA5:AA6"/>
    <mergeCell ref="V5:V6"/>
    <mergeCell ref="W5:W6"/>
    <mergeCell ref="X5:X6"/>
    <mergeCell ref="Y5:Y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7">
      <selection activeCell="N47" sqref="N47"/>
    </sheetView>
  </sheetViews>
  <sheetFormatPr defaultColWidth="9.00390625" defaultRowHeight="12.75"/>
  <cols>
    <col min="1" max="1" width="10.00390625" style="2" customWidth="1"/>
    <col min="2" max="2" width="10.25390625" style="2" customWidth="1"/>
    <col min="3" max="3" width="11.875" style="2" customWidth="1"/>
    <col min="4" max="4" width="10.25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1.875" style="2" customWidth="1"/>
    <col min="9" max="9" width="9.125" style="2" customWidth="1"/>
    <col min="10" max="10" width="10.125" style="2" customWidth="1"/>
    <col min="11" max="12" width="10.375" style="2" customWidth="1"/>
    <col min="13" max="13" width="10.125" style="2" customWidth="1"/>
    <col min="14" max="14" width="12.62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ht="18.75">
      <c r="E1" s="20" t="s">
        <v>53</v>
      </c>
    </row>
    <row r="2" ht="18.75">
      <c r="E2" s="20" t="s">
        <v>54</v>
      </c>
    </row>
    <row r="5" spans="1:17" ht="12.75">
      <c r="A5" s="444" t="s">
        <v>75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</row>
    <row r="6" spans="1:17" ht="12.75">
      <c r="A6" s="423" t="s">
        <v>93</v>
      </c>
      <c r="B6" s="423"/>
      <c r="C6" s="423"/>
      <c r="D6" s="423"/>
      <c r="E6" s="423"/>
      <c r="F6" s="423"/>
      <c r="G6" s="42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5" ht="13.5" thickBot="1">
      <c r="A8" s="153" t="s">
        <v>89</v>
      </c>
      <c r="D8" s="4"/>
      <c r="E8" s="153">
        <v>8.65</v>
      </c>
    </row>
    <row r="9" spans="1:16" ht="12.75" customHeight="1">
      <c r="A9" s="454" t="s">
        <v>55</v>
      </c>
      <c r="B9" s="414" t="s">
        <v>0</v>
      </c>
      <c r="C9" s="417" t="s">
        <v>56</v>
      </c>
      <c r="D9" s="420" t="s">
        <v>2</v>
      </c>
      <c r="E9" s="434" t="s">
        <v>57</v>
      </c>
      <c r="F9" s="357"/>
      <c r="G9" s="437" t="s">
        <v>90</v>
      </c>
      <c r="H9" s="437"/>
      <c r="I9" s="424" t="s">
        <v>8</v>
      </c>
      <c r="J9" s="425"/>
      <c r="K9" s="425"/>
      <c r="L9" s="425"/>
      <c r="M9" s="425"/>
      <c r="N9" s="426"/>
      <c r="O9" s="445" t="s">
        <v>58</v>
      </c>
      <c r="P9" s="448" t="s">
        <v>10</v>
      </c>
    </row>
    <row r="10" spans="1:16" ht="12.75">
      <c r="A10" s="455"/>
      <c r="B10" s="415"/>
      <c r="C10" s="418"/>
      <c r="D10" s="421"/>
      <c r="E10" s="435"/>
      <c r="F10" s="436"/>
      <c r="G10" s="438"/>
      <c r="H10" s="438"/>
      <c r="I10" s="427"/>
      <c r="J10" s="428"/>
      <c r="K10" s="428"/>
      <c r="L10" s="428"/>
      <c r="M10" s="428"/>
      <c r="N10" s="429"/>
      <c r="O10" s="446"/>
      <c r="P10" s="449"/>
    </row>
    <row r="11" spans="1:16" ht="26.25" customHeight="1">
      <c r="A11" s="455"/>
      <c r="B11" s="415"/>
      <c r="C11" s="418"/>
      <c r="D11" s="421"/>
      <c r="E11" s="451" t="s">
        <v>59</v>
      </c>
      <c r="F11" s="379"/>
      <c r="G11" s="154" t="s">
        <v>60</v>
      </c>
      <c r="H11" s="452" t="s">
        <v>5</v>
      </c>
      <c r="I11" s="442" t="s">
        <v>61</v>
      </c>
      <c r="J11" s="432" t="s">
        <v>30</v>
      </c>
      <c r="K11" s="432" t="s">
        <v>62</v>
      </c>
      <c r="L11" s="432" t="s">
        <v>35</v>
      </c>
      <c r="M11" s="432" t="s">
        <v>63</v>
      </c>
      <c r="N11" s="439" t="s">
        <v>37</v>
      </c>
      <c r="O11" s="446"/>
      <c r="P11" s="449"/>
    </row>
    <row r="12" spans="1:16" ht="66.75" customHeight="1" thickBot="1">
      <c r="A12" s="456"/>
      <c r="B12" s="416"/>
      <c r="C12" s="419"/>
      <c r="D12" s="422"/>
      <c r="E12" s="50" t="s">
        <v>64</v>
      </c>
      <c r="F12" s="53" t="s">
        <v>19</v>
      </c>
      <c r="G12" s="155" t="s">
        <v>91</v>
      </c>
      <c r="H12" s="453"/>
      <c r="I12" s="443"/>
      <c r="J12" s="433"/>
      <c r="K12" s="433"/>
      <c r="L12" s="433"/>
      <c r="M12" s="433"/>
      <c r="N12" s="440"/>
      <c r="O12" s="447"/>
      <c r="P12" s="450"/>
    </row>
    <row r="13" spans="1:16" ht="13.5" thickBot="1">
      <c r="A13" s="51">
        <v>1</v>
      </c>
      <c r="B13" s="52">
        <v>2</v>
      </c>
      <c r="C13" s="156">
        <v>3</v>
      </c>
      <c r="D13" s="51">
        <v>4</v>
      </c>
      <c r="E13" s="52">
        <v>5</v>
      </c>
      <c r="F13" s="77">
        <v>6</v>
      </c>
      <c r="G13" s="74">
        <v>7</v>
      </c>
      <c r="H13" s="157">
        <v>8</v>
      </c>
      <c r="I13" s="51">
        <v>9</v>
      </c>
      <c r="J13" s="52">
        <v>10</v>
      </c>
      <c r="K13" s="52">
        <v>11</v>
      </c>
      <c r="L13" s="52">
        <v>12</v>
      </c>
      <c r="M13" s="52">
        <v>13</v>
      </c>
      <c r="N13" s="158">
        <v>14</v>
      </c>
      <c r="O13" s="76">
        <v>15</v>
      </c>
      <c r="P13" s="75">
        <v>16</v>
      </c>
    </row>
    <row r="14" spans="1:16" ht="12.75" hidden="1">
      <c r="A14" s="7" t="s">
        <v>38</v>
      </c>
      <c r="B14" s="8"/>
      <c r="C14" s="22"/>
      <c r="D14" s="7"/>
      <c r="E14" s="8"/>
      <c r="F14" s="9"/>
      <c r="G14" s="159"/>
      <c r="H14" s="160"/>
      <c r="I14" s="7"/>
      <c r="J14" s="8"/>
      <c r="K14" s="8"/>
      <c r="L14" s="8"/>
      <c r="M14" s="8"/>
      <c r="N14" s="161"/>
      <c r="O14" s="162"/>
      <c r="P14" s="58"/>
    </row>
    <row r="15" spans="1:18" ht="12.75" hidden="1">
      <c r="A15" s="11" t="s">
        <v>39</v>
      </c>
      <c r="B15" s="47">
        <f>Лист1!B9</f>
        <v>5284.7</v>
      </c>
      <c r="C15" s="23">
        <f>Лист1!C9</f>
        <v>45712.655</v>
      </c>
      <c r="D15" s="24">
        <f>Лист1!D9</f>
        <v>11011.2643364</v>
      </c>
      <c r="E15" s="12">
        <f>Лист1!S9</f>
        <v>30415.03</v>
      </c>
      <c r="F15" s="26">
        <f>Лист1!T9</f>
        <v>7984.629999999999</v>
      </c>
      <c r="G15" s="163">
        <f>Лист1!AB9</f>
        <v>0</v>
      </c>
      <c r="H15" s="164">
        <f>Лист1!AC9</f>
        <v>18995.8943364</v>
      </c>
      <c r="I15" s="25">
        <f>Лист1!AG9+Лист1!AH9</f>
        <v>4289.3373243999995</v>
      </c>
      <c r="J15" s="12">
        <f>Лист1!AI9+Лист1!AJ9</f>
        <v>5311.767002799999</v>
      </c>
      <c r="K15" s="12">
        <f>Лист1!AK9+Лист1!AL9+Лист1!AM9+Лист1!AN9+Лист1!AO9+Лист1!AP9+Лист1!AQ9+Лист1!AZ9+Лист1!BA9</f>
        <v>17533.266391169996</v>
      </c>
      <c r="L15" s="27">
        <f>Лист1!AS9+Лист1!AT9+Лист1!AU9</f>
        <v>0</v>
      </c>
      <c r="M15" s="27">
        <f>Лист1!AX9</f>
        <v>0</v>
      </c>
      <c r="N15" s="165">
        <f>Лист1!BB9</f>
        <v>27134.370718369995</v>
      </c>
      <c r="O15" s="166">
        <f>Лист1!BE9</f>
        <v>-8138.476381969995</v>
      </c>
      <c r="P15" s="59">
        <f>Лист1!BF9</f>
        <v>-30415.03</v>
      </c>
      <c r="Q15" s="1"/>
      <c r="R15" s="1"/>
    </row>
    <row r="16" spans="1:18" ht="12.75" hidden="1">
      <c r="A16" s="11" t="s">
        <v>40</v>
      </c>
      <c r="B16" s="47">
        <f>Лист1!B10</f>
        <v>5284.7</v>
      </c>
      <c r="C16" s="23">
        <f>Лист1!C10</f>
        <v>45712.655</v>
      </c>
      <c r="D16" s="24">
        <f>Лист1!D10</f>
        <v>11011.2643364</v>
      </c>
      <c r="E16" s="12">
        <f>Лист1!S10</f>
        <v>29536.260000000002</v>
      </c>
      <c r="F16" s="26">
        <f>Лист1!T10</f>
        <v>7711.360000000001</v>
      </c>
      <c r="G16" s="163">
        <f>Лист1!AB10</f>
        <v>20306.219999999998</v>
      </c>
      <c r="H16" s="164">
        <f>Лист1!AC10</f>
        <v>39028.8443364</v>
      </c>
      <c r="I16" s="25">
        <f>Лист1!AG10+Лист1!AH10</f>
        <v>4234.0446999999995</v>
      </c>
      <c r="J16" s="12">
        <f>Лист1!AI10+Лист1!AJ10</f>
        <v>5311.767002799999</v>
      </c>
      <c r="K16" s="12">
        <f>Лист1!AK10+Лист1!AL10+Лист1!AM10+Лист1!AN10+Лист1!AO10+Лист1!AP10+Лист1!AQ10+Лист1!AZ10+Лист1!BA10</f>
        <v>17533.266391169996</v>
      </c>
      <c r="L16" s="27">
        <f>Лист1!AS10+Лист1!AT10+Лист1!AU10</f>
        <v>3445.6</v>
      </c>
      <c r="M16" s="27">
        <f>Лист1!AX10</f>
        <v>0</v>
      </c>
      <c r="N16" s="165">
        <f>Лист1!BB10</f>
        <v>30524.678093969997</v>
      </c>
      <c r="O16" s="166">
        <f>Лист1!BE10</f>
        <v>8504.166242430001</v>
      </c>
      <c r="P16" s="59">
        <f>Лист1!BF10</f>
        <v>-9230.040000000005</v>
      </c>
      <c r="Q16" s="1"/>
      <c r="R16" s="1"/>
    </row>
    <row r="17" spans="1:18" ht="13.5" hidden="1" thickBot="1">
      <c r="A17" s="28" t="s">
        <v>41</v>
      </c>
      <c r="B17" s="47">
        <f>Лист1!B11</f>
        <v>5284.7</v>
      </c>
      <c r="C17" s="23">
        <f>Лист1!C11</f>
        <v>45712.655</v>
      </c>
      <c r="D17" s="24">
        <f>Лист1!D11</f>
        <v>10987.03662925</v>
      </c>
      <c r="E17" s="12">
        <f>Лист1!S11</f>
        <v>29042.98</v>
      </c>
      <c r="F17" s="26">
        <f>Лист1!T11</f>
        <v>7738.64</v>
      </c>
      <c r="G17" s="163">
        <f>Лист1!AB11</f>
        <v>32743.68</v>
      </c>
      <c r="H17" s="164">
        <f>Лист1!AC11</f>
        <v>51469.35662925</v>
      </c>
      <c r="I17" s="25">
        <f>Лист1!AG11+Лист1!AH11</f>
        <v>4254.4271656</v>
      </c>
      <c r="J17" s="12">
        <f>Лист1!AI11+Лист1!AJ11</f>
        <v>5296.313656719999</v>
      </c>
      <c r="K17" s="12">
        <f>Лист1!AK11+Лист1!AL11+Лист1!AM11+Лист1!AN11+Лист1!AO11+Лист1!AP11+Лист1!AQ11+Лист1!AZ11+Лист1!BA11</f>
        <v>17482.191358431</v>
      </c>
      <c r="L17" s="27">
        <f>Лист1!AS11+Лист1!AT11+Лист1!AU11</f>
        <v>31164.98</v>
      </c>
      <c r="M17" s="27">
        <f>Лист1!AX11</f>
        <v>0</v>
      </c>
      <c r="N17" s="165">
        <f>Лист1!BB11</f>
        <v>58197.912180750995</v>
      </c>
      <c r="O17" s="166">
        <f>Лист1!BE11</f>
        <v>-6728.555551500991</v>
      </c>
      <c r="P17" s="59">
        <f>Лист1!BF11</f>
        <v>3700.7000000000007</v>
      </c>
      <c r="Q17" s="1"/>
      <c r="R17" s="1"/>
    </row>
    <row r="18" spans="1:18" s="16" customFormat="1" ht="13.5" hidden="1" thickBot="1">
      <c r="A18" s="29" t="s">
        <v>3</v>
      </c>
      <c r="B18" s="30"/>
      <c r="C18" s="31">
        <f>SUM(C15:C17)</f>
        <v>137137.965</v>
      </c>
      <c r="D18" s="31">
        <f aca="true" t="shared" si="0" ref="D18:P18">SUM(D15:D17)</f>
        <v>33009.56530205</v>
      </c>
      <c r="E18" s="31">
        <f t="shared" si="0"/>
        <v>88994.27</v>
      </c>
      <c r="F18" s="31">
        <f t="shared" si="0"/>
        <v>23434.63</v>
      </c>
      <c r="G18" s="31">
        <f t="shared" si="0"/>
        <v>53049.899999999994</v>
      </c>
      <c r="H18" s="31">
        <f t="shared" si="0"/>
        <v>109494.09530205</v>
      </c>
      <c r="I18" s="31">
        <f t="shared" si="0"/>
        <v>12777.809189999998</v>
      </c>
      <c r="J18" s="31">
        <f t="shared" si="0"/>
        <v>15919.847662319997</v>
      </c>
      <c r="K18" s="31">
        <f t="shared" si="0"/>
        <v>52548.724140770995</v>
      </c>
      <c r="L18" s="31">
        <f t="shared" si="0"/>
        <v>34610.58</v>
      </c>
      <c r="M18" s="31">
        <f t="shared" si="0"/>
        <v>0</v>
      </c>
      <c r="N18" s="31">
        <f t="shared" si="0"/>
        <v>115856.960993091</v>
      </c>
      <c r="O18" s="31">
        <f t="shared" si="0"/>
        <v>-6362.8656910409845</v>
      </c>
      <c r="P18" s="31">
        <f t="shared" si="0"/>
        <v>-35944.37000000001</v>
      </c>
      <c r="Q18" s="56"/>
      <c r="R18" s="56"/>
    </row>
    <row r="19" spans="1:18" ht="12.75" hidden="1">
      <c r="A19" s="7" t="s">
        <v>42</v>
      </c>
      <c r="B19" s="111"/>
      <c r="C19" s="35"/>
      <c r="D19" s="36"/>
      <c r="E19" s="37"/>
      <c r="F19" s="39"/>
      <c r="G19" s="167"/>
      <c r="H19" s="168"/>
      <c r="I19" s="38"/>
      <c r="J19" s="37"/>
      <c r="K19" s="37"/>
      <c r="L19" s="121"/>
      <c r="M19" s="121"/>
      <c r="N19" s="169"/>
      <c r="O19" s="170"/>
      <c r="P19" s="171"/>
      <c r="Q19" s="1"/>
      <c r="R19" s="1"/>
    </row>
    <row r="20" spans="1:18" ht="12.75" hidden="1">
      <c r="A20" s="11" t="s">
        <v>43</v>
      </c>
      <c r="B20" s="47">
        <f>Лист1!B14</f>
        <v>5281.4</v>
      </c>
      <c r="C20" s="23">
        <f>Лист1!C14</f>
        <v>45684.11</v>
      </c>
      <c r="D20" s="24">
        <f>Лист1!D14</f>
        <v>5710.51375</v>
      </c>
      <c r="E20" s="12">
        <f>Лист1!S14</f>
        <v>29797.92</v>
      </c>
      <c r="F20" s="26">
        <f>Лист1!T14</f>
        <v>7933.76</v>
      </c>
      <c r="G20" s="163">
        <f>Лист1!AB14</f>
        <v>23874.43</v>
      </c>
      <c r="H20" s="164">
        <f>Лист1!AC14</f>
        <v>37518.70375</v>
      </c>
      <c r="I20" s="25">
        <f>Лист1!AG14+Лист1!AH14</f>
        <v>3793.10148</v>
      </c>
      <c r="J20" s="12">
        <f>Лист1!AI14+Лист1!AJ14</f>
        <v>4592.687121399999</v>
      </c>
      <c r="K20" s="12">
        <f>Лист1!AK14+Лист1!AL14+Лист1!AM14+Лист1!AN14+Лист1!AO14+Лист1!AP14+Лист1!AQ14+Лист1!AZ14+Лист1!BA14</f>
        <v>14832.059406127999</v>
      </c>
      <c r="L20" s="27">
        <f>Лист1!AS14+Лист1!AT14+Лист1!AU14</f>
        <v>13102.73</v>
      </c>
      <c r="M20" s="27">
        <f>Лист1!AX14</f>
        <v>0</v>
      </c>
      <c r="N20" s="165">
        <f>Лист1!BB14</f>
        <v>36320.578007528</v>
      </c>
      <c r="O20" s="166">
        <f>Лист1!BE14</f>
        <v>1198.1257424720025</v>
      </c>
      <c r="P20" s="59">
        <f>Лист1!BF14</f>
        <v>-5923.489999999998</v>
      </c>
      <c r="Q20" s="1"/>
      <c r="R20" s="1"/>
    </row>
    <row r="21" spans="1:18" ht="12.75" hidden="1">
      <c r="A21" s="11" t="s">
        <v>44</v>
      </c>
      <c r="B21" s="47">
        <f>Лист1!B15</f>
        <v>5281.4</v>
      </c>
      <c r="C21" s="23">
        <f>Лист1!C15</f>
        <v>45684.11</v>
      </c>
      <c r="D21" s="24">
        <f>Лист1!D15</f>
        <v>5710.51375</v>
      </c>
      <c r="E21" s="12">
        <f>Лист1!S15</f>
        <v>29388.520000000004</v>
      </c>
      <c r="F21" s="26">
        <f>Лист1!T15</f>
        <v>7860.18</v>
      </c>
      <c r="G21" s="163">
        <f>Лист1!AB15</f>
        <v>27221.42</v>
      </c>
      <c r="H21" s="164">
        <f>Лист1!AC15</f>
        <v>40792.11375</v>
      </c>
      <c r="I21" s="25">
        <f>Лист1!AG15+Лист1!AH15</f>
        <v>3818.7690839999996</v>
      </c>
      <c r="J21" s="12">
        <f>Лист1!AI15+Лист1!AJ15</f>
        <v>4587.4134772</v>
      </c>
      <c r="K21" s="12">
        <f>Лист1!AK15+Лист1!AL15+Лист1!AM15+Лист1!AN15+Лист1!AO15+Лист1!AP15+Лист1!AQ15+Лист1!AZ15+Лист1!BA15</f>
        <v>14828.644241631995</v>
      </c>
      <c r="L21" s="27">
        <f>Лист1!AS15+Лист1!AT15+Лист1!AU15</f>
        <v>9266.54</v>
      </c>
      <c r="M21" s="27">
        <f>Лист1!AX15</f>
        <v>0</v>
      </c>
      <c r="N21" s="165">
        <f>Лист1!BB15</f>
        <v>32501.366802831995</v>
      </c>
      <c r="O21" s="166">
        <f>Лист1!BE15</f>
        <v>8290.746947168001</v>
      </c>
      <c r="P21" s="59">
        <f>Лист1!BF15</f>
        <v>-2167.100000000006</v>
      </c>
      <c r="Q21" s="1"/>
      <c r="R21" s="1"/>
    </row>
    <row r="22" spans="1:18" ht="12.75" hidden="1">
      <c r="A22" s="11" t="s">
        <v>45</v>
      </c>
      <c r="B22" s="47">
        <f>Лист1!B16</f>
        <v>5281.4</v>
      </c>
      <c r="C22" s="23">
        <f>Лист1!C16</f>
        <v>45684.11</v>
      </c>
      <c r="D22" s="24">
        <f>Лист1!D16</f>
        <v>5710.51375</v>
      </c>
      <c r="E22" s="12">
        <f>Лист1!S16</f>
        <v>30030.94</v>
      </c>
      <c r="F22" s="26">
        <f>Лист1!T16</f>
        <v>7922.56</v>
      </c>
      <c r="G22" s="163">
        <f>Лист1!AB16</f>
        <v>28203.2</v>
      </c>
      <c r="H22" s="164">
        <f>Лист1!AC16</f>
        <v>41836.27375</v>
      </c>
      <c r="I22" s="25">
        <f>Лист1!AG16+Лист1!AH16</f>
        <v>3811.2594959999997</v>
      </c>
      <c r="J22" s="12">
        <f>Лист1!AI16+Лист1!AJ16</f>
        <v>4595.3593435</v>
      </c>
      <c r="K22" s="12">
        <f>Лист1!AK16+Лист1!AL16+Лист1!AM16+Лист1!AN16+Лист1!AO16+Лист1!AP16+Лист1!AQ16+Лист1!AZ16+Лист1!BA16</f>
        <v>14309.539238239999</v>
      </c>
      <c r="L22" s="27">
        <f>Лист1!AS16+Лист1!AT16+Лист1!AU16</f>
        <v>2931.12</v>
      </c>
      <c r="M22" s="27">
        <f>Лист1!AX16</f>
        <v>0</v>
      </c>
      <c r="N22" s="165">
        <f>Лист1!BB16</f>
        <v>25647.278077739997</v>
      </c>
      <c r="O22" s="166">
        <f>Лист1!BE16</f>
        <v>16188.995672260004</v>
      </c>
      <c r="P22" s="59">
        <f>Лист1!BF16</f>
        <v>-1827.739999999998</v>
      </c>
      <c r="Q22" s="1"/>
      <c r="R22" s="1"/>
    </row>
    <row r="23" spans="1:18" ht="12.75" hidden="1">
      <c r="A23" s="11" t="s">
        <v>46</v>
      </c>
      <c r="B23" s="47">
        <f>Лист1!B17</f>
        <v>5281.4</v>
      </c>
      <c r="C23" s="23">
        <f>Лист1!C17</f>
        <v>45684.11</v>
      </c>
      <c r="D23" s="24">
        <f>Лист1!D17</f>
        <v>5710.51375</v>
      </c>
      <c r="E23" s="12">
        <f>Лист1!S17</f>
        <v>30842.87</v>
      </c>
      <c r="F23" s="26">
        <f>Лист1!T17</f>
        <v>8149.64</v>
      </c>
      <c r="G23" s="163">
        <f>Лист1!AB17</f>
        <v>33441.75</v>
      </c>
      <c r="H23" s="164">
        <f>Лист1!AC17</f>
        <v>47301.90375</v>
      </c>
      <c r="I23" s="25">
        <f>Лист1!AG17+Лист1!AH17</f>
        <v>3827.3249519999995</v>
      </c>
      <c r="J23" s="12">
        <f>Лист1!AI17+Лист1!AJ17</f>
        <v>4732.54616828</v>
      </c>
      <c r="K23" s="12">
        <f>Лист1!AK17+Лист1!AL17+Лист1!AM17+Лист1!AN17+Лист1!AO17+Лист1!AP17+Лист1!AQ17+Лист1!AZ17+Лист1!BA17</f>
        <v>14511.022143503998</v>
      </c>
      <c r="L23" s="27">
        <f>Лист1!AS17+Лист1!AT17+Лист1!AU17</f>
        <v>3313.6524</v>
      </c>
      <c r="M23" s="27">
        <f>Лист1!AX17-M20-M21-M22</f>
        <v>7424.09</v>
      </c>
      <c r="N23" s="165">
        <f>Лист1!BB17</f>
        <v>33808.63566378399</v>
      </c>
      <c r="O23" s="166">
        <f>Лист1!BE17</f>
        <v>13493.268086216005</v>
      </c>
      <c r="P23" s="59">
        <f>Лист1!BF17</f>
        <v>2598.880000000001</v>
      </c>
      <c r="Q23" s="1"/>
      <c r="R23" s="1"/>
    </row>
    <row r="24" spans="1:18" ht="12.75" hidden="1">
      <c r="A24" s="11" t="s">
        <v>47</v>
      </c>
      <c r="B24" s="47">
        <f>Лист1!B18</f>
        <v>5281.4</v>
      </c>
      <c r="C24" s="23">
        <f>Лист1!C18</f>
        <v>45684.11</v>
      </c>
      <c r="D24" s="24">
        <f>Лист1!D18</f>
        <v>4111.810000000001</v>
      </c>
      <c r="E24" s="12">
        <f>Лист1!S18</f>
        <v>32482.280000000002</v>
      </c>
      <c r="F24" s="26">
        <f>Лист1!T18</f>
        <v>9090.02</v>
      </c>
      <c r="G24" s="163">
        <f>Лист1!AB18</f>
        <v>31728.629999999997</v>
      </c>
      <c r="H24" s="164">
        <f>Лист1!AC18</f>
        <v>44930.46</v>
      </c>
      <c r="I24" s="25">
        <f>Лист1!AG18+Лист1!AH18</f>
        <v>4235.6828</v>
      </c>
      <c r="J24" s="12">
        <f>Лист1!AI18+Лист1!AJ18</f>
        <v>5297.244199999999</v>
      </c>
      <c r="K24" s="12">
        <f>Лист1!AK18+Лист1!AL18+Лист1!AM18+Лист1!AN18+Лист1!AO18+Лист1!AP18+Лист1!AQ18+Лист1!AZ18+Лист1!BA18</f>
        <v>17075.81068</v>
      </c>
      <c r="L24" s="27">
        <f>Лист1!AS18+Лист1!AT18+Лист1!AU18</f>
        <v>944</v>
      </c>
      <c r="M24" s="27">
        <f>Лист1!AX18</f>
        <v>1216.5328</v>
      </c>
      <c r="N24" s="165">
        <f>Лист1!BB18</f>
        <v>28769.27048</v>
      </c>
      <c r="O24" s="166">
        <f>Лист1!BE18</f>
        <v>16161.18952</v>
      </c>
      <c r="P24" s="59">
        <f>Лист1!BF18</f>
        <v>-753.6500000000051</v>
      </c>
      <c r="Q24" s="1"/>
      <c r="R24" s="1"/>
    </row>
    <row r="25" spans="1:18" ht="12.75" hidden="1">
      <c r="A25" s="11" t="s">
        <v>48</v>
      </c>
      <c r="B25" s="47">
        <f>Лист1!B19</f>
        <v>5281.4</v>
      </c>
      <c r="C25" s="23">
        <f>Лист1!C19</f>
        <v>45684.11</v>
      </c>
      <c r="D25" s="24">
        <f>Лист1!D19</f>
        <v>5293.4</v>
      </c>
      <c r="E25" s="12">
        <f>Лист1!S19</f>
        <v>31300.699999999997</v>
      </c>
      <c r="F25" s="26">
        <f>Лист1!T19</f>
        <v>9090.01</v>
      </c>
      <c r="G25" s="163">
        <f>Лист1!AB19</f>
        <v>31499.32</v>
      </c>
      <c r="H25" s="164">
        <f>Лист1!AC19</f>
        <v>45882.729999999996</v>
      </c>
      <c r="I25" s="25">
        <f>Лист1!AG19+Лист1!AH19</f>
        <v>4236.148126</v>
      </c>
      <c r="J25" s="12">
        <f>Лист1!AI19+Лист1!AJ19</f>
        <v>5297.255999999999</v>
      </c>
      <c r="K25" s="12">
        <f>Лист1!AK19+Лист1!AL19+Лист1!AM19+Лист1!AN19+Лист1!AO19+Лист1!AP19+Лист1!AQ19+Лист1!AZ19+Лист1!BA19</f>
        <v>17075.83428</v>
      </c>
      <c r="L25" s="27">
        <f>Лист1!AS19+Лист1!AT19+Лист1!AU19</f>
        <v>40232.808</v>
      </c>
      <c r="M25" s="27">
        <f>Лист1!AX19</f>
        <v>1077.7648000000002</v>
      </c>
      <c r="N25" s="165">
        <f>Лист1!BB19</f>
        <v>67919.811206</v>
      </c>
      <c r="O25" s="166">
        <f>Лист1!BE19</f>
        <v>-22037.081206000003</v>
      </c>
      <c r="P25" s="59">
        <f>Лист1!BF19</f>
        <v>198.62000000000262</v>
      </c>
      <c r="Q25" s="1"/>
      <c r="R25" s="1"/>
    </row>
    <row r="26" spans="1:18" ht="12.75" hidden="1">
      <c r="A26" s="11" t="s">
        <v>49</v>
      </c>
      <c r="B26" s="47">
        <f>Лист1!B20</f>
        <v>5281.4</v>
      </c>
      <c r="C26" s="23">
        <f>Лист1!C20</f>
        <v>45684.11</v>
      </c>
      <c r="D26" s="24">
        <f>Лист1!D20</f>
        <v>4568.840000000003</v>
      </c>
      <c r="E26" s="12">
        <f>Лист1!S20</f>
        <v>31997.859999999997</v>
      </c>
      <c r="F26" s="26">
        <f>Лист1!T20</f>
        <v>9117.41</v>
      </c>
      <c r="G26" s="163">
        <f>Лист1!AB20</f>
        <v>31142.16</v>
      </c>
      <c r="H26" s="164">
        <f>Лист1!AC20</f>
        <v>44828.41</v>
      </c>
      <c r="I26" s="25">
        <f>Лист1!AG20+Лист1!AH20</f>
        <v>4219.0463899999995</v>
      </c>
      <c r="J26" s="12">
        <f>Лист1!AI20+Лист1!AJ20</f>
        <v>5221.4936079399995</v>
      </c>
      <c r="K26" s="12">
        <f>Лист1!AK20+Лист1!AL20+Лист1!AM20+Лист1!AN20+Лист1!AO20+Лист1!AP20+Лист1!AQ20+Лист1!AZ20+Лист1!BA20</f>
        <v>16912.411844508</v>
      </c>
      <c r="L26" s="27">
        <f>Лист1!AS20+Лист1!AT20+Лист1!AU20</f>
        <v>39538.6376</v>
      </c>
      <c r="M26" s="27">
        <f>Лист1!AX20</f>
        <v>1147.1488</v>
      </c>
      <c r="N26" s="165">
        <f>Лист1!BB20</f>
        <v>67038.73824244799</v>
      </c>
      <c r="O26" s="166">
        <f>Лист1!BE20</f>
        <v>-22023.119664847985</v>
      </c>
      <c r="P26" s="59">
        <f>Лист1!BF20</f>
        <v>-855.6999999999971</v>
      </c>
      <c r="Q26" s="1"/>
      <c r="R26" s="1"/>
    </row>
    <row r="27" spans="1:18" ht="12.75" hidden="1">
      <c r="A27" s="11" t="s">
        <v>50</v>
      </c>
      <c r="B27" s="47">
        <f>Лист1!B21</f>
        <v>5281.4</v>
      </c>
      <c r="C27" s="23">
        <f>Лист1!C21</f>
        <v>45684.11</v>
      </c>
      <c r="D27" s="24">
        <f>Лист1!D21</f>
        <v>4102.279999999993</v>
      </c>
      <c r="E27" s="12">
        <f>Лист1!S21</f>
        <v>32279.5</v>
      </c>
      <c r="F27" s="26">
        <f>Лист1!T21</f>
        <v>9302.33</v>
      </c>
      <c r="G27" s="163">
        <f>Лист1!AB21</f>
        <v>29032.410000000003</v>
      </c>
      <c r="H27" s="164">
        <f>Лист1!AC21</f>
        <v>42437.02</v>
      </c>
      <c r="I27" s="25">
        <f>Лист1!AG21+Лист1!AH21</f>
        <v>4223.79965</v>
      </c>
      <c r="J27" s="12">
        <f>Лист1!AI21+Лист1!AJ21</f>
        <v>5219.1098480499995</v>
      </c>
      <c r="K27" s="12">
        <f>Лист1!AK21+Лист1!AL21+Лист1!AM21+Лист1!AN21+Лист1!AO21+Лист1!AP21+Лист1!AQ21+Лист1!AZ21+Лист1!BA21</f>
        <v>16903.873933267998</v>
      </c>
      <c r="L27" s="27">
        <f>Лист1!AS21+Лист1!AT21+Лист1!AU21</f>
        <v>22921.1224</v>
      </c>
      <c r="M27" s="27">
        <f>Лист1!AX21</f>
        <v>1355.3008000000002</v>
      </c>
      <c r="N27" s="165">
        <f>Лист1!BB21</f>
        <v>50623.206631318</v>
      </c>
      <c r="O27" s="166">
        <f>Лист1!BE21</f>
        <v>-7998.921442037999</v>
      </c>
      <c r="P27" s="59">
        <f>Лист1!BF21</f>
        <v>-3247.0899999999965</v>
      </c>
      <c r="Q27" s="1"/>
      <c r="R27" s="1"/>
    </row>
    <row r="28" spans="1:18" ht="12.75" hidden="1">
      <c r="A28" s="11" t="s">
        <v>51</v>
      </c>
      <c r="B28" s="47">
        <f>Лист1!B22</f>
        <v>5281.4</v>
      </c>
      <c r="C28" s="23">
        <f>Лист1!C22</f>
        <v>45684.11</v>
      </c>
      <c r="D28" s="24">
        <f>Лист1!D22</f>
        <v>4091.0099999999934</v>
      </c>
      <c r="E28" s="12">
        <f>Лист1!S22</f>
        <v>32684.310000000005</v>
      </c>
      <c r="F28" s="26">
        <f>Лист1!T22</f>
        <v>8908.79</v>
      </c>
      <c r="G28" s="163">
        <f>Лист1!AB22</f>
        <v>25776.35</v>
      </c>
      <c r="H28" s="164">
        <f>Лист1!AC22</f>
        <v>38776.149999999994</v>
      </c>
      <c r="I28" s="25">
        <f>Лист1!AG22+Лист1!AH22</f>
        <v>4224.803115999999</v>
      </c>
      <c r="J28" s="12">
        <f>Лист1!AI22+Лист1!AJ22</f>
        <v>5218.209316535999</v>
      </c>
      <c r="K28" s="12">
        <f>Лист1!AK22+Лист1!AL22+Лист1!AM22+Лист1!AN22+Лист1!AO22+Лист1!AP22+Лист1!AQ22+Лист1!AZ22+Лист1!BA22</f>
        <v>16901.819848928797</v>
      </c>
      <c r="L28" s="27">
        <f>Лист1!AS22+Лист1!AT22+Лист1!AU22</f>
        <v>0</v>
      </c>
      <c r="M28" s="27">
        <f>Лист1!AX22</f>
        <v>1614.3344000000002</v>
      </c>
      <c r="N28" s="165">
        <f>Лист1!BB22</f>
        <v>27959.166681464794</v>
      </c>
      <c r="O28" s="166">
        <f>Лист1!BE22</f>
        <v>11004.2673434472</v>
      </c>
      <c r="P28" s="59">
        <f>Лист1!BF22</f>
        <v>-6907.960000000006</v>
      </c>
      <c r="Q28" s="1"/>
      <c r="R28" s="1"/>
    </row>
    <row r="29" spans="1:18" ht="12.75" hidden="1">
      <c r="A29" s="11" t="s">
        <v>39</v>
      </c>
      <c r="B29" s="47">
        <f>Лист1!B23</f>
        <v>5280.4</v>
      </c>
      <c r="C29" s="23">
        <f>Лист1!C23</f>
        <v>45675.46</v>
      </c>
      <c r="D29" s="24">
        <f>Лист1!D23</f>
        <v>4168.060000000001</v>
      </c>
      <c r="E29" s="12">
        <f>Лист1!S23</f>
        <v>31817.939999999995</v>
      </c>
      <c r="F29" s="26">
        <f>Лист1!T23</f>
        <v>9689.46</v>
      </c>
      <c r="G29" s="163">
        <f>Лист1!AB23</f>
        <v>32533.479999999996</v>
      </c>
      <c r="H29" s="164">
        <f>Лист1!AC23</f>
        <v>46391</v>
      </c>
      <c r="I29" s="25">
        <f>Лист1!AG23+Лист1!AH23</f>
        <v>4224.32</v>
      </c>
      <c r="J29" s="12">
        <f>Лист1!AI23+Лист1!AJ23</f>
        <v>5277.548583999999</v>
      </c>
      <c r="K29" s="12">
        <f>Лист1!AK23+Лист1!AL23+Лист1!AM23+Лист1!AN23+Лист1!AO23+Лист1!AP23+Лист1!AQ23+Лист1!AR23</f>
        <v>24326.480359999994</v>
      </c>
      <c r="L29" s="27">
        <f>Лист1!AS23+Лист1!AT23+Лист1!AU23</f>
        <v>1715.2834000000003</v>
      </c>
      <c r="M29" s="27">
        <f>Лист1!AX23</f>
        <v>1965.88</v>
      </c>
      <c r="N29" s="165">
        <f>Лист1!BB23</f>
        <v>37509.512343999995</v>
      </c>
      <c r="O29" s="166">
        <f>Лист1!BE23</f>
        <v>11328.750880000005</v>
      </c>
      <c r="P29" s="59">
        <f>Лист1!BF23</f>
        <v>715.5400000000009</v>
      </c>
      <c r="Q29" s="1"/>
      <c r="R29" s="1"/>
    </row>
    <row r="30" spans="1:18" ht="12.75" hidden="1">
      <c r="A30" s="11" t="s">
        <v>40</v>
      </c>
      <c r="B30" s="47">
        <f>Лист1!B24</f>
        <v>5280.4</v>
      </c>
      <c r="C30" s="23">
        <f>Лист1!C24</f>
        <v>45675.46</v>
      </c>
      <c r="D30" s="24">
        <f>Лист1!D24</f>
        <v>4128.27999999999</v>
      </c>
      <c r="E30" s="12">
        <f>Лист1!S24</f>
        <v>32159.230000000003</v>
      </c>
      <c r="F30" s="26">
        <f>Лист1!T24</f>
        <v>9387.95</v>
      </c>
      <c r="G30" s="163">
        <f>Лист1!AB24</f>
        <v>31312.109999999993</v>
      </c>
      <c r="H30" s="164">
        <f>Лист1!AC24</f>
        <v>44828.33999999998</v>
      </c>
      <c r="I30" s="25">
        <f>Лист1!AG24+Лист1!AH24</f>
        <v>4224.32</v>
      </c>
      <c r="J30" s="12">
        <f>Лист1!AI24+Лист1!AJ24</f>
        <v>5296.241199999999</v>
      </c>
      <c r="K30" s="12">
        <f>Лист1!AK24+Лист1!AL24+Лист1!AM24+Лист1!AN24+Лист1!AO24+Лист1!AP24+Лист1!AQ24+Лист1!AZ24+Лист1!BA24</f>
        <v>17072.589279999997</v>
      </c>
      <c r="L30" s="27">
        <f>Лист1!AS24+Лист1!AT24+Лист1!AU24</f>
        <v>16884.62</v>
      </c>
      <c r="M30" s="27">
        <f>Лист1!AX24</f>
        <v>2174.032</v>
      </c>
      <c r="N30" s="165">
        <f>Лист1!BB24</f>
        <v>45651.80248</v>
      </c>
      <c r="O30" s="166">
        <f>Лист1!BE24</f>
        <v>-2929.7367800000156</v>
      </c>
      <c r="P30" s="59">
        <f>Лист1!BF24</f>
        <v>-847.1200000000099</v>
      </c>
      <c r="Q30" s="1"/>
      <c r="R30" s="1"/>
    </row>
    <row r="31" spans="1:18" ht="13.5" hidden="1" thickBot="1">
      <c r="A31" s="28" t="s">
        <v>41</v>
      </c>
      <c r="B31" s="47">
        <f>Лист1!B25</f>
        <v>5280.4</v>
      </c>
      <c r="C31" s="23">
        <f>Лист1!C25</f>
        <v>45675.46</v>
      </c>
      <c r="D31" s="24">
        <f>Лист1!D25</f>
        <v>4816.039999999997</v>
      </c>
      <c r="E31" s="12">
        <f>Лист1!S25</f>
        <v>31405.980000000003</v>
      </c>
      <c r="F31" s="26">
        <f>Лист1!T25</f>
        <v>9453.44</v>
      </c>
      <c r="G31" s="163">
        <f>Лист1!AB25</f>
        <v>40340.86</v>
      </c>
      <c r="H31" s="164">
        <f>Лист1!AC25</f>
        <v>54610.34</v>
      </c>
      <c r="I31" s="25">
        <f>Лист1!AG25+Лист1!AH25</f>
        <v>4224.32</v>
      </c>
      <c r="J31" s="12">
        <f>Лист1!AI25+Лист1!AJ25</f>
        <v>5296.241199999999</v>
      </c>
      <c r="K31" s="12">
        <f>Лист1!AK25+Лист1!AL25+Лист1!AM25+Лист1!AN25+Лист1!AO25+Лист1!AP25+Лист1!AQ25+Лист1!AZ25+Лист1!BA25</f>
        <v>17072.589279999997</v>
      </c>
      <c r="L31" s="27">
        <f>Лист1!AS25+Лист1!AT25+Лист1!AU25</f>
        <v>26922.88</v>
      </c>
      <c r="M31" s="27">
        <f>Лист1!AX25</f>
        <v>2377.5584</v>
      </c>
      <c r="N31" s="165">
        <f>Лист1!BB25</f>
        <v>55893.588879999996</v>
      </c>
      <c r="O31" s="166">
        <f>Лист1!BE25</f>
        <v>-3389.5231799999983</v>
      </c>
      <c r="P31" s="59">
        <f>Лист1!BF25</f>
        <v>8934.879999999997</v>
      </c>
      <c r="Q31" s="1"/>
      <c r="R31" s="1"/>
    </row>
    <row r="32" spans="1:18" s="16" customFormat="1" ht="13.5" hidden="1" thickBot="1">
      <c r="A32" s="29" t="s">
        <v>3</v>
      </c>
      <c r="B32" s="30"/>
      <c r="C32" s="31">
        <f aca="true" t="shared" si="1" ref="C32:P32">SUM(C20:C31)</f>
        <v>548183.37</v>
      </c>
      <c r="D32" s="54">
        <f t="shared" si="1"/>
        <v>58121.77499999998</v>
      </c>
      <c r="E32" s="31">
        <f t="shared" si="1"/>
        <v>376188.04999999993</v>
      </c>
      <c r="F32" s="55">
        <f t="shared" si="1"/>
        <v>105905.55</v>
      </c>
      <c r="G32" s="172">
        <f t="shared" si="1"/>
        <v>366106.12</v>
      </c>
      <c r="H32" s="173">
        <f t="shared" si="1"/>
        <v>530133.445</v>
      </c>
      <c r="I32" s="54">
        <f t="shared" si="1"/>
        <v>49062.895094</v>
      </c>
      <c r="J32" s="31">
        <f t="shared" si="1"/>
        <v>60631.35006690599</v>
      </c>
      <c r="K32" s="31">
        <f t="shared" si="1"/>
        <v>201822.67453620874</v>
      </c>
      <c r="L32" s="31">
        <f t="shared" si="1"/>
        <v>177773.39380000002</v>
      </c>
      <c r="M32" s="31">
        <f t="shared" si="1"/>
        <v>20352.642</v>
      </c>
      <c r="N32" s="174">
        <f t="shared" si="1"/>
        <v>509642.9554971148</v>
      </c>
      <c r="O32" s="54">
        <f t="shared" si="1"/>
        <v>19286.961918677218</v>
      </c>
      <c r="P32" s="60">
        <f t="shared" si="1"/>
        <v>-10081.930000000015</v>
      </c>
      <c r="Q32" s="56"/>
      <c r="R32" s="56"/>
    </row>
    <row r="33" spans="1:18" ht="13.5" thickBot="1">
      <c r="A33" s="175" t="s">
        <v>94</v>
      </c>
      <c r="B33" s="176"/>
      <c r="C33" s="176"/>
      <c r="D33" s="176"/>
      <c r="E33" s="176"/>
      <c r="F33" s="176"/>
      <c r="G33" s="176"/>
      <c r="H33" s="177"/>
      <c r="I33" s="176"/>
      <c r="J33" s="176"/>
      <c r="K33" s="176"/>
      <c r="L33" s="176"/>
      <c r="M33" s="176"/>
      <c r="N33" s="177"/>
      <c r="O33" s="176"/>
      <c r="P33" s="62"/>
      <c r="Q33" s="1"/>
      <c r="R33" s="1"/>
    </row>
    <row r="34" spans="1:18" s="16" customFormat="1" ht="13.5" thickBot="1">
      <c r="A34" s="63" t="s">
        <v>52</v>
      </c>
      <c r="B34" s="33"/>
      <c r="C34" s="34">
        <f>C18+C32</f>
        <v>685321.335</v>
      </c>
      <c r="D34" s="32">
        <f aca="true" t="shared" si="2" ref="D34:P34">D18+D32</f>
        <v>91131.34030204998</v>
      </c>
      <c r="E34" s="33">
        <f t="shared" si="2"/>
        <v>465182.31999999995</v>
      </c>
      <c r="F34" s="34">
        <f t="shared" si="2"/>
        <v>129340.18000000001</v>
      </c>
      <c r="G34" s="32">
        <f t="shared" si="2"/>
        <v>419156.02</v>
      </c>
      <c r="H34" s="178">
        <f t="shared" si="2"/>
        <v>639627.54030205</v>
      </c>
      <c r="I34" s="32">
        <f t="shared" si="2"/>
        <v>61840.704284</v>
      </c>
      <c r="J34" s="33">
        <f t="shared" si="2"/>
        <v>76551.19772922598</v>
      </c>
      <c r="K34" s="33">
        <f t="shared" si="2"/>
        <v>254371.39867697973</v>
      </c>
      <c r="L34" s="33">
        <f t="shared" si="2"/>
        <v>212383.97380000004</v>
      </c>
      <c r="M34" s="33">
        <f t="shared" si="2"/>
        <v>20352.642</v>
      </c>
      <c r="N34" s="179">
        <f t="shared" si="2"/>
        <v>625499.9164902058</v>
      </c>
      <c r="O34" s="180">
        <f t="shared" si="2"/>
        <v>12924.096227636233</v>
      </c>
      <c r="P34" s="61">
        <f t="shared" si="2"/>
        <v>-46026.300000000025</v>
      </c>
      <c r="Q34" s="57"/>
      <c r="R34" s="56"/>
    </row>
    <row r="35" spans="1:18" ht="12.75">
      <c r="A35" s="7" t="s">
        <v>88</v>
      </c>
      <c r="B35" s="111"/>
      <c r="C35" s="35"/>
      <c r="D35" s="36"/>
      <c r="E35" s="37"/>
      <c r="F35" s="39"/>
      <c r="G35" s="167"/>
      <c r="H35" s="168"/>
      <c r="I35" s="38"/>
      <c r="J35" s="37"/>
      <c r="K35" s="37"/>
      <c r="L35" s="121"/>
      <c r="M35" s="121"/>
      <c r="N35" s="169"/>
      <c r="O35" s="170"/>
      <c r="P35" s="171"/>
      <c r="Q35" s="1"/>
      <c r="R35" s="1"/>
    </row>
    <row r="36" spans="1:18" ht="12.75">
      <c r="A36" s="11" t="s">
        <v>43</v>
      </c>
      <c r="B36" s="47">
        <f>Лист1!B30</f>
        <v>5280.4</v>
      </c>
      <c r="C36" s="23">
        <f>Лист1!C30</f>
        <v>45675.46</v>
      </c>
      <c r="D36" s="24">
        <f>Лист1!D30</f>
        <v>4139.510000000002</v>
      </c>
      <c r="E36" s="12">
        <f>Лист1!S30</f>
        <v>31983.36</v>
      </c>
      <c r="F36" s="26">
        <f>Лист1!T30</f>
        <v>9552.59</v>
      </c>
      <c r="G36" s="163">
        <f>Лист1!AB30</f>
        <v>26893.019999999997</v>
      </c>
      <c r="H36" s="164">
        <f>Лист1!AC30</f>
        <v>40585.119999999995</v>
      </c>
      <c r="I36" s="25">
        <f>Лист1!AG30</f>
        <v>3168.24</v>
      </c>
      <c r="J36" s="12">
        <f>Лист1!AI30+Лист1!AJ30</f>
        <v>5280.4</v>
      </c>
      <c r="K36" s="12">
        <f>Лист1!AH30+Лист1!AK30+Лист1!AL30+Лист1!AM30+Лист1!AN30+Лист1!AO30+Лист1!AP30+Лист1!AQ30+Лист1!AR30</f>
        <v>18111.771999999997</v>
      </c>
      <c r="L36" s="27">
        <f>Лист1!AS30+Лист1!AT30+Лист1!AU30</f>
        <v>2492</v>
      </c>
      <c r="M36" s="27">
        <f>Лист1!AX30</f>
        <v>2489.2</v>
      </c>
      <c r="N36" s="165">
        <f>Лист1!BB30</f>
        <v>31541.611999999997</v>
      </c>
      <c r="O36" s="166">
        <f>Лист1!BE30</f>
        <v>14434.195559999998</v>
      </c>
      <c r="P36" s="59">
        <f>Лист1!BF30</f>
        <v>-5090.340000000004</v>
      </c>
      <c r="Q36" s="1"/>
      <c r="R36" s="1"/>
    </row>
    <row r="37" spans="1:18" ht="12.75">
      <c r="A37" s="11" t="s">
        <v>44</v>
      </c>
      <c r="B37" s="47">
        <f>Лист1!B31</f>
        <v>5280.9</v>
      </c>
      <c r="C37" s="23">
        <f>Лист1!C31</f>
        <v>45679.784999999996</v>
      </c>
      <c r="D37" s="24">
        <f>Лист1!D31</f>
        <v>4509.465</v>
      </c>
      <c r="E37" s="12">
        <f>Лист1!S31</f>
        <v>31663.35</v>
      </c>
      <c r="F37" s="26">
        <f>Лист1!T31</f>
        <v>9506.97</v>
      </c>
      <c r="G37" s="163">
        <f>Лист1!AB31</f>
        <v>31279.96</v>
      </c>
      <c r="H37" s="164">
        <f>Лист1!AC31</f>
        <v>45296.395</v>
      </c>
      <c r="I37" s="25">
        <f>Лист1!AG31</f>
        <v>3168.5399999999995</v>
      </c>
      <c r="J37" s="12">
        <f>Лист1!AI31+Лист1!AJ31</f>
        <v>5280.9</v>
      </c>
      <c r="K37" s="12">
        <f>Лист1!AH31+Лист1!AK31+Лист1!AL31+Лист1!AM31+Лист1!AN31+Лист1!AO31+Лист1!AP31+Лист1!AQ31+Лист1!AR31</f>
        <v>18113.487</v>
      </c>
      <c r="L37" s="27">
        <f>Лист1!AS31+Лист1!AT31+Лист1!AU31</f>
        <v>1186</v>
      </c>
      <c r="M37" s="27">
        <f>Лист1!AX31</f>
        <v>1994.3</v>
      </c>
      <c r="N37" s="165">
        <f>Лист1!BB31</f>
        <v>29743.226999999995</v>
      </c>
      <c r="O37" s="166">
        <f>Лист1!BE31</f>
        <v>20943.855560000004</v>
      </c>
      <c r="P37" s="59">
        <f>Лист1!BF31</f>
        <v>-383.3899999999994</v>
      </c>
      <c r="Q37" s="1"/>
      <c r="R37" s="1"/>
    </row>
    <row r="38" spans="1:18" ht="12.75">
      <c r="A38" s="11" t="s">
        <v>45</v>
      </c>
      <c r="B38" s="47">
        <f>Лист1!B32</f>
        <v>5278.1</v>
      </c>
      <c r="C38" s="23">
        <f>Лист1!C32</f>
        <v>45655.565</v>
      </c>
      <c r="D38" s="24">
        <f>Лист1!D32</f>
        <v>4135.215000000002</v>
      </c>
      <c r="E38" s="12">
        <f>Лист1!S32</f>
        <v>31972.21</v>
      </c>
      <c r="F38" s="26">
        <f>Лист1!T32</f>
        <v>9548.14</v>
      </c>
      <c r="G38" s="163">
        <f>Лист1!AB32</f>
        <v>30939.21</v>
      </c>
      <c r="H38" s="164">
        <f>Лист1!AC32</f>
        <v>44622.565</v>
      </c>
      <c r="I38" s="25">
        <f>Лист1!AG32</f>
        <v>3166.86</v>
      </c>
      <c r="J38" s="12">
        <f>Лист1!AI32+Лист1!AJ32</f>
        <v>5278.1</v>
      </c>
      <c r="K38" s="12">
        <f>Лист1!AH32+Лист1!AK32+Лист1!AL32+Лист1!AM32+Лист1!AN32+Лист1!AO32+Лист1!AP32+Лист1!AQ32+Лист1!AR32</f>
        <v>28757.883</v>
      </c>
      <c r="L38" s="27">
        <f>Лист1!AS32+Лист1!AT32+Лист1!AU32</f>
        <v>275</v>
      </c>
      <c r="M38" s="27">
        <f>Лист1!AX32</f>
        <v>1876.6999999999998</v>
      </c>
      <c r="N38" s="165">
        <f>Лист1!BB32</f>
        <v>39354.543</v>
      </c>
      <c r="O38" s="166">
        <f>Лист1!BE32</f>
        <v>10658.709560000005</v>
      </c>
      <c r="P38" s="59">
        <f>Лист1!BF32</f>
        <v>-1033</v>
      </c>
      <c r="Q38" s="1"/>
      <c r="R38" s="1"/>
    </row>
    <row r="39" spans="1:18" ht="12.75">
      <c r="A39" s="11" t="s">
        <v>46</v>
      </c>
      <c r="B39" s="47">
        <f>Лист1!B33</f>
        <v>5278.1</v>
      </c>
      <c r="C39" s="23">
        <f>Лист1!C33</f>
        <v>45655.565</v>
      </c>
      <c r="D39" s="24">
        <f>Лист1!D33</f>
        <v>4110.485000000008</v>
      </c>
      <c r="E39" s="12">
        <f>Лист1!S33</f>
        <v>32730.54</v>
      </c>
      <c r="F39" s="26">
        <f>Лист1!T33</f>
        <v>8814.539999999999</v>
      </c>
      <c r="G39" s="163">
        <f>Лист1!AB33</f>
        <v>33441.75</v>
      </c>
      <c r="H39" s="164">
        <f>Лист1!AC33</f>
        <v>46366.77500000001</v>
      </c>
      <c r="I39" s="25">
        <f>Лист1!AG33</f>
        <v>3166.86</v>
      </c>
      <c r="J39" s="12">
        <f>Лист1!AI33+Лист1!AJ33</f>
        <v>5278.1</v>
      </c>
      <c r="K39" s="12">
        <f>Лист1!AH33+Лист1!AK33+Лист1!AL33+Лист1!AM33+Лист1!AN33+Лист1!AO33+Лист1!AP33+Лист1!AQ33+Лист1!AR33</f>
        <v>18103.883</v>
      </c>
      <c r="L39" s="27">
        <f>Лист1!AS33+Лист1!AT33+Лист1!AU33</f>
        <v>22767</v>
      </c>
      <c r="M39" s="27">
        <f>Лист1!AX33</f>
        <v>1504.3</v>
      </c>
      <c r="N39" s="165">
        <f>Лист1!BB33</f>
        <v>50820.143000000004</v>
      </c>
      <c r="O39" s="166">
        <f>Лист1!BE33</f>
        <v>937.3195600000054</v>
      </c>
      <c r="P39" s="59">
        <f>Лист1!BF33</f>
        <v>711.2099999999991</v>
      </c>
      <c r="Q39" s="1"/>
      <c r="R39" s="1"/>
    </row>
    <row r="40" spans="1:18" ht="12.75">
      <c r="A40" s="11" t="s">
        <v>47</v>
      </c>
      <c r="B40" s="47">
        <f>Лист1!B34</f>
        <v>5283.52</v>
      </c>
      <c r="C40" s="23">
        <f>Лист1!C34</f>
        <v>45702.448000000004</v>
      </c>
      <c r="D40" s="24">
        <f>Лист1!D34</f>
        <v>4140.517999999998</v>
      </c>
      <c r="E40" s="12">
        <f>Лист1!S34</f>
        <v>32188.67</v>
      </c>
      <c r="F40" s="26">
        <f>Лист1!T34</f>
        <v>9373.259999999998</v>
      </c>
      <c r="G40" s="163">
        <f>Лист1!AB34</f>
        <v>30515.140000000003</v>
      </c>
      <c r="H40" s="164">
        <f>Лист1!AC34</f>
        <v>44028.918</v>
      </c>
      <c r="I40" s="25">
        <f>Лист1!AG34</f>
        <v>3170.112</v>
      </c>
      <c r="J40" s="12">
        <f>Лист1!AI34+Лист1!AJ34</f>
        <v>5283.52</v>
      </c>
      <c r="K40" s="12">
        <f>Лист1!AH34+Лист1!AK34+Лист1!AL34+Лист1!AM34+Лист1!AN34+Лист1!AO34+Лист1!AP34+Лист1!AQ34+Лист1!AR34</f>
        <v>18122.473600000005</v>
      </c>
      <c r="L40" s="27">
        <f>Лист1!AS34+Лист1!AT34+Лист1!AU34</f>
        <v>407</v>
      </c>
      <c r="M40" s="27">
        <f>Лист1!AX34</f>
        <v>1288.6999999999998</v>
      </c>
      <c r="N40" s="165">
        <f>Лист1!BB34</f>
        <v>28271.805600000003</v>
      </c>
      <c r="O40" s="166">
        <f>Лист1!BE34</f>
        <v>21147.799959999997</v>
      </c>
      <c r="P40" s="59">
        <f>Лист1!BF34</f>
        <v>-1673.5299999999952</v>
      </c>
      <c r="Q40" s="1"/>
      <c r="R40" s="1"/>
    </row>
    <row r="41" spans="1:18" ht="12.75">
      <c r="A41" s="11" t="s">
        <v>48</v>
      </c>
      <c r="B41" s="47">
        <f>Лист1!B35</f>
        <v>5283.52</v>
      </c>
      <c r="C41" s="23">
        <f>Лист1!C35</f>
        <v>45702.448000000004</v>
      </c>
      <c r="D41" s="24">
        <f>Лист1!D35</f>
        <v>4159.998000000003</v>
      </c>
      <c r="E41" s="12">
        <f>Лист1!S35</f>
        <v>31619</v>
      </c>
      <c r="F41" s="26">
        <f>Лист1!T35</f>
        <v>9923.45</v>
      </c>
      <c r="G41" s="163">
        <f>Лист1!AB35</f>
        <v>32775.06</v>
      </c>
      <c r="H41" s="164">
        <f>Лист1!AC35</f>
        <v>46858.508</v>
      </c>
      <c r="I41" s="25">
        <f>Лист1!AG35</f>
        <v>3170.112</v>
      </c>
      <c r="J41" s="12">
        <f>Лист1!AI35+Лист1!AJ35</f>
        <v>5283.52</v>
      </c>
      <c r="K41" s="12">
        <f>Лист1!AH35+Лист1!AK35+Лист1!AL35+Лист1!AM35+Лист1!AN35+Лист1!AO35+Лист1!AP35+Лист1!AQ35+Лист1!AR35</f>
        <v>18222.473600000005</v>
      </c>
      <c r="L41" s="27">
        <f>Лист1!AS35+Лист1!AT35+Лист1!AU35</f>
        <v>0</v>
      </c>
      <c r="M41" s="27">
        <f>Лист1!AX35</f>
        <v>1141.6999999999998</v>
      </c>
      <c r="N41" s="165">
        <f>Лист1!BB35</f>
        <v>27817.805600000003</v>
      </c>
      <c r="O41" s="166">
        <f>Лист1!BE35</f>
        <v>24431.38996</v>
      </c>
      <c r="P41" s="59">
        <f>Лист1!BF35</f>
        <v>1156.0599999999977</v>
      </c>
      <c r="Q41" s="1"/>
      <c r="R41" s="1"/>
    </row>
    <row r="42" spans="1:18" ht="12.75">
      <c r="A42" s="11" t="s">
        <v>49</v>
      </c>
      <c r="B42" s="47">
        <f>Лист1!B36</f>
        <v>5283.52</v>
      </c>
      <c r="C42" s="23">
        <f>Лист1!C36</f>
        <v>45702.448000000004</v>
      </c>
      <c r="D42" s="24">
        <f>Лист1!D36</f>
        <v>4064.4380000000024</v>
      </c>
      <c r="E42" s="12">
        <f>Лист1!S36</f>
        <v>41326.009999999995</v>
      </c>
      <c r="F42" s="26">
        <f>Лист1!T36</f>
        <v>312</v>
      </c>
      <c r="G42" s="163">
        <f>Лист1!AB36</f>
        <v>34488.65</v>
      </c>
      <c r="H42" s="164">
        <f>Лист1!AC36</f>
        <v>38865.088</v>
      </c>
      <c r="I42" s="25">
        <f>Лист1!AG36</f>
        <v>3170.112</v>
      </c>
      <c r="J42" s="12">
        <f>Лист1!AI36+Лист1!AJ36</f>
        <v>5283.52</v>
      </c>
      <c r="K42" s="12">
        <f>Лист1!AH36+Лист1!AK36+Лист1!AL36+Лист1!AM36+Лист1!AN36+Лист1!AO36+Лист1!AP36+Лист1!AQ36+Лист1!AR36</f>
        <v>64727.473600000005</v>
      </c>
      <c r="L42" s="27">
        <f>Лист1!AS36+Лист1!AT36+Лист1!AU36</f>
        <v>75766.3872</v>
      </c>
      <c r="M42" s="27">
        <f>Лист1!AX36</f>
        <v>1215.1999999999998</v>
      </c>
      <c r="N42" s="165">
        <f>Лист1!BB36</f>
        <v>150162.69280000002</v>
      </c>
      <c r="O42" s="166">
        <f>Лист1!BE36</f>
        <v>-105906.91724000001</v>
      </c>
      <c r="P42" s="59">
        <f>Лист1!BF36</f>
        <v>-6837.359999999993</v>
      </c>
      <c r="Q42" s="1"/>
      <c r="R42" s="1"/>
    </row>
    <row r="43" spans="1:18" ht="12.75">
      <c r="A43" s="11" t="s">
        <v>50</v>
      </c>
      <c r="B43" s="47">
        <f>Лист1!B37</f>
        <v>5282.42</v>
      </c>
      <c r="C43" s="23">
        <f>Лист1!C37</f>
        <v>45692.933000000005</v>
      </c>
      <c r="D43" s="24">
        <f>Лист1!D37</f>
        <v>97564.973</v>
      </c>
      <c r="E43" s="12">
        <f>Лист1!S37</f>
        <v>41315.95999999999</v>
      </c>
      <c r="F43" s="26">
        <f>Лист1!T37</f>
        <v>312</v>
      </c>
      <c r="G43" s="163">
        <f>Лист1!AB37</f>
        <v>38633.33</v>
      </c>
      <c r="H43" s="164">
        <f>Лист1!AC37</f>
        <v>136510.303</v>
      </c>
      <c r="I43" s="25">
        <f>Лист1!AG37</f>
        <v>3169.4519999999998</v>
      </c>
      <c r="J43" s="12">
        <f>Лист1!AI37+Лист1!AJ37</f>
        <v>5282.42</v>
      </c>
      <c r="K43" s="12">
        <f>Лист1!AH37+Лист1!AK37+Лист1!AL37+Лист1!AM37+Лист1!AN37+Лист1!AO37+Лист1!AP37+Лист1!AQ37+Лист1!AR37</f>
        <v>25522.100599999998</v>
      </c>
      <c r="L43" s="27">
        <f>Лист1!AS37+Лист1!AT37+Лист1!AU37</f>
        <v>59468.060000000005</v>
      </c>
      <c r="M43" s="27">
        <f>Лист1!AX37</f>
        <v>1435.6999999999998</v>
      </c>
      <c r="N43" s="165">
        <f>Лист1!BB37</f>
        <v>94877.7326</v>
      </c>
      <c r="O43" s="166">
        <f>Лист1!BE37</f>
        <v>47023.25796000001</v>
      </c>
      <c r="P43" s="59">
        <f>Лист1!BF37</f>
        <v>-2682.62999999999</v>
      </c>
      <c r="Q43" s="1"/>
      <c r="R43" s="1"/>
    </row>
    <row r="44" spans="1:18" ht="12.75">
      <c r="A44" s="11" t="s">
        <v>51</v>
      </c>
      <c r="B44" s="47">
        <f>Лист1!B38</f>
        <v>5282.42</v>
      </c>
      <c r="C44" s="23">
        <f>Лист1!C38</f>
        <v>45692.933000000005</v>
      </c>
      <c r="D44" s="24">
        <f>Лист1!D38</f>
        <v>54064.443</v>
      </c>
      <c r="E44" s="12">
        <f>Лист1!S38</f>
        <v>41316.49</v>
      </c>
      <c r="F44" s="26">
        <f>Лист1!T38</f>
        <v>312</v>
      </c>
      <c r="G44" s="163">
        <f>Лист1!AB38</f>
        <v>45919.08</v>
      </c>
      <c r="H44" s="164">
        <f>Лист1!AC38</f>
        <v>100295.523</v>
      </c>
      <c r="I44" s="25">
        <f>Лист1!AG38</f>
        <v>3169.4519999999998</v>
      </c>
      <c r="J44" s="12">
        <f>Лист1!AI38+Лист1!AJ38</f>
        <v>5282.42</v>
      </c>
      <c r="K44" s="12">
        <f>Лист1!AH38+Лист1!AK38+Лист1!AL38+Лист1!AM38+Лист1!AN38+Лист1!AO38+Лист1!AP38+Лист1!AQ38+Лист1!AR38</f>
        <v>18118.7006</v>
      </c>
      <c r="L44" s="27">
        <f>Лист1!AS38+Лист1!AT38+Лист1!AU38</f>
        <v>5291</v>
      </c>
      <c r="M44" s="27">
        <f>Лист1!AX38</f>
        <v>1710.1</v>
      </c>
      <c r="N44" s="165">
        <f>Лист1!BB38</f>
        <v>33571.6726</v>
      </c>
      <c r="O44" s="166">
        <f>Лист1!BE38</f>
        <v>72114.53796</v>
      </c>
      <c r="P44" s="59">
        <f>Лист1!BF38</f>
        <v>4602.590000000004</v>
      </c>
      <c r="Q44" s="1"/>
      <c r="R44" s="1"/>
    </row>
    <row r="45" spans="1:18" ht="12.75">
      <c r="A45" s="11" t="s">
        <v>39</v>
      </c>
      <c r="B45" s="47">
        <f>Лист1!B39</f>
        <v>5282.42</v>
      </c>
      <c r="C45" s="23">
        <f>Лист1!C39</f>
        <v>45692.933000000005</v>
      </c>
      <c r="D45" s="24">
        <f>Лист1!D39</f>
        <v>4031.6030000000055</v>
      </c>
      <c r="E45" s="12">
        <f>Лист1!S39</f>
        <v>41349.33</v>
      </c>
      <c r="F45" s="26">
        <f>Лист1!T39</f>
        <v>312</v>
      </c>
      <c r="G45" s="163">
        <f>Лист1!AB39</f>
        <v>45381.189999999995</v>
      </c>
      <c r="H45" s="164">
        <f>Лист1!AC39</f>
        <v>49724.793</v>
      </c>
      <c r="I45" s="25">
        <f>Лист1!AG39</f>
        <v>3169.4519999999998</v>
      </c>
      <c r="J45" s="12">
        <f>Лист1!AI39+Лист1!AJ39</f>
        <v>5282.42</v>
      </c>
      <c r="K45" s="12">
        <f>Лист1!AH39+Лист1!AK39+Лист1!AL39+Лист1!AM39+Лист1!AN39+Лист1!AO39+Лист1!AP39+Лист1!AQ39+Лист1!AR39</f>
        <v>65013.7006</v>
      </c>
      <c r="L45" s="27">
        <f>Лист1!AS39+Лист1!AT39+Лист1!AU39</f>
        <v>5995</v>
      </c>
      <c r="M45" s="27">
        <f>Лист1!AX39</f>
        <v>2082.5</v>
      </c>
      <c r="N45" s="165">
        <f>Лист1!BB39</f>
        <v>81543.0726</v>
      </c>
      <c r="O45" s="166">
        <f>Лист1!BE39</f>
        <v>-26315.08204</v>
      </c>
      <c r="P45" s="59">
        <f>Лист1!BF39</f>
        <v>4031.8599999999933</v>
      </c>
      <c r="Q45" s="1"/>
      <c r="R45" s="1"/>
    </row>
    <row r="46" spans="1:18" ht="12.75">
      <c r="A46" s="11" t="s">
        <v>40</v>
      </c>
      <c r="B46" s="47">
        <f>Лист1!B40</f>
        <v>5282.42</v>
      </c>
      <c r="C46" s="23">
        <f>Лист1!C40</f>
        <v>45692.933000000005</v>
      </c>
      <c r="D46" s="24">
        <f>Лист1!D40</f>
        <v>4021.853000000004</v>
      </c>
      <c r="E46" s="12">
        <f>Лист1!S40</f>
        <v>41359.08</v>
      </c>
      <c r="F46" s="26">
        <f>Лист1!T40</f>
        <v>312</v>
      </c>
      <c r="G46" s="163">
        <f>Лист1!AB40</f>
        <v>43273.549999999996</v>
      </c>
      <c r="H46" s="164">
        <f>Лист1!AC40</f>
        <v>47607.403</v>
      </c>
      <c r="I46" s="25">
        <f>Лист1!AG40</f>
        <v>3169.4519999999998</v>
      </c>
      <c r="J46" s="12">
        <f>Лист1!AI40+Лист1!AJ40</f>
        <v>5282.42</v>
      </c>
      <c r="K46" s="12">
        <f>Лист1!AH40+Лист1!AK40+Лист1!AL40+Лист1!AM40+Лист1!AN40+Лист1!AO40+Лист1!AP40+Лист1!AQ40+Лист1!AR40</f>
        <v>18118.7006</v>
      </c>
      <c r="L46" s="27">
        <f>Лист1!AS40+Лист1!AT40+Лист1!AU40</f>
        <v>1659</v>
      </c>
      <c r="M46" s="27">
        <f>Лист1!AX40</f>
        <v>2303</v>
      </c>
      <c r="N46" s="165">
        <f>Лист1!BB40</f>
        <v>30532.5726</v>
      </c>
      <c r="O46" s="166">
        <f>Лист1!BE40</f>
        <v>22578.017959999997</v>
      </c>
      <c r="P46" s="59">
        <f>Лист1!BF40</f>
        <v>1914.469999999994</v>
      </c>
      <c r="Q46" s="1"/>
      <c r="R46" s="1"/>
    </row>
    <row r="47" spans="1:18" ht="13.5" thickBot="1">
      <c r="A47" s="28" t="s">
        <v>41</v>
      </c>
      <c r="B47" s="47">
        <f>Лист1!B41</f>
        <v>5282.42</v>
      </c>
      <c r="C47" s="23">
        <f>Лист1!C41</f>
        <v>45692.933000000005</v>
      </c>
      <c r="D47" s="24">
        <f>Лист1!D41</f>
        <v>4006.2930000000015</v>
      </c>
      <c r="E47" s="12">
        <f>Лист1!S41</f>
        <v>41530.64</v>
      </c>
      <c r="F47" s="26">
        <f>Лист1!T41</f>
        <v>156</v>
      </c>
      <c r="G47" s="163">
        <f>Лист1!AB41</f>
        <v>46445.619999999995</v>
      </c>
      <c r="H47" s="164">
        <f>Лист1!AC41</f>
        <v>50607.913</v>
      </c>
      <c r="I47" s="25">
        <f>Лист1!AG41</f>
        <v>3169.4519999999998</v>
      </c>
      <c r="J47" s="12">
        <f>Лист1!AI41+Лист1!AJ41</f>
        <v>5282.42</v>
      </c>
      <c r="K47" s="12">
        <f>Лист1!AH41+Лист1!AK41+Лист1!AL41+Лист1!AM41+Лист1!AN41+Лист1!AO41+Лист1!AP41+Лист1!AQ41+Лист1!AR41</f>
        <v>18118.7006</v>
      </c>
      <c r="L47" s="27">
        <f>Лист1!AS41+Лист1!AT41+Лист1!AU41</f>
        <v>47005.2756</v>
      </c>
      <c r="M47" s="27">
        <f>Лист1!AX41</f>
        <v>25110.399999999998</v>
      </c>
      <c r="N47" s="165">
        <f>Лист1!BB41</f>
        <v>98686.2482</v>
      </c>
      <c r="O47" s="166">
        <f>Лист1!BE41</f>
        <v>-42575.14764</v>
      </c>
      <c r="P47" s="59">
        <f>Лист1!BF41</f>
        <v>4914.979999999996</v>
      </c>
      <c r="Q47" s="1"/>
      <c r="R47" s="1"/>
    </row>
    <row r="48" spans="1:18" s="16" customFormat="1" ht="13.5" thickBot="1">
      <c r="A48" s="29" t="s">
        <v>3</v>
      </c>
      <c r="B48" s="30"/>
      <c r="C48" s="31">
        <f aca="true" t="shared" si="3" ref="C48:P48">SUM(C36:C47)</f>
        <v>548238.3840000001</v>
      </c>
      <c r="D48" s="54">
        <f t="shared" si="3"/>
        <v>192948.79400000002</v>
      </c>
      <c r="E48" s="31">
        <f t="shared" si="3"/>
        <v>440354.64</v>
      </c>
      <c r="F48" s="55">
        <f t="shared" si="3"/>
        <v>58434.95</v>
      </c>
      <c r="G48" s="172">
        <f t="shared" si="3"/>
        <v>439985.56</v>
      </c>
      <c r="H48" s="173">
        <f t="shared" si="3"/>
        <v>691369.304</v>
      </c>
      <c r="I48" s="54">
        <f t="shared" si="3"/>
        <v>38028.096000000005</v>
      </c>
      <c r="J48" s="31">
        <f t="shared" si="3"/>
        <v>63380.15999999999</v>
      </c>
      <c r="K48" s="31">
        <f t="shared" si="3"/>
        <v>329051.3488</v>
      </c>
      <c r="L48" s="31">
        <f t="shared" si="3"/>
        <v>222311.7228</v>
      </c>
      <c r="M48" s="31">
        <f t="shared" si="3"/>
        <v>44151.8</v>
      </c>
      <c r="N48" s="174">
        <f t="shared" si="3"/>
        <v>696923.1276</v>
      </c>
      <c r="O48" s="54">
        <f t="shared" si="3"/>
        <v>59471.937119999995</v>
      </c>
      <c r="P48" s="60">
        <f t="shared" si="3"/>
        <v>-369.0799999999981</v>
      </c>
      <c r="Q48" s="56"/>
      <c r="R48" s="56"/>
    </row>
    <row r="49" spans="1:18" ht="13.5" thickBot="1">
      <c r="A49" s="175" t="s">
        <v>65</v>
      </c>
      <c r="B49" s="176"/>
      <c r="C49" s="176"/>
      <c r="D49" s="176"/>
      <c r="E49" s="176"/>
      <c r="F49" s="176"/>
      <c r="G49" s="176"/>
      <c r="H49" s="177"/>
      <c r="I49" s="176"/>
      <c r="J49" s="176"/>
      <c r="K49" s="176"/>
      <c r="L49" s="176"/>
      <c r="M49" s="176"/>
      <c r="N49" s="177"/>
      <c r="O49" s="176"/>
      <c r="P49" s="62"/>
      <c r="Q49" s="1"/>
      <c r="R49" s="1"/>
    </row>
    <row r="50" spans="1:18" s="16" customFormat="1" ht="13.5" thickBot="1">
      <c r="A50" s="63" t="s">
        <v>52</v>
      </c>
      <c r="B50" s="33"/>
      <c r="C50" s="34">
        <f>C34+C48</f>
        <v>1233559.719</v>
      </c>
      <c r="D50" s="32">
        <f aca="true" t="shared" si="4" ref="D50:P50">D34+D48</f>
        <v>284080.13430205</v>
      </c>
      <c r="E50" s="33">
        <f t="shared" si="4"/>
        <v>905536.96</v>
      </c>
      <c r="F50" s="34">
        <f t="shared" si="4"/>
        <v>187775.13</v>
      </c>
      <c r="G50" s="32">
        <f t="shared" si="4"/>
        <v>859141.5800000001</v>
      </c>
      <c r="H50" s="178">
        <f t="shared" si="4"/>
        <v>1330996.8443020498</v>
      </c>
      <c r="I50" s="32">
        <f t="shared" si="4"/>
        <v>99868.800284</v>
      </c>
      <c r="J50" s="33">
        <f t="shared" si="4"/>
        <v>139931.35772922597</v>
      </c>
      <c r="K50" s="33">
        <f t="shared" si="4"/>
        <v>583422.7474769797</v>
      </c>
      <c r="L50" s="33">
        <f t="shared" si="4"/>
        <v>434695.6966</v>
      </c>
      <c r="M50" s="33">
        <f t="shared" si="4"/>
        <v>64504.442</v>
      </c>
      <c r="N50" s="179">
        <f t="shared" si="4"/>
        <v>1322423.0440902058</v>
      </c>
      <c r="O50" s="180">
        <f t="shared" si="4"/>
        <v>72396.03334763623</v>
      </c>
      <c r="P50" s="61">
        <f t="shared" si="4"/>
        <v>-46395.38000000002</v>
      </c>
      <c r="Q50" s="57"/>
      <c r="R50" s="56"/>
    </row>
    <row r="54" spans="1:18" ht="12.75">
      <c r="A54" s="16" t="s">
        <v>69</v>
      </c>
      <c r="D54" s="2" t="s">
        <v>92</v>
      </c>
      <c r="Q54" s="1"/>
      <c r="R54" s="1"/>
    </row>
    <row r="55" spans="1:18" ht="12.75">
      <c r="A55" s="17" t="s">
        <v>70</v>
      </c>
      <c r="B55" s="17" t="s">
        <v>71</v>
      </c>
      <c r="C55" s="441" t="s">
        <v>72</v>
      </c>
      <c r="D55" s="441"/>
      <c r="Q55" s="1"/>
      <c r="R55" s="1"/>
    </row>
    <row r="56" spans="1:18" ht="12.75">
      <c r="A56" s="70">
        <v>329290.86</v>
      </c>
      <c r="B56" s="181">
        <v>293582.1</v>
      </c>
      <c r="C56" s="430">
        <f>A56-B56</f>
        <v>35708.76000000001</v>
      </c>
      <c r="D56" s="431"/>
      <c r="Q56" s="1"/>
      <c r="R56" s="1"/>
    </row>
    <row r="57" spans="1:18" ht="12.75">
      <c r="A57" s="40"/>
      <c r="Q57" s="1"/>
      <c r="R57" s="1"/>
    </row>
    <row r="58" spans="1:18" ht="12.75">
      <c r="A58" s="40"/>
      <c r="Q58" s="1"/>
      <c r="R58" s="1"/>
    </row>
    <row r="59" spans="1:18" ht="12.75">
      <c r="A59" s="2" t="s">
        <v>66</v>
      </c>
      <c r="G59" s="2" t="s">
        <v>67</v>
      </c>
      <c r="Q59" s="1"/>
      <c r="R59" s="1"/>
    </row>
    <row r="60" ht="12.75">
      <c r="A60" s="1"/>
    </row>
    <row r="61" ht="12.75">
      <c r="A61" s="1"/>
    </row>
    <row r="62" ht="12.75">
      <c r="A62" s="206" t="s">
        <v>95</v>
      </c>
    </row>
    <row r="63" ht="12.75">
      <c r="A63" s="2" t="s">
        <v>68</v>
      </c>
    </row>
  </sheetData>
  <sheetProtection/>
  <mergeCells count="21">
    <mergeCell ref="A9:A12"/>
    <mergeCell ref="N11:N12"/>
    <mergeCell ref="C55:D55"/>
    <mergeCell ref="I11:I12"/>
    <mergeCell ref="J11:J12"/>
    <mergeCell ref="M11:M12"/>
    <mergeCell ref="A5:Q5"/>
    <mergeCell ref="O9:O12"/>
    <mergeCell ref="P9:P12"/>
    <mergeCell ref="E11:F11"/>
    <mergeCell ref="H11:H12"/>
    <mergeCell ref="B9:B12"/>
    <mergeCell ref="C9:C12"/>
    <mergeCell ref="D9:D12"/>
    <mergeCell ref="A6:G6"/>
    <mergeCell ref="I9:N10"/>
    <mergeCell ref="C56:D56"/>
    <mergeCell ref="K11:K12"/>
    <mergeCell ref="L11:L12"/>
    <mergeCell ref="E9:F10"/>
    <mergeCell ref="G9:H10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43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1.375" style="215" customWidth="1"/>
    <col min="4" max="4" width="10.375" style="215" customWidth="1"/>
    <col min="5" max="5" width="10.125" style="215" bestFit="1" customWidth="1"/>
    <col min="6" max="6" width="9.125" style="215" customWidth="1"/>
    <col min="7" max="7" width="10.25390625" style="215" customWidth="1"/>
    <col min="8" max="8" width="9.125" style="215" customWidth="1"/>
    <col min="9" max="9" width="9.875" style="215" customWidth="1"/>
    <col min="10" max="10" width="9.125" style="215" customWidth="1"/>
    <col min="11" max="11" width="10.375" style="215" customWidth="1"/>
    <col min="12" max="12" width="9.125" style="215" customWidth="1"/>
    <col min="13" max="13" width="10.125" style="215" bestFit="1" customWidth="1"/>
    <col min="14" max="14" width="9.125" style="215" customWidth="1"/>
    <col min="15" max="15" width="10.125" style="215" bestFit="1" customWidth="1"/>
    <col min="16" max="18" width="9.125" style="215" customWidth="1"/>
    <col min="19" max="19" width="10.125" style="215" bestFit="1" customWidth="1"/>
    <col min="20" max="20" width="10.125" style="215" customWidth="1"/>
    <col min="21" max="21" width="11.75390625" style="215" bestFit="1" customWidth="1"/>
    <col min="22" max="22" width="10.25390625" style="215" customWidth="1"/>
    <col min="23" max="23" width="10.625" style="215" customWidth="1"/>
    <col min="24" max="24" width="10.125" style="215" customWidth="1"/>
    <col min="25" max="28" width="10.125" style="215" bestFit="1" customWidth="1"/>
    <col min="29" max="30" width="11.375" style="215" customWidth="1"/>
    <col min="31" max="31" width="9.25390625" style="215" bestFit="1" customWidth="1"/>
    <col min="32" max="32" width="11.75390625" style="215" bestFit="1" customWidth="1"/>
    <col min="33" max="33" width="10.25390625" style="215" customWidth="1"/>
    <col min="34" max="34" width="9.25390625" style="215" bestFit="1" customWidth="1"/>
    <col min="35" max="35" width="8.875" style="215" customWidth="1"/>
    <col min="36" max="36" width="12.625" style="215" customWidth="1"/>
    <col min="37" max="38" width="9.25390625" style="215" bestFit="1" customWidth="1"/>
    <col min="39" max="39" width="10.125" style="215" bestFit="1" customWidth="1"/>
    <col min="40" max="40" width="9.25390625" style="215" bestFit="1" customWidth="1"/>
    <col min="41" max="42" width="10.125" style="215" bestFit="1" customWidth="1"/>
    <col min="43" max="44" width="9.25390625" style="215" customWidth="1"/>
    <col min="45" max="45" width="10.125" style="215" bestFit="1" customWidth="1"/>
    <col min="46" max="46" width="11.625" style="215" customWidth="1"/>
    <col min="47" max="47" width="10.875" style="215" customWidth="1"/>
    <col min="48" max="48" width="10.625" style="215" customWidth="1"/>
    <col min="49" max="49" width="10.25390625" style="215" customWidth="1"/>
    <col min="50" max="50" width="10.625" style="215" customWidth="1"/>
    <col min="51" max="51" width="9.25390625" style="215" bestFit="1" customWidth="1"/>
    <col min="52" max="53" width="10.125" style="215" bestFit="1" customWidth="1"/>
    <col min="54" max="54" width="11.625" style="215" customWidth="1"/>
    <col min="55" max="55" width="11.75390625" style="215" customWidth="1"/>
    <col min="56" max="56" width="11.375" style="215" customWidth="1"/>
    <col min="57" max="57" width="14.00390625" style="215" customWidth="1"/>
    <col min="58" max="58" width="11.00390625" style="215" customWidth="1"/>
    <col min="59" max="59" width="10.625" style="215" customWidth="1"/>
    <col min="60" max="16384" width="9.125" style="215" customWidth="1"/>
  </cols>
  <sheetData>
    <row r="1" spans="1:18" ht="21" customHeight="1">
      <c r="A1" s="383" t="s">
        <v>129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214"/>
      <c r="P1" s="214"/>
      <c r="Q1" s="214"/>
      <c r="R1" s="214"/>
    </row>
    <row r="2" spans="1:18" ht="13.5" thickBot="1">
      <c r="A2" s="214"/>
      <c r="B2" s="216"/>
      <c r="C2" s="217"/>
      <c r="D2" s="217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59" ht="29.25" customHeight="1" thickBot="1">
      <c r="A3" s="356" t="s">
        <v>96</v>
      </c>
      <c r="B3" s="385" t="s">
        <v>0</v>
      </c>
      <c r="C3" s="387" t="s">
        <v>1</v>
      </c>
      <c r="D3" s="389" t="s">
        <v>2</v>
      </c>
      <c r="E3" s="356" t="s">
        <v>97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57"/>
      <c r="S3" s="356"/>
      <c r="T3" s="360"/>
      <c r="U3" s="356" t="s">
        <v>3</v>
      </c>
      <c r="V3" s="360"/>
      <c r="W3" s="362" t="s">
        <v>4</v>
      </c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457"/>
      <c r="AJ3" s="459" t="s">
        <v>73</v>
      </c>
      <c r="AK3" s="376" t="s">
        <v>8</v>
      </c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3"/>
      <c r="BF3" s="464" t="s">
        <v>9</v>
      </c>
      <c r="BG3" s="470" t="s">
        <v>10</v>
      </c>
    </row>
    <row r="4" spans="1:59" ht="51.75" customHeight="1" hidden="1" thickBot="1">
      <c r="A4" s="384"/>
      <c r="B4" s="386"/>
      <c r="C4" s="388"/>
      <c r="D4" s="390"/>
      <c r="E4" s="384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9"/>
      <c r="S4" s="358"/>
      <c r="T4" s="361"/>
      <c r="U4" s="358"/>
      <c r="V4" s="361"/>
      <c r="W4" s="364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458"/>
      <c r="AJ4" s="460"/>
      <c r="AK4" s="377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9"/>
      <c r="BF4" s="465"/>
      <c r="BG4" s="471"/>
    </row>
    <row r="5" spans="1:59" ht="19.5" customHeight="1">
      <c r="A5" s="384"/>
      <c r="B5" s="386"/>
      <c r="C5" s="388"/>
      <c r="D5" s="390"/>
      <c r="E5" s="473" t="s">
        <v>11</v>
      </c>
      <c r="F5" s="474"/>
      <c r="G5" s="473" t="s">
        <v>98</v>
      </c>
      <c r="H5" s="474"/>
      <c r="I5" s="473" t="s">
        <v>12</v>
      </c>
      <c r="J5" s="474"/>
      <c r="K5" s="473" t="s">
        <v>14</v>
      </c>
      <c r="L5" s="474"/>
      <c r="M5" s="473" t="s">
        <v>13</v>
      </c>
      <c r="N5" s="474"/>
      <c r="O5" s="477" t="s">
        <v>15</v>
      </c>
      <c r="P5" s="477"/>
      <c r="Q5" s="473" t="s">
        <v>99</v>
      </c>
      <c r="R5" s="474"/>
      <c r="S5" s="477" t="s">
        <v>100</v>
      </c>
      <c r="T5" s="474"/>
      <c r="U5" s="345" t="s">
        <v>18</v>
      </c>
      <c r="V5" s="369" t="s">
        <v>19</v>
      </c>
      <c r="W5" s="468" t="s">
        <v>20</v>
      </c>
      <c r="X5" s="468" t="s">
        <v>101</v>
      </c>
      <c r="Y5" s="468" t="s">
        <v>21</v>
      </c>
      <c r="Z5" s="468" t="s">
        <v>23</v>
      </c>
      <c r="AA5" s="468" t="s">
        <v>22</v>
      </c>
      <c r="AB5" s="468" t="s">
        <v>24</v>
      </c>
      <c r="AC5" s="468" t="s">
        <v>25</v>
      </c>
      <c r="AD5" s="481" t="s">
        <v>26</v>
      </c>
      <c r="AE5" s="481" t="s">
        <v>102</v>
      </c>
      <c r="AF5" s="483" t="s">
        <v>27</v>
      </c>
      <c r="AG5" s="485" t="s">
        <v>77</v>
      </c>
      <c r="AH5" s="487" t="s">
        <v>6</v>
      </c>
      <c r="AI5" s="489" t="s">
        <v>7</v>
      </c>
      <c r="AJ5" s="460"/>
      <c r="AK5" s="491" t="s">
        <v>103</v>
      </c>
      <c r="AL5" s="492" t="s">
        <v>104</v>
      </c>
      <c r="AM5" s="492" t="s">
        <v>105</v>
      </c>
      <c r="AN5" s="399" t="s">
        <v>106</v>
      </c>
      <c r="AO5" s="492" t="s">
        <v>107</v>
      </c>
      <c r="AP5" s="399" t="s">
        <v>108</v>
      </c>
      <c r="AQ5" s="399" t="s">
        <v>109</v>
      </c>
      <c r="AR5" s="399" t="s">
        <v>110</v>
      </c>
      <c r="AS5" s="399" t="s">
        <v>111</v>
      </c>
      <c r="AT5" s="399" t="s">
        <v>34</v>
      </c>
      <c r="AU5" s="493" t="s">
        <v>112</v>
      </c>
      <c r="AV5" s="354" t="s">
        <v>113</v>
      </c>
      <c r="AW5" s="493" t="s">
        <v>114</v>
      </c>
      <c r="AX5" s="494" t="s">
        <v>115</v>
      </c>
      <c r="AY5" s="218"/>
      <c r="AZ5" s="403" t="s">
        <v>17</v>
      </c>
      <c r="BA5" s="399" t="s">
        <v>36</v>
      </c>
      <c r="BB5" s="399" t="s">
        <v>31</v>
      </c>
      <c r="BC5" s="496" t="s">
        <v>37</v>
      </c>
      <c r="BD5" s="396" t="s">
        <v>79</v>
      </c>
      <c r="BE5" s="399" t="s">
        <v>80</v>
      </c>
      <c r="BF5" s="465"/>
      <c r="BG5" s="471"/>
    </row>
    <row r="6" spans="1:59" ht="56.25" customHeight="1" thickBot="1">
      <c r="A6" s="384"/>
      <c r="B6" s="386"/>
      <c r="C6" s="388"/>
      <c r="D6" s="390"/>
      <c r="E6" s="475"/>
      <c r="F6" s="476"/>
      <c r="G6" s="475"/>
      <c r="H6" s="476"/>
      <c r="I6" s="475"/>
      <c r="J6" s="476"/>
      <c r="K6" s="475"/>
      <c r="L6" s="476"/>
      <c r="M6" s="475"/>
      <c r="N6" s="476"/>
      <c r="O6" s="478"/>
      <c r="P6" s="478"/>
      <c r="Q6" s="475"/>
      <c r="R6" s="476"/>
      <c r="S6" s="479"/>
      <c r="T6" s="476"/>
      <c r="U6" s="480"/>
      <c r="V6" s="467"/>
      <c r="W6" s="469"/>
      <c r="X6" s="469"/>
      <c r="Y6" s="469"/>
      <c r="Z6" s="469"/>
      <c r="AA6" s="469"/>
      <c r="AB6" s="469"/>
      <c r="AC6" s="469"/>
      <c r="AD6" s="482"/>
      <c r="AE6" s="482"/>
      <c r="AF6" s="484"/>
      <c r="AG6" s="486"/>
      <c r="AH6" s="488"/>
      <c r="AI6" s="490"/>
      <c r="AJ6" s="461"/>
      <c r="AK6" s="372"/>
      <c r="AL6" s="411"/>
      <c r="AM6" s="411"/>
      <c r="AN6" s="350"/>
      <c r="AO6" s="411"/>
      <c r="AP6" s="350"/>
      <c r="AQ6" s="350"/>
      <c r="AR6" s="350"/>
      <c r="AS6" s="350"/>
      <c r="AT6" s="350"/>
      <c r="AU6" s="344"/>
      <c r="AV6" s="355"/>
      <c r="AW6" s="344"/>
      <c r="AX6" s="495"/>
      <c r="AY6" s="80" t="s">
        <v>116</v>
      </c>
      <c r="AZ6" s="404"/>
      <c r="BA6" s="350"/>
      <c r="BB6" s="350"/>
      <c r="BC6" s="497"/>
      <c r="BD6" s="398"/>
      <c r="BE6" s="350"/>
      <c r="BF6" s="466"/>
      <c r="BG6" s="472"/>
    </row>
    <row r="7" spans="1:59" ht="19.5" customHeight="1" thickBot="1">
      <c r="A7" s="219">
        <v>1</v>
      </c>
      <c r="B7" s="75">
        <v>2</v>
      </c>
      <c r="C7" s="75">
        <v>3</v>
      </c>
      <c r="D7" s="219">
        <v>4</v>
      </c>
      <c r="E7" s="75">
        <v>5</v>
      </c>
      <c r="F7" s="75">
        <v>6</v>
      </c>
      <c r="G7" s="219">
        <v>7</v>
      </c>
      <c r="H7" s="75">
        <v>8</v>
      </c>
      <c r="I7" s="75">
        <v>9</v>
      </c>
      <c r="J7" s="219">
        <v>10</v>
      </c>
      <c r="K7" s="75">
        <v>11</v>
      </c>
      <c r="L7" s="75">
        <v>12</v>
      </c>
      <c r="M7" s="219">
        <v>13</v>
      </c>
      <c r="N7" s="75">
        <v>14</v>
      </c>
      <c r="O7" s="75">
        <v>15</v>
      </c>
      <c r="P7" s="219">
        <v>16</v>
      </c>
      <c r="Q7" s="75">
        <v>17</v>
      </c>
      <c r="R7" s="75">
        <v>18</v>
      </c>
      <c r="S7" s="219">
        <v>19</v>
      </c>
      <c r="T7" s="75">
        <v>20</v>
      </c>
      <c r="U7" s="75">
        <v>21</v>
      </c>
      <c r="V7" s="219">
        <v>22</v>
      </c>
      <c r="W7" s="75">
        <v>23</v>
      </c>
      <c r="X7" s="219">
        <v>24</v>
      </c>
      <c r="Y7" s="75">
        <v>25</v>
      </c>
      <c r="Z7" s="219">
        <v>26</v>
      </c>
      <c r="AA7" s="75">
        <v>27</v>
      </c>
      <c r="AB7" s="219">
        <v>28</v>
      </c>
      <c r="AC7" s="75">
        <v>29</v>
      </c>
      <c r="AD7" s="219">
        <v>30</v>
      </c>
      <c r="AE7" s="219">
        <v>31</v>
      </c>
      <c r="AF7" s="75">
        <v>32</v>
      </c>
      <c r="AG7" s="219">
        <v>33</v>
      </c>
      <c r="AH7" s="75">
        <v>34</v>
      </c>
      <c r="AI7" s="219">
        <v>35</v>
      </c>
      <c r="AJ7" s="75">
        <v>36</v>
      </c>
      <c r="AK7" s="219">
        <v>37</v>
      </c>
      <c r="AL7" s="75">
        <v>38</v>
      </c>
      <c r="AM7" s="219">
        <v>39</v>
      </c>
      <c r="AN7" s="219">
        <v>40</v>
      </c>
      <c r="AO7" s="75">
        <v>41</v>
      </c>
      <c r="AP7" s="219">
        <v>42</v>
      </c>
      <c r="AQ7" s="75">
        <v>43</v>
      </c>
      <c r="AR7" s="219"/>
      <c r="AS7" s="219">
        <v>44</v>
      </c>
      <c r="AT7" s="75">
        <v>45</v>
      </c>
      <c r="AU7" s="219">
        <v>46</v>
      </c>
      <c r="AV7" s="75">
        <v>47</v>
      </c>
      <c r="AW7" s="219">
        <v>48</v>
      </c>
      <c r="AX7" s="219">
        <v>49</v>
      </c>
      <c r="AY7" s="75"/>
      <c r="AZ7" s="75">
        <v>50</v>
      </c>
      <c r="BA7" s="75">
        <v>51</v>
      </c>
      <c r="BB7" s="75">
        <v>52</v>
      </c>
      <c r="BC7" s="75">
        <v>53</v>
      </c>
      <c r="BD7" s="75">
        <v>54</v>
      </c>
      <c r="BE7" s="75"/>
      <c r="BF7" s="75">
        <v>55</v>
      </c>
      <c r="BG7" s="75">
        <v>56</v>
      </c>
    </row>
    <row r="8" spans="1:59" s="16" customFormat="1" ht="14.25" customHeight="1" thickBot="1">
      <c r="A8" s="18" t="s">
        <v>52</v>
      </c>
      <c r="B8" s="220"/>
      <c r="C8" s="220">
        <f>Лист1!C44</f>
        <v>1233559.719</v>
      </c>
      <c r="D8" s="220">
        <f>Лист1!D44</f>
        <v>284080.13430205</v>
      </c>
      <c r="E8" s="220">
        <f>Лист1!E44</f>
        <v>104564.81999999999</v>
      </c>
      <c r="F8" s="220">
        <f>Лист1!F44</f>
        <v>21671.85</v>
      </c>
      <c r="G8" s="220">
        <f>0</f>
        <v>0</v>
      </c>
      <c r="H8" s="220">
        <f>0</f>
        <v>0</v>
      </c>
      <c r="I8" s="220">
        <f>Лист1!G44</f>
        <v>141553.12999999998</v>
      </c>
      <c r="J8" s="220">
        <f>Лист1!H44</f>
        <v>29341.61</v>
      </c>
      <c r="K8" s="220">
        <f>Лист1!K44</f>
        <v>235588.45</v>
      </c>
      <c r="L8" s="220">
        <f>Лист1!L44</f>
        <v>48846.17</v>
      </c>
      <c r="M8" s="220">
        <f>Лист1!I44</f>
        <v>340178.79000000004</v>
      </c>
      <c r="N8" s="220">
        <f>Лист1!J44</f>
        <v>70578.06</v>
      </c>
      <c r="O8" s="220">
        <f>Лист1!M44</f>
        <v>83651.77</v>
      </c>
      <c r="P8" s="220">
        <f>Лист1!N44</f>
        <v>17337.440000000002</v>
      </c>
      <c r="Q8" s="220">
        <f>'[8]Лист1'!O44</f>
        <v>0</v>
      </c>
      <c r="R8" s="220">
        <f>'[8]Лист1'!P44</f>
        <v>0</v>
      </c>
      <c r="S8" s="220">
        <f>'[8]Лист1'!Q44</f>
        <v>0</v>
      </c>
      <c r="T8" s="220">
        <f>'[8]Лист1'!R44</f>
        <v>0</v>
      </c>
      <c r="U8" s="220">
        <f>Лист1!S44</f>
        <v>905536.96</v>
      </c>
      <c r="V8" s="220">
        <f>Лист1!T44</f>
        <v>187775.13</v>
      </c>
      <c r="W8" s="220">
        <f>Лист1!U44</f>
        <v>98973.62000000001</v>
      </c>
      <c r="X8" s="220">
        <v>0</v>
      </c>
      <c r="Y8" s="220">
        <f>Лист1!V44</f>
        <v>133902.03000000003</v>
      </c>
      <c r="Z8" s="220">
        <f>Лист1!X44</f>
        <v>222887.07</v>
      </c>
      <c r="AA8" s="220">
        <f>Лист1!W44</f>
        <v>324230.66000000003</v>
      </c>
      <c r="AB8" s="220">
        <f>Лист1!Y44</f>
        <v>79148.2</v>
      </c>
      <c r="AC8" s="220">
        <f>'[9]Лист1'!Z42</f>
        <v>0</v>
      </c>
      <c r="AD8" s="220">
        <f>'[9]Лист1'!AA42</f>
        <v>0</v>
      </c>
      <c r="AE8" s="220">
        <f>0</f>
        <v>0</v>
      </c>
      <c r="AF8" s="220">
        <f>Лист1!AB44</f>
        <v>859141.5800000001</v>
      </c>
      <c r="AG8" s="220">
        <f>Лист1!AC44</f>
        <v>1330996.8443020498</v>
      </c>
      <c r="AH8" s="220">
        <f>'[9]Лист1'!AD42</f>
        <v>0</v>
      </c>
      <c r="AI8" s="220">
        <f>'[9]Лист1'!AE42</f>
        <v>0</v>
      </c>
      <c r="AJ8" s="220" t="e">
        <f>Лист1!AF44-#REF!</f>
        <v>#REF!</v>
      </c>
      <c r="AK8" s="220">
        <f>Лист1!AG44</f>
        <v>84297.29999999999</v>
      </c>
      <c r="AL8" s="220">
        <f>Лист1!AH44</f>
        <v>28247.532284</v>
      </c>
      <c r="AM8" s="220">
        <f>Лист1!AI44+Лист1!AJ44</f>
        <v>139931.35772922597</v>
      </c>
      <c r="AN8" s="220">
        <v>0</v>
      </c>
      <c r="AO8" s="220">
        <f>Лист1!AK44+Лист1!AL44</f>
        <v>139577.6940950228</v>
      </c>
      <c r="AP8" s="220">
        <f>Лист1!AM44+Лист1!AN44</f>
        <v>312237.664781957</v>
      </c>
      <c r="AQ8" s="220">
        <v>0</v>
      </c>
      <c r="AR8" s="220">
        <v>0</v>
      </c>
      <c r="AS8" s="220">
        <v>0</v>
      </c>
      <c r="AT8" s="220">
        <f>Лист1!AO44</f>
        <v>7403.4</v>
      </c>
      <c r="AU8" s="220">
        <f>Лист1!AS44</f>
        <v>216946.41</v>
      </c>
      <c r="AV8" s="220">
        <v>0</v>
      </c>
      <c r="AW8" s="220">
        <f>Лист1!AT44+Лист1!AU44</f>
        <v>217749.28660000002</v>
      </c>
      <c r="AX8" s="220">
        <f>Лист1!AQ44+Лист1!AR44</f>
        <v>111527.95659999999</v>
      </c>
      <c r="AY8" s="221">
        <f>Лист1!AX44</f>
        <v>64504.442</v>
      </c>
      <c r="AZ8" s="221">
        <f>'[8]Лист1'!AY44</f>
        <v>0</v>
      </c>
      <c r="BA8" s="221">
        <v>0</v>
      </c>
      <c r="BB8" s="221">
        <v>0</v>
      </c>
      <c r="BC8" s="221">
        <f>Лист1!BB44</f>
        <v>1322423.0440902058</v>
      </c>
      <c r="BD8" s="220">
        <f>Лист1!BC44</f>
        <v>69713.06618420797</v>
      </c>
      <c r="BE8" s="222">
        <f>Лист1!BD44</f>
        <v>1392136.1102744138</v>
      </c>
      <c r="BF8" s="223">
        <f>Лист1!BE44</f>
        <v>72396.03334763623</v>
      </c>
      <c r="BG8" s="224">
        <f>Лист1!BF44</f>
        <v>-46395.38000000002</v>
      </c>
    </row>
    <row r="9" spans="1:59" ht="12.75">
      <c r="A9" s="5" t="s">
        <v>117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6"/>
      <c r="BF9" s="223"/>
      <c r="BG9" s="224"/>
    </row>
    <row r="10" spans="1:59" ht="12.75">
      <c r="A10" s="227" t="s">
        <v>43</v>
      </c>
      <c r="B10" s="191">
        <v>5282.42</v>
      </c>
      <c r="C10" s="140">
        <f aca="true" t="shared" si="0" ref="C10:C21">B10*8.55</f>
        <v>45164.691000000006</v>
      </c>
      <c r="D10" s="89">
        <v>438.294</v>
      </c>
      <c r="E10" s="192">
        <v>0</v>
      </c>
      <c r="F10" s="193">
        <v>0</v>
      </c>
      <c r="G10" s="192">
        <v>28058.45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13372.93</v>
      </c>
      <c r="N10" s="192">
        <v>50.2</v>
      </c>
      <c r="O10" s="192">
        <v>4639.02</v>
      </c>
      <c r="P10" s="193">
        <v>17.4</v>
      </c>
      <c r="Q10" s="228">
        <v>0</v>
      </c>
      <c r="R10" s="229">
        <v>0</v>
      </c>
      <c r="S10" s="230">
        <v>0</v>
      </c>
      <c r="T10" s="229">
        <v>0</v>
      </c>
      <c r="U10" s="231">
        <f aca="true" t="shared" si="1" ref="U10:V21">E10+G10+I10+K10+M10+O10+Q10+S10</f>
        <v>46070.40000000001</v>
      </c>
      <c r="V10" s="232">
        <f t="shared" si="1"/>
        <v>67.6</v>
      </c>
      <c r="W10" s="194">
        <v>3678.56</v>
      </c>
      <c r="X10" s="194"/>
      <c r="Y10" s="194">
        <v>4987.24</v>
      </c>
      <c r="Z10" s="194">
        <v>8302.6</v>
      </c>
      <c r="AA10" s="194">
        <v>11984.58</v>
      </c>
      <c r="AB10" s="194">
        <v>2946.96</v>
      </c>
      <c r="AC10" s="196">
        <v>0</v>
      </c>
      <c r="AD10" s="196">
        <v>0</v>
      </c>
      <c r="AE10" s="233">
        <v>0</v>
      </c>
      <c r="AF10" s="233">
        <f>SUM(W10:AE10)</f>
        <v>31899.940000000002</v>
      </c>
      <c r="AG10" s="234">
        <f>AF10+V10+D10</f>
        <v>32405.834000000003</v>
      </c>
      <c r="AH10" s="235">
        <f aca="true" t="shared" si="2" ref="AH10:AI21">AC10</f>
        <v>0</v>
      </c>
      <c r="AI10" s="235">
        <f t="shared" si="2"/>
        <v>0</v>
      </c>
      <c r="AJ10" s="309">
        <f>'[10]Т01'!$I$55+'[10]Т01'!$I$71+'[10]Т01'!$I$91+'[10]Т01'!$I$118+'[10]Т01'!$I$190</f>
        <v>10353.635999999999</v>
      </c>
      <c r="AK10" s="199">
        <f aca="true" t="shared" si="3" ref="AK10:AK21">0.67*B10</f>
        <v>3539.2214000000004</v>
      </c>
      <c r="AL10" s="199">
        <f aca="true" t="shared" si="4" ref="AL10:AL21">B10*0.2</f>
        <v>1056.4840000000002</v>
      </c>
      <c r="AM10" s="199">
        <f aca="true" t="shared" si="5" ref="AM10:AM21">B10*1</f>
        <v>5282.42</v>
      </c>
      <c r="AN10" s="199">
        <f aca="true" t="shared" si="6" ref="AN10:AN21">B10*0.21</f>
        <v>1109.3082</v>
      </c>
      <c r="AO10" s="199">
        <f aca="true" t="shared" si="7" ref="AO10:AO21">2.02*B10</f>
        <v>10670.4884</v>
      </c>
      <c r="AP10" s="199">
        <f aca="true" t="shared" si="8" ref="AP10:AP21">B10*1.03</f>
        <v>5440.8926</v>
      </c>
      <c r="AQ10" s="199">
        <f aca="true" t="shared" si="9" ref="AQ10:AQ21">B10*0.75</f>
        <v>3961.815</v>
      </c>
      <c r="AR10" s="199">
        <f aca="true" t="shared" si="10" ref="AR10:AR21">B10*0.75</f>
        <v>3961.815</v>
      </c>
      <c r="AS10" s="199">
        <f>B10*1.15</f>
        <v>6074.782999999999</v>
      </c>
      <c r="AT10" s="199"/>
      <c r="AU10" s="201">
        <v>3700</v>
      </c>
      <c r="AV10" s="310"/>
      <c r="AW10" s="201">
        <v>201</v>
      </c>
      <c r="AX10" s="201">
        <f>19.4+24893.86</f>
        <v>24913.260000000002</v>
      </c>
      <c r="AY10" s="201"/>
      <c r="AZ10" s="311"/>
      <c r="BA10" s="141"/>
      <c r="BB10" s="204">
        <f>BA10*0.18</f>
        <v>0</v>
      </c>
      <c r="BC10" s="204">
        <f aca="true" t="shared" si="11" ref="BC10:BC20">SUM(AK10:BB10)</f>
        <v>69911.4876</v>
      </c>
      <c r="BD10" s="316">
        <f>'[10]Т01'!$R$55+'[10]Т01'!$R$71+'[10]Т01'!$R$91+'[10]Т01'!$R$118+'[10]Т01'!$R$190</f>
        <v>7370.562</v>
      </c>
      <c r="BE10" s="205">
        <f>BC10+BD10</f>
        <v>77282.0496</v>
      </c>
      <c r="BF10" s="205">
        <f>AG10+AJ10-BE10</f>
        <v>-34522.5796</v>
      </c>
      <c r="BG10" s="205">
        <f>AF10-U10</f>
        <v>-14170.460000000006</v>
      </c>
    </row>
    <row r="11" spans="1:59" ht="12.75">
      <c r="A11" s="227" t="s">
        <v>44</v>
      </c>
      <c r="B11" s="191">
        <v>5280.32</v>
      </c>
      <c r="C11" s="140">
        <f t="shared" si="0"/>
        <v>45146.736000000004</v>
      </c>
      <c r="D11" s="89">
        <v>438.294</v>
      </c>
      <c r="E11" s="192">
        <v>-1.42</v>
      </c>
      <c r="F11" s="193">
        <v>0</v>
      </c>
      <c r="G11" s="192">
        <v>27015.23</v>
      </c>
      <c r="H11" s="192">
        <v>0</v>
      </c>
      <c r="I11" s="192">
        <v>-1.93</v>
      </c>
      <c r="J11" s="192">
        <v>0</v>
      </c>
      <c r="K11" s="192">
        <v>-3.21</v>
      </c>
      <c r="L11" s="192">
        <v>0</v>
      </c>
      <c r="M11" s="192">
        <v>13368.84</v>
      </c>
      <c r="N11" s="192">
        <v>0</v>
      </c>
      <c r="O11" s="192">
        <v>4638.14</v>
      </c>
      <c r="P11" s="192">
        <v>0</v>
      </c>
      <c r="Q11" s="193">
        <v>0</v>
      </c>
      <c r="R11" s="193">
        <v>0</v>
      </c>
      <c r="S11" s="196">
        <v>0</v>
      </c>
      <c r="T11" s="194">
        <v>0</v>
      </c>
      <c r="U11" s="236">
        <f t="shared" si="1"/>
        <v>45015.65</v>
      </c>
      <c r="V11" s="232">
        <f t="shared" si="1"/>
        <v>0</v>
      </c>
      <c r="W11" s="194">
        <v>758.98</v>
      </c>
      <c r="X11" s="196">
        <v>21295.75</v>
      </c>
      <c r="Y11" s="194">
        <v>1071.99</v>
      </c>
      <c r="Z11" s="194">
        <v>1785.26</v>
      </c>
      <c r="AA11" s="194">
        <v>13082.67</v>
      </c>
      <c r="AB11" s="194">
        <v>4301.29</v>
      </c>
      <c r="AC11" s="196">
        <v>0</v>
      </c>
      <c r="AD11" s="196">
        <v>0</v>
      </c>
      <c r="AE11" s="196">
        <v>0</v>
      </c>
      <c r="AF11" s="233">
        <f>SUM(W11:AE11)</f>
        <v>42295.94</v>
      </c>
      <c r="AG11" s="234">
        <f>AF11+V11+D11</f>
        <v>42734.234000000004</v>
      </c>
      <c r="AH11" s="235">
        <f t="shared" si="2"/>
        <v>0</v>
      </c>
      <c r="AI11" s="235">
        <f t="shared" si="2"/>
        <v>0</v>
      </c>
      <c r="AJ11" s="309">
        <f>'[10]Т02'!$J$55+'[10]Т02'!$J$71+'[10]Т02'!$J$91+'[10]Т02'!$J$118+'[10]Т02'!$J$192</f>
        <v>9659.7</v>
      </c>
      <c r="AK11" s="199">
        <f t="shared" si="3"/>
        <v>3537.8144</v>
      </c>
      <c r="AL11" s="199">
        <f t="shared" si="4"/>
        <v>1056.064</v>
      </c>
      <c r="AM11" s="199">
        <f t="shared" si="5"/>
        <v>5280.32</v>
      </c>
      <c r="AN11" s="199">
        <f t="shared" si="6"/>
        <v>1108.8672</v>
      </c>
      <c r="AO11" s="199">
        <f t="shared" si="7"/>
        <v>10666.2464</v>
      </c>
      <c r="AP11" s="199">
        <f t="shared" si="8"/>
        <v>5438.7296</v>
      </c>
      <c r="AQ11" s="199">
        <f t="shared" si="9"/>
        <v>3960.24</v>
      </c>
      <c r="AR11" s="199">
        <f t="shared" si="10"/>
        <v>3960.24</v>
      </c>
      <c r="AS11" s="199">
        <f>B11*1.15</f>
        <v>6072.3679999999995</v>
      </c>
      <c r="AT11" s="199"/>
      <c r="AU11" s="201">
        <v>11302</v>
      </c>
      <c r="AV11" s="310"/>
      <c r="AW11" s="312"/>
      <c r="AX11" s="201">
        <f>33.84+990+160+110+118+95+333+256+15</f>
        <v>2110.84</v>
      </c>
      <c r="AY11" s="201"/>
      <c r="AZ11" s="311"/>
      <c r="BA11" s="141"/>
      <c r="BB11" s="204">
        <f>BA11*0.18</f>
        <v>0</v>
      </c>
      <c r="BC11" s="204">
        <f t="shared" si="11"/>
        <v>54493.729600000006</v>
      </c>
      <c r="BD11" s="316">
        <f>'[10]Т02'!$S$55+'[10]Т02'!$S$71+'[10]Т02'!$S$91+'[10]Т02'!$S$118+'[10]Т02'!$S$191</f>
        <v>6870.65</v>
      </c>
      <c r="BE11" s="205">
        <f aca="true" t="shared" si="12" ref="BE11:BE21">BC11+BD11</f>
        <v>61364.37960000001</v>
      </c>
      <c r="BF11" s="205">
        <f aca="true" t="shared" si="13" ref="BF11:BF21">AG11+AJ11-BE11</f>
        <v>-8970.4456</v>
      </c>
      <c r="BG11" s="205">
        <f aca="true" t="shared" si="14" ref="BG11:BG21">AF11-U11</f>
        <v>-2719.709999999999</v>
      </c>
    </row>
    <row r="12" spans="1:59" ht="12.75">
      <c r="A12" s="227" t="s">
        <v>45</v>
      </c>
      <c r="B12" s="191">
        <v>5279.32</v>
      </c>
      <c r="C12" s="140">
        <f t="shared" si="0"/>
        <v>45138.186</v>
      </c>
      <c r="D12" s="89">
        <v>438.294</v>
      </c>
      <c r="E12" s="192">
        <v>0</v>
      </c>
      <c r="F12" s="193">
        <v>0</v>
      </c>
      <c r="G12" s="192">
        <v>27547.76</v>
      </c>
      <c r="H12" s="192">
        <v>103.4</v>
      </c>
      <c r="I12" s="192">
        <v>0</v>
      </c>
      <c r="J12" s="192">
        <v>0</v>
      </c>
      <c r="K12" s="192">
        <v>0</v>
      </c>
      <c r="L12" s="192">
        <v>0</v>
      </c>
      <c r="M12" s="192">
        <v>13378.62</v>
      </c>
      <c r="N12" s="192">
        <v>50.2</v>
      </c>
      <c r="O12" s="192">
        <v>4941.13</v>
      </c>
      <c r="P12" s="192">
        <v>17.4</v>
      </c>
      <c r="Q12" s="192">
        <v>0</v>
      </c>
      <c r="R12" s="192">
        <v>0</v>
      </c>
      <c r="S12" s="192">
        <v>300</v>
      </c>
      <c r="T12" s="194">
        <v>0</v>
      </c>
      <c r="U12" s="194">
        <f t="shared" si="1"/>
        <v>46167.509999999995</v>
      </c>
      <c r="V12" s="195">
        <f t="shared" si="1"/>
        <v>171.00000000000003</v>
      </c>
      <c r="W12" s="212">
        <v>125.72</v>
      </c>
      <c r="X12" s="196">
        <v>27011.13</v>
      </c>
      <c r="Y12" s="194">
        <v>170.04</v>
      </c>
      <c r="Z12" s="194">
        <v>321.51</v>
      </c>
      <c r="AA12" s="194">
        <v>12621.26</v>
      </c>
      <c r="AB12" s="194">
        <v>4388.73</v>
      </c>
      <c r="AC12" s="196">
        <v>0</v>
      </c>
      <c r="AD12" s="196">
        <v>0</v>
      </c>
      <c r="AE12" s="194">
        <v>165.31</v>
      </c>
      <c r="AF12" s="237">
        <f>SUM(W12:AE12)</f>
        <v>44803.7</v>
      </c>
      <c r="AG12" s="234">
        <f>AF12+V12+D12</f>
        <v>45412.994</v>
      </c>
      <c r="AH12" s="235">
        <f t="shared" si="2"/>
        <v>0</v>
      </c>
      <c r="AI12" s="235">
        <f t="shared" si="2"/>
        <v>0</v>
      </c>
      <c r="AJ12" s="309">
        <f>'[10]Т03'!$J$55+'[10]Т03'!$J$71+'[10]Т03'!$J$91+'[10]Т03'!$J$118+'[10]Т03'!$J$192</f>
        <v>10006.668</v>
      </c>
      <c r="AK12" s="199">
        <f t="shared" si="3"/>
        <v>3537.1444</v>
      </c>
      <c r="AL12" s="199">
        <f t="shared" si="4"/>
        <v>1055.864</v>
      </c>
      <c r="AM12" s="199">
        <f t="shared" si="5"/>
        <v>5279.32</v>
      </c>
      <c r="AN12" s="199">
        <f t="shared" si="6"/>
        <v>1108.6571999999999</v>
      </c>
      <c r="AO12" s="199">
        <f t="shared" si="7"/>
        <v>10664.2264</v>
      </c>
      <c r="AP12" s="199">
        <f t="shared" si="8"/>
        <v>5437.6996</v>
      </c>
      <c r="AQ12" s="199">
        <f t="shared" si="9"/>
        <v>3959.49</v>
      </c>
      <c r="AR12" s="199">
        <f t="shared" si="10"/>
        <v>3959.49</v>
      </c>
      <c r="AS12" s="199">
        <f>B12*1.15</f>
        <v>6071.217999999999</v>
      </c>
      <c r="AT12" s="199"/>
      <c r="AU12" s="312">
        <v>5845</v>
      </c>
      <c r="AV12" s="310">
        <v>3491</v>
      </c>
      <c r="AW12" s="312"/>
      <c r="AX12" s="312">
        <f>90+'[11]март 2011'!$F$61+'[11]март 2011'!$F$68+'[11]март 2011'!$F$73+'[11]март 2011'!$F$81+'[11]март 2011'!$F$91+'[11]март 2011'!$F$94+'[11]март 2011'!$F$100+'[11]март 2011'!$F$103+'[11]март 2011'!$F$108+'[11]март 2011'!$F$112</f>
        <v>298.48</v>
      </c>
      <c r="AY12" s="312"/>
      <c r="AZ12" s="311"/>
      <c r="BA12" s="141"/>
      <c r="BB12" s="204">
        <f>BA12*0.18</f>
        <v>0</v>
      </c>
      <c r="BC12" s="204">
        <f t="shared" si="11"/>
        <v>50707.5896</v>
      </c>
      <c r="BD12" s="316">
        <f>'[10]Т03'!$S$55+'[10]Т03'!$S$71+'[10]Т03'!$S$91+'[10]Т03'!$S$118+'[10]Т03'!$S$192</f>
        <v>7120.606</v>
      </c>
      <c r="BE12" s="205">
        <f t="shared" si="12"/>
        <v>57828.1956</v>
      </c>
      <c r="BF12" s="205">
        <f t="shared" si="13"/>
        <v>-2408.5336000000025</v>
      </c>
      <c r="BG12" s="205">
        <f t="shared" si="14"/>
        <v>-1363.8099999999977</v>
      </c>
    </row>
    <row r="13" spans="1:59" ht="12.75">
      <c r="A13" s="227" t="s">
        <v>46</v>
      </c>
      <c r="B13" s="191">
        <v>5279.32</v>
      </c>
      <c r="C13" s="140">
        <f t="shared" si="0"/>
        <v>45138.186</v>
      </c>
      <c r="D13" s="89">
        <v>438.294</v>
      </c>
      <c r="E13" s="230">
        <v>0</v>
      </c>
      <c r="F13" s="193">
        <v>0</v>
      </c>
      <c r="G13" s="211">
        <v>27558.91</v>
      </c>
      <c r="H13" s="192">
        <v>103.4</v>
      </c>
      <c r="I13" s="192">
        <v>0</v>
      </c>
      <c r="J13" s="192">
        <v>0</v>
      </c>
      <c r="K13" s="192">
        <v>0</v>
      </c>
      <c r="L13" s="192">
        <v>0</v>
      </c>
      <c r="M13" s="192">
        <v>13384.09</v>
      </c>
      <c r="N13" s="192">
        <v>50.2</v>
      </c>
      <c r="O13" s="192">
        <v>4743.08</v>
      </c>
      <c r="P13" s="192">
        <v>17.4</v>
      </c>
      <c r="Q13" s="193">
        <v>0</v>
      </c>
      <c r="R13" s="193">
        <v>0</v>
      </c>
      <c r="S13" s="228">
        <v>100</v>
      </c>
      <c r="T13" s="239">
        <v>0</v>
      </c>
      <c r="U13" s="236">
        <f t="shared" si="1"/>
        <v>45786.08</v>
      </c>
      <c r="V13" s="195">
        <f t="shared" si="1"/>
        <v>171.00000000000003</v>
      </c>
      <c r="W13" s="194">
        <v>117.98</v>
      </c>
      <c r="X13" s="196">
        <v>24806.36</v>
      </c>
      <c r="Y13" s="194">
        <v>181.67</v>
      </c>
      <c r="Z13" s="194">
        <v>265.86</v>
      </c>
      <c r="AA13" s="194">
        <v>12438.36</v>
      </c>
      <c r="AB13" s="196">
        <v>4276.62</v>
      </c>
      <c r="AC13" s="194">
        <v>0</v>
      </c>
      <c r="AD13" s="196">
        <v>0</v>
      </c>
      <c r="AE13" s="196">
        <v>111.82</v>
      </c>
      <c r="AF13" s="233">
        <f>SUM(W13:AE13)</f>
        <v>42198.67</v>
      </c>
      <c r="AG13" s="240">
        <f>AF13+V13+D13</f>
        <v>42807.964</v>
      </c>
      <c r="AH13" s="241">
        <f t="shared" si="2"/>
        <v>0</v>
      </c>
      <c r="AI13" s="241">
        <f t="shared" si="2"/>
        <v>0</v>
      </c>
      <c r="AJ13" s="242">
        <f>'[12]Т04'!$J$55+'[12]Т04'!$J$71+'[12]Т04'!$J$92+'[12]Т04'!$J$119+'[12]Т04'!$J$194</f>
        <v>10006.668</v>
      </c>
      <c r="AK13" s="199">
        <f t="shared" si="3"/>
        <v>3537.1444</v>
      </c>
      <c r="AL13" s="199">
        <f t="shared" si="4"/>
        <v>1055.864</v>
      </c>
      <c r="AM13" s="199">
        <f t="shared" si="5"/>
        <v>5279.32</v>
      </c>
      <c r="AN13" s="199">
        <f t="shared" si="6"/>
        <v>1108.6571999999999</v>
      </c>
      <c r="AO13" s="199">
        <f t="shared" si="7"/>
        <v>10664.2264</v>
      </c>
      <c r="AP13" s="199">
        <f t="shared" si="8"/>
        <v>5437.6996</v>
      </c>
      <c r="AQ13" s="199">
        <f t="shared" si="9"/>
        <v>3959.49</v>
      </c>
      <c r="AR13" s="199">
        <f t="shared" si="10"/>
        <v>3959.49</v>
      </c>
      <c r="AS13" s="199"/>
      <c r="AT13" s="243"/>
      <c r="AU13" s="244">
        <v>2204</v>
      </c>
      <c r="AV13" s="244">
        <v>500</v>
      </c>
      <c r="AW13" s="244"/>
      <c r="AX13" s="244">
        <f>22874+225</f>
        <v>23099</v>
      </c>
      <c r="AY13" s="244"/>
      <c r="AZ13" s="311"/>
      <c r="BA13" s="243"/>
      <c r="BB13" s="243"/>
      <c r="BC13" s="192">
        <f t="shared" si="11"/>
        <v>60804.891599999995</v>
      </c>
      <c r="BD13" s="317">
        <f>'[10]Т04'!$S$55+'[10]Т04'!$S$71+'[10]Т04'!$S$92+'[10]Т04'!$S$119+'[10]Т04'!$S$194</f>
        <v>7120.606</v>
      </c>
      <c r="BE13" s="205">
        <f t="shared" si="12"/>
        <v>67925.4976</v>
      </c>
      <c r="BF13" s="205">
        <f t="shared" si="13"/>
        <v>-15110.865600000005</v>
      </c>
      <c r="BG13" s="205">
        <f t="shared" si="14"/>
        <v>-3587.4100000000035</v>
      </c>
    </row>
    <row r="14" spans="1:59" ht="12.75">
      <c r="A14" s="227" t="s">
        <v>47</v>
      </c>
      <c r="B14" s="245">
        <v>5279.32</v>
      </c>
      <c r="C14" s="140">
        <f t="shared" si="0"/>
        <v>45138.186</v>
      </c>
      <c r="D14" s="89">
        <v>438.294</v>
      </c>
      <c r="E14" s="211">
        <v>0</v>
      </c>
      <c r="F14" s="193">
        <v>0</v>
      </c>
      <c r="G14" s="192">
        <v>27564.67</v>
      </c>
      <c r="H14" s="192">
        <v>103.4</v>
      </c>
      <c r="I14" s="192">
        <v>0</v>
      </c>
      <c r="J14" s="192">
        <v>0</v>
      </c>
      <c r="K14" s="192">
        <v>0</v>
      </c>
      <c r="L14" s="192">
        <v>0</v>
      </c>
      <c r="M14" s="192">
        <v>13386.92</v>
      </c>
      <c r="N14" s="192">
        <v>50.2</v>
      </c>
      <c r="O14" s="192">
        <v>4744.1</v>
      </c>
      <c r="P14" s="192">
        <v>17.4</v>
      </c>
      <c r="Q14" s="193">
        <v>0</v>
      </c>
      <c r="R14" s="193">
        <v>0</v>
      </c>
      <c r="S14" s="192">
        <v>100</v>
      </c>
      <c r="T14" s="196">
        <v>0</v>
      </c>
      <c r="U14" s="246">
        <f t="shared" si="1"/>
        <v>45795.689999999995</v>
      </c>
      <c r="V14" s="247">
        <f>F14+H14+J14+L14+N14++R14+T14</f>
        <v>153.60000000000002</v>
      </c>
      <c r="W14" s="194">
        <v>109.86</v>
      </c>
      <c r="X14" s="196">
        <v>27288.53</v>
      </c>
      <c r="Y14" s="194">
        <v>148.83</v>
      </c>
      <c r="Z14" s="194">
        <v>248.1</v>
      </c>
      <c r="AA14" s="194">
        <v>13105.8</v>
      </c>
      <c r="AB14" s="194">
        <v>6879.13</v>
      </c>
      <c r="AC14" s="196">
        <v>0</v>
      </c>
      <c r="AD14" s="196">
        <v>0</v>
      </c>
      <c r="AE14" s="233">
        <v>102.47</v>
      </c>
      <c r="AF14" s="248">
        <f>SUM(W14:AE14)</f>
        <v>47882.719999999994</v>
      </c>
      <c r="AG14" s="240">
        <f aca="true" t="shared" si="15" ref="AG14:AG21">D14+V14+AF14</f>
        <v>48474.613999999994</v>
      </c>
      <c r="AH14" s="241">
        <f t="shared" si="2"/>
        <v>0</v>
      </c>
      <c r="AI14" s="241">
        <f t="shared" si="2"/>
        <v>0</v>
      </c>
      <c r="AJ14" s="242">
        <f>'[10]Т05'!$J$55+'[10]Т05'!$J$71+'[10]Т05'!$J$90+'[10]Т05'!$J$117+'[10]Т05'!$J$192</f>
        <v>10006.668</v>
      </c>
      <c r="AK14" s="199">
        <f t="shared" si="3"/>
        <v>3537.1444</v>
      </c>
      <c r="AL14" s="199">
        <f t="shared" si="4"/>
        <v>1055.864</v>
      </c>
      <c r="AM14" s="199">
        <f t="shared" si="5"/>
        <v>5279.32</v>
      </c>
      <c r="AN14" s="199">
        <f t="shared" si="6"/>
        <v>1108.6571999999999</v>
      </c>
      <c r="AO14" s="199">
        <f t="shared" si="7"/>
        <v>10664.2264</v>
      </c>
      <c r="AP14" s="199">
        <f t="shared" si="8"/>
        <v>5437.6996</v>
      </c>
      <c r="AQ14" s="199">
        <f t="shared" si="9"/>
        <v>3959.49</v>
      </c>
      <c r="AR14" s="199">
        <f t="shared" si="10"/>
        <v>3959.49</v>
      </c>
      <c r="AS14" s="199"/>
      <c r="AT14" s="313">
        <f aca="true" t="shared" si="16" ref="AT14:AT20">0.45*1371</f>
        <v>616.95</v>
      </c>
      <c r="AU14" s="244"/>
      <c r="AV14" s="244"/>
      <c r="AW14" s="244"/>
      <c r="AX14" s="244">
        <v>8.5</v>
      </c>
      <c r="AY14" s="244"/>
      <c r="AZ14" s="311"/>
      <c r="BA14" s="243"/>
      <c r="BB14" s="243"/>
      <c r="BC14" s="192">
        <f t="shared" si="11"/>
        <v>35627.34159999999</v>
      </c>
      <c r="BD14" s="317">
        <f>'[10]Т05'!$S$55+'[10]Т05'!$S$71+'[10]Т05'!$S$90+'[10]Т05'!$S$117+'[10]Т05'!$S$192</f>
        <v>7120.606</v>
      </c>
      <c r="BE14" s="205">
        <f t="shared" si="12"/>
        <v>42747.94759999999</v>
      </c>
      <c r="BF14" s="205">
        <f t="shared" si="13"/>
        <v>15733.3344</v>
      </c>
      <c r="BG14" s="205">
        <f t="shared" si="14"/>
        <v>2087.029999999999</v>
      </c>
    </row>
    <row r="15" spans="1:59" ht="12.75">
      <c r="A15" s="227" t="s">
        <v>48</v>
      </c>
      <c r="B15" s="191">
        <v>5279.32</v>
      </c>
      <c r="C15" s="140">
        <f t="shared" si="0"/>
        <v>45138.186</v>
      </c>
      <c r="D15" s="89">
        <v>438.294</v>
      </c>
      <c r="E15" s="249">
        <v>0</v>
      </c>
      <c r="F15" s="249"/>
      <c r="G15" s="249">
        <v>27567.25</v>
      </c>
      <c r="H15" s="249">
        <v>103.4</v>
      </c>
      <c r="I15" s="250">
        <v>0</v>
      </c>
      <c r="J15" s="250"/>
      <c r="K15" s="250">
        <v>0</v>
      </c>
      <c r="L15" s="250"/>
      <c r="M15" s="250">
        <v>13388.2</v>
      </c>
      <c r="N15" s="250">
        <v>50.2</v>
      </c>
      <c r="O15" s="250">
        <v>4644.54</v>
      </c>
      <c r="P15" s="250">
        <v>17.4</v>
      </c>
      <c r="Q15" s="250">
        <v>0</v>
      </c>
      <c r="R15" s="251"/>
      <c r="S15" s="251">
        <v>100</v>
      </c>
      <c r="T15" s="250"/>
      <c r="U15" s="252">
        <f t="shared" si="1"/>
        <v>45699.99</v>
      </c>
      <c r="V15" s="253">
        <f t="shared" si="1"/>
        <v>171.00000000000003</v>
      </c>
      <c r="W15" s="254">
        <v>2429.02</v>
      </c>
      <c r="X15" s="249">
        <v>22368.83</v>
      </c>
      <c r="Y15" s="249">
        <v>39.16</v>
      </c>
      <c r="Z15" s="249">
        <v>65.29</v>
      </c>
      <c r="AA15" s="249">
        <v>10955.47</v>
      </c>
      <c r="AB15" s="249">
        <v>3802.99</v>
      </c>
      <c r="AC15" s="249">
        <v>0</v>
      </c>
      <c r="AD15" s="249">
        <v>0</v>
      </c>
      <c r="AE15" s="255">
        <v>103.93</v>
      </c>
      <c r="AF15" s="256">
        <f aca="true" t="shared" si="17" ref="AF15:AF21">SUM(W15:AE15)</f>
        <v>39764.69</v>
      </c>
      <c r="AG15" s="240">
        <f t="shared" si="15"/>
        <v>40373.984000000004</v>
      </c>
      <c r="AH15" s="241">
        <f t="shared" si="2"/>
        <v>0</v>
      </c>
      <c r="AI15" s="241">
        <f t="shared" si="2"/>
        <v>0</v>
      </c>
      <c r="AJ15" s="242">
        <f>'[10]Т06'!$J$55+'[10]Т06'!$J$71+'[10]Т06'!$J$90+'[10]Т06'!$J$117+'[10]Т06'!$J$192</f>
        <v>10006.668</v>
      </c>
      <c r="AK15" s="199">
        <f t="shared" si="3"/>
        <v>3537.1444</v>
      </c>
      <c r="AL15" s="199">
        <f t="shared" si="4"/>
        <v>1055.864</v>
      </c>
      <c r="AM15" s="199">
        <f t="shared" si="5"/>
        <v>5279.32</v>
      </c>
      <c r="AN15" s="199">
        <f t="shared" si="6"/>
        <v>1108.6571999999999</v>
      </c>
      <c r="AO15" s="199">
        <f t="shared" si="7"/>
        <v>10664.2264</v>
      </c>
      <c r="AP15" s="199">
        <f t="shared" si="8"/>
        <v>5437.6996</v>
      </c>
      <c r="AQ15" s="199">
        <f t="shared" si="9"/>
        <v>3959.49</v>
      </c>
      <c r="AR15" s="199">
        <f t="shared" si="10"/>
        <v>3959.49</v>
      </c>
      <c r="AS15" s="199"/>
      <c r="AT15" s="313">
        <f t="shared" si="16"/>
        <v>616.95</v>
      </c>
      <c r="AU15" s="244"/>
      <c r="AV15" s="244"/>
      <c r="AW15" s="244"/>
      <c r="AX15" s="244">
        <v>15500</v>
      </c>
      <c r="AY15" s="244"/>
      <c r="AZ15" s="199"/>
      <c r="BA15" s="243"/>
      <c r="BB15" s="243"/>
      <c r="BC15" s="314">
        <f t="shared" si="11"/>
        <v>51118.84159999999</v>
      </c>
      <c r="BD15" s="317">
        <f>'[10]Т06'!$S$55+'[10]Т06'!$S$71+'[10]Т06'!$S$90+'[10]Т06'!$S$117+'[10]Т06'!$S$192</f>
        <v>7120.606</v>
      </c>
      <c r="BE15" s="205">
        <f t="shared" si="12"/>
        <v>58239.44759999999</v>
      </c>
      <c r="BF15" s="205">
        <f t="shared" si="13"/>
        <v>-7858.79559999999</v>
      </c>
      <c r="BG15" s="205">
        <f t="shared" si="14"/>
        <v>-5935.299999999996</v>
      </c>
    </row>
    <row r="16" spans="1:59" ht="12.75">
      <c r="A16" s="227" t="s">
        <v>49</v>
      </c>
      <c r="B16" s="191">
        <v>5279.32</v>
      </c>
      <c r="C16" s="140">
        <f t="shared" si="0"/>
        <v>45138.186</v>
      </c>
      <c r="D16" s="89">
        <v>438.294</v>
      </c>
      <c r="E16" s="257">
        <v>-4.51</v>
      </c>
      <c r="F16" s="257"/>
      <c r="G16" s="257">
        <v>27575.91</v>
      </c>
      <c r="H16" s="257">
        <v>103.4</v>
      </c>
      <c r="I16" s="257">
        <v>-6.1</v>
      </c>
      <c r="J16" s="257"/>
      <c r="K16" s="257">
        <v>-10.16</v>
      </c>
      <c r="L16" s="257"/>
      <c r="M16" s="257">
        <v>13377.77</v>
      </c>
      <c r="N16" s="257">
        <v>50.2</v>
      </c>
      <c r="O16" s="257">
        <v>4642.45</v>
      </c>
      <c r="P16" s="257">
        <v>17.4</v>
      </c>
      <c r="Q16" s="257"/>
      <c r="R16" s="257"/>
      <c r="S16" s="258">
        <v>100</v>
      </c>
      <c r="T16" s="254"/>
      <c r="U16" s="259">
        <f t="shared" si="1"/>
        <v>45675.36</v>
      </c>
      <c r="V16" s="260">
        <f t="shared" si="1"/>
        <v>171.00000000000003</v>
      </c>
      <c r="W16" s="261">
        <v>216.37</v>
      </c>
      <c r="X16" s="257">
        <v>28692.15</v>
      </c>
      <c r="Y16" s="257">
        <v>2593.33</v>
      </c>
      <c r="Z16" s="257">
        <v>488.07</v>
      </c>
      <c r="AA16" s="257">
        <v>14429.53</v>
      </c>
      <c r="AB16" s="257">
        <v>4929.25</v>
      </c>
      <c r="AC16" s="249"/>
      <c r="AD16" s="257"/>
      <c r="AE16" s="258">
        <v>101.01</v>
      </c>
      <c r="AF16" s="256">
        <f t="shared" si="17"/>
        <v>51449.71</v>
      </c>
      <c r="AG16" s="262">
        <f t="shared" si="15"/>
        <v>52059.004</v>
      </c>
      <c r="AH16" s="241">
        <f t="shared" si="2"/>
        <v>0</v>
      </c>
      <c r="AI16" s="241">
        <f t="shared" si="2"/>
        <v>0</v>
      </c>
      <c r="AJ16" s="242">
        <f>'[10]Т07'!$J$55+'[10]Т07'!$J$71+'[10]Т07'!$J$90+'[10]Т07'!$J$117+'[10]Т07'!$J$196</f>
        <v>10006.668</v>
      </c>
      <c r="AK16" s="199">
        <f t="shared" si="3"/>
        <v>3537.1444</v>
      </c>
      <c r="AL16" s="199">
        <f t="shared" si="4"/>
        <v>1055.864</v>
      </c>
      <c r="AM16" s="199">
        <f t="shared" si="5"/>
        <v>5279.32</v>
      </c>
      <c r="AN16" s="199">
        <f t="shared" si="6"/>
        <v>1108.6571999999999</v>
      </c>
      <c r="AO16" s="199">
        <f t="shared" si="7"/>
        <v>10664.2264</v>
      </c>
      <c r="AP16" s="199">
        <f t="shared" si="8"/>
        <v>5437.6996</v>
      </c>
      <c r="AQ16" s="199">
        <f t="shared" si="9"/>
        <v>3959.49</v>
      </c>
      <c r="AR16" s="199">
        <f t="shared" si="10"/>
        <v>3959.49</v>
      </c>
      <c r="AS16" s="199"/>
      <c r="AT16" s="313">
        <f t="shared" si="16"/>
        <v>616.95</v>
      </c>
      <c r="AU16" s="244">
        <v>1419</v>
      </c>
      <c r="AV16" s="244"/>
      <c r="AW16" s="244"/>
      <c r="AX16" s="244">
        <f>74.43+18.86+40.7</f>
        <v>133.99</v>
      </c>
      <c r="AY16" s="244"/>
      <c r="AZ16" s="311"/>
      <c r="BA16" s="243"/>
      <c r="BB16" s="243"/>
      <c r="BC16" s="192">
        <f t="shared" si="11"/>
        <v>37171.83159999999</v>
      </c>
      <c r="BD16" s="317">
        <f>'[10]Т07'!$S$55+'[10]Т07'!$S$71+'[10]Т07'!$S$90+'[10]Т07'!$S$117+'[10]Т07'!$S$196</f>
        <v>7120.606</v>
      </c>
      <c r="BE16" s="205">
        <f t="shared" si="12"/>
        <v>44292.43759999999</v>
      </c>
      <c r="BF16" s="205">
        <f t="shared" si="13"/>
        <v>17773.23440000001</v>
      </c>
      <c r="BG16" s="205">
        <f t="shared" si="14"/>
        <v>5774.3499999999985</v>
      </c>
    </row>
    <row r="17" spans="1:59" ht="12.75">
      <c r="A17" s="227" t="s">
        <v>50</v>
      </c>
      <c r="B17" s="191">
        <v>5279.32</v>
      </c>
      <c r="C17" s="140">
        <f t="shared" si="0"/>
        <v>45138.186</v>
      </c>
      <c r="D17" s="89">
        <v>438.294</v>
      </c>
      <c r="E17" s="263">
        <v>0</v>
      </c>
      <c r="F17" s="263"/>
      <c r="G17" s="263">
        <v>27560.17</v>
      </c>
      <c r="H17" s="263">
        <v>103.4</v>
      </c>
      <c r="I17" s="263">
        <v>0</v>
      </c>
      <c r="J17" s="263"/>
      <c r="K17" s="263">
        <v>0</v>
      </c>
      <c r="L17" s="263"/>
      <c r="M17" s="263">
        <v>13384.71</v>
      </c>
      <c r="N17" s="263">
        <v>50.2</v>
      </c>
      <c r="O17" s="263">
        <v>4643.3</v>
      </c>
      <c r="P17" s="263">
        <v>17.4</v>
      </c>
      <c r="Q17" s="263"/>
      <c r="R17" s="263"/>
      <c r="S17" s="264">
        <v>100</v>
      </c>
      <c r="T17" s="255"/>
      <c r="U17" s="265">
        <f t="shared" si="1"/>
        <v>45688.18</v>
      </c>
      <c r="V17" s="266">
        <f t="shared" si="1"/>
        <v>171.00000000000003</v>
      </c>
      <c r="W17" s="257">
        <v>106.61</v>
      </c>
      <c r="X17" s="257">
        <v>27742.46</v>
      </c>
      <c r="Y17" s="257">
        <v>143.91</v>
      </c>
      <c r="Z17" s="257">
        <v>239.9</v>
      </c>
      <c r="AA17" s="257">
        <v>13720.17</v>
      </c>
      <c r="AB17" s="257">
        <v>4732.11</v>
      </c>
      <c r="AC17" s="257"/>
      <c r="AD17" s="257"/>
      <c r="AE17" s="258">
        <v>110.64</v>
      </c>
      <c r="AF17" s="256">
        <f t="shared" si="17"/>
        <v>46795.8</v>
      </c>
      <c r="AG17" s="262">
        <f t="shared" si="15"/>
        <v>47405.094000000005</v>
      </c>
      <c r="AH17" s="241">
        <f t="shared" si="2"/>
        <v>0</v>
      </c>
      <c r="AI17" s="241">
        <f t="shared" si="2"/>
        <v>0</v>
      </c>
      <c r="AJ17" s="242">
        <f>'[10]Т08'!$J$55+'[10]Т08'!$J$71+'[10]Т08'!$J$90+'[10]Т08'!$J$117+'[10]Т08'!$J$200</f>
        <v>10006.668</v>
      </c>
      <c r="AK17" s="199">
        <f t="shared" si="3"/>
        <v>3537.1444</v>
      </c>
      <c r="AL17" s="199">
        <f t="shared" si="4"/>
        <v>1055.864</v>
      </c>
      <c r="AM17" s="199">
        <f t="shared" si="5"/>
        <v>5279.32</v>
      </c>
      <c r="AN17" s="199">
        <f t="shared" si="6"/>
        <v>1108.6571999999999</v>
      </c>
      <c r="AO17" s="199">
        <f t="shared" si="7"/>
        <v>10664.2264</v>
      </c>
      <c r="AP17" s="199">
        <f t="shared" si="8"/>
        <v>5437.6996</v>
      </c>
      <c r="AQ17" s="199">
        <f t="shared" si="9"/>
        <v>3959.49</v>
      </c>
      <c r="AR17" s="199">
        <f t="shared" si="10"/>
        <v>3959.49</v>
      </c>
      <c r="AS17" s="199"/>
      <c r="AT17" s="313">
        <f t="shared" si="16"/>
        <v>616.95</v>
      </c>
      <c r="AU17" s="244"/>
      <c r="AV17" s="244"/>
      <c r="AW17" s="244"/>
      <c r="AX17" s="244">
        <f>3599+7.6+540</f>
        <v>4146.6</v>
      </c>
      <c r="AY17" s="244"/>
      <c r="AZ17" s="311"/>
      <c r="BA17" s="243"/>
      <c r="BB17" s="243"/>
      <c r="BC17" s="192">
        <f t="shared" si="11"/>
        <v>39765.44159999999</v>
      </c>
      <c r="BD17" s="317">
        <f>'[10]Т08'!$S$55+'[10]Т08'!$S$71+'[10]Т08'!$S$90+'[10]Т08'!$S$117+'[10]Т08'!$S$200</f>
        <v>7120.606</v>
      </c>
      <c r="BE17" s="205">
        <f t="shared" si="12"/>
        <v>46886.04759999999</v>
      </c>
      <c r="BF17" s="205">
        <f t="shared" si="13"/>
        <v>10525.714400000012</v>
      </c>
      <c r="BG17" s="205">
        <f t="shared" si="14"/>
        <v>1107.6200000000026</v>
      </c>
    </row>
    <row r="18" spans="1:59" ht="12.75">
      <c r="A18" s="227" t="s">
        <v>51</v>
      </c>
      <c r="B18" s="191">
        <v>5279.32</v>
      </c>
      <c r="C18" s="140">
        <f t="shared" si="0"/>
        <v>45138.186</v>
      </c>
      <c r="D18" s="238">
        <v>412.08</v>
      </c>
      <c r="E18" s="257"/>
      <c r="F18" s="257"/>
      <c r="G18" s="257">
        <v>28086.6</v>
      </c>
      <c r="H18" s="257"/>
      <c r="I18" s="257"/>
      <c r="J18" s="257"/>
      <c r="K18" s="257"/>
      <c r="L18" s="257"/>
      <c r="M18" s="257">
        <v>13640.44</v>
      </c>
      <c r="N18" s="257"/>
      <c r="O18" s="257">
        <v>4732.02</v>
      </c>
      <c r="P18" s="257"/>
      <c r="Q18" s="257"/>
      <c r="R18" s="257"/>
      <c r="S18" s="258">
        <v>100</v>
      </c>
      <c r="T18" s="267"/>
      <c r="U18" s="267">
        <f t="shared" si="1"/>
        <v>46559.06</v>
      </c>
      <c r="V18" s="268">
        <f t="shared" si="1"/>
        <v>0</v>
      </c>
      <c r="W18" s="257">
        <v>113.46</v>
      </c>
      <c r="X18" s="257">
        <v>25858.48</v>
      </c>
      <c r="Y18" s="257">
        <v>132.73</v>
      </c>
      <c r="Z18" s="257">
        <v>297.6</v>
      </c>
      <c r="AA18" s="257">
        <v>12891.44</v>
      </c>
      <c r="AB18" s="257">
        <v>4418.49</v>
      </c>
      <c r="AC18" s="257"/>
      <c r="AD18" s="257"/>
      <c r="AE18" s="258">
        <v>104.8</v>
      </c>
      <c r="AF18" s="256">
        <f t="shared" si="17"/>
        <v>43817</v>
      </c>
      <c r="AG18" s="262">
        <f t="shared" si="15"/>
        <v>44229.08</v>
      </c>
      <c r="AH18" s="241">
        <f t="shared" si="2"/>
        <v>0</v>
      </c>
      <c r="AI18" s="241">
        <f t="shared" si="2"/>
        <v>0</v>
      </c>
      <c r="AJ18" s="242">
        <f>'[10]Т09'!$J$55+'[10]Т09'!$J$71+'[10]Т09'!$J$90+'[10]Т09'!$J$117+'[10]Т09'!$J$200</f>
        <v>10006.668</v>
      </c>
      <c r="AK18" s="199">
        <f t="shared" si="3"/>
        <v>3537.1444</v>
      </c>
      <c r="AL18" s="199">
        <f t="shared" si="4"/>
        <v>1055.864</v>
      </c>
      <c r="AM18" s="199">
        <f t="shared" si="5"/>
        <v>5279.32</v>
      </c>
      <c r="AN18" s="199">
        <f t="shared" si="6"/>
        <v>1108.6571999999999</v>
      </c>
      <c r="AO18" s="199">
        <f t="shared" si="7"/>
        <v>10664.2264</v>
      </c>
      <c r="AP18" s="199">
        <f t="shared" si="8"/>
        <v>5437.6996</v>
      </c>
      <c r="AQ18" s="199">
        <f t="shared" si="9"/>
        <v>3959.49</v>
      </c>
      <c r="AR18" s="199">
        <f t="shared" si="10"/>
        <v>3959.49</v>
      </c>
      <c r="AS18" s="199"/>
      <c r="AT18" s="313">
        <f t="shared" si="16"/>
        <v>616.95</v>
      </c>
      <c r="AU18" s="244">
        <v>545</v>
      </c>
      <c r="AV18" s="244"/>
      <c r="AW18" s="244">
        <v>928</v>
      </c>
      <c r="AX18" s="244">
        <f>703.21+255</f>
        <v>958.21</v>
      </c>
      <c r="AY18" s="244"/>
      <c r="AZ18" s="311"/>
      <c r="BA18" s="243"/>
      <c r="BB18" s="243"/>
      <c r="BC18" s="192">
        <f t="shared" si="11"/>
        <v>38050.05159999999</v>
      </c>
      <c r="BD18" s="317">
        <f>'[10]Т08'!$S$55+'[10]Т08'!$S$71+'[10]Т08'!$S$90+'[10]Т08'!$S$117+'[10]Т08'!$S$200</f>
        <v>7120.606</v>
      </c>
      <c r="BE18" s="205">
        <f t="shared" si="12"/>
        <v>45170.65759999999</v>
      </c>
      <c r="BF18" s="205">
        <f t="shared" si="13"/>
        <v>9065.090400000008</v>
      </c>
      <c r="BG18" s="205">
        <f t="shared" si="14"/>
        <v>-2742.0599999999977</v>
      </c>
    </row>
    <row r="19" spans="1:59" ht="12.75">
      <c r="A19" s="227" t="s">
        <v>39</v>
      </c>
      <c r="B19" s="191">
        <v>5279.32</v>
      </c>
      <c r="C19" s="140">
        <f t="shared" si="0"/>
        <v>45138.186</v>
      </c>
      <c r="D19" s="238">
        <v>412.08</v>
      </c>
      <c r="E19" s="249"/>
      <c r="F19" s="249"/>
      <c r="G19" s="249">
        <v>27889.29</v>
      </c>
      <c r="H19" s="249">
        <v>198.01</v>
      </c>
      <c r="I19" s="249"/>
      <c r="J19" s="249"/>
      <c r="K19" s="249"/>
      <c r="L19" s="249"/>
      <c r="M19" s="249">
        <v>13544.64</v>
      </c>
      <c r="N19" s="249">
        <v>96.13</v>
      </c>
      <c r="O19" s="249">
        <v>4698.84</v>
      </c>
      <c r="P19" s="249">
        <v>33.32</v>
      </c>
      <c r="Q19" s="249"/>
      <c r="R19" s="249"/>
      <c r="S19" s="255">
        <v>100</v>
      </c>
      <c r="T19" s="269"/>
      <c r="U19" s="270">
        <f t="shared" si="1"/>
        <v>46232.770000000004</v>
      </c>
      <c r="V19" s="271">
        <f t="shared" si="1"/>
        <v>327.46</v>
      </c>
      <c r="W19" s="249">
        <v>0</v>
      </c>
      <c r="X19" s="249">
        <v>28153.79</v>
      </c>
      <c r="Y19" s="249">
        <v>0</v>
      </c>
      <c r="Z19" s="249">
        <v>0</v>
      </c>
      <c r="AA19" s="249">
        <v>13816.38</v>
      </c>
      <c r="AB19" s="249">
        <v>4975.57</v>
      </c>
      <c r="AC19" s="249"/>
      <c r="AD19" s="249"/>
      <c r="AE19" s="255">
        <v>101.18</v>
      </c>
      <c r="AF19" s="256">
        <f t="shared" si="17"/>
        <v>47046.92</v>
      </c>
      <c r="AG19" s="262">
        <f t="shared" si="15"/>
        <v>47786.46</v>
      </c>
      <c r="AH19" s="241">
        <f t="shared" si="2"/>
        <v>0</v>
      </c>
      <c r="AI19" s="241">
        <f t="shared" si="2"/>
        <v>0</v>
      </c>
      <c r="AJ19" s="242">
        <f>'[13]Т10'!$J$71+'[13]Т10'!$J$55+'[13]Т10'!$J$90+'[13]Т10'!$J$117+'[13]Т10'!$J$200</f>
        <v>10006.668</v>
      </c>
      <c r="AK19" s="199">
        <f t="shared" si="3"/>
        <v>3537.1444</v>
      </c>
      <c r="AL19" s="199">
        <f t="shared" si="4"/>
        <v>1055.864</v>
      </c>
      <c r="AM19" s="199">
        <f t="shared" si="5"/>
        <v>5279.32</v>
      </c>
      <c r="AN19" s="199">
        <f t="shared" si="6"/>
        <v>1108.6571999999999</v>
      </c>
      <c r="AO19" s="199">
        <f t="shared" si="7"/>
        <v>10664.2264</v>
      </c>
      <c r="AP19" s="199">
        <f t="shared" si="8"/>
        <v>5437.6996</v>
      </c>
      <c r="AQ19" s="199">
        <f t="shared" si="9"/>
        <v>3959.49</v>
      </c>
      <c r="AR19" s="199">
        <f t="shared" si="10"/>
        <v>3959.49</v>
      </c>
      <c r="AS19" s="272">
        <f>B19*1.15</f>
        <v>6071.217999999999</v>
      </c>
      <c r="AT19" s="313">
        <f t="shared" si="16"/>
        <v>616.95</v>
      </c>
      <c r="AU19" s="244"/>
      <c r="AV19" s="244"/>
      <c r="AW19" s="244">
        <v>815</v>
      </c>
      <c r="AX19" s="244">
        <f>10.45+336+1058.88</f>
        <v>1405.3300000000002</v>
      </c>
      <c r="AY19" s="244"/>
      <c r="AZ19" s="311"/>
      <c r="BA19" s="243"/>
      <c r="BB19" s="243"/>
      <c r="BC19" s="192">
        <f t="shared" si="11"/>
        <v>43910.389599999995</v>
      </c>
      <c r="BD19" s="317">
        <f>'[10]Т10'!$S$55+'[10]Т10'!$S$71+'[10]Т10'!$S$90+'[10]Т10'!$S$117+'[10]Т10'!$S$200</f>
        <v>7120.606</v>
      </c>
      <c r="BE19" s="205">
        <f t="shared" si="12"/>
        <v>51030.995599999995</v>
      </c>
      <c r="BF19" s="205">
        <f t="shared" si="13"/>
        <v>6762.132400000002</v>
      </c>
      <c r="BG19" s="205">
        <f t="shared" si="14"/>
        <v>814.1499999999942</v>
      </c>
    </row>
    <row r="20" spans="1:59" ht="12.75">
      <c r="A20" s="227" t="s">
        <v>40</v>
      </c>
      <c r="B20" s="191">
        <v>5279.32</v>
      </c>
      <c r="C20" s="140">
        <f t="shared" si="0"/>
        <v>45138.186</v>
      </c>
      <c r="D20" s="238">
        <v>412.08</v>
      </c>
      <c r="E20" s="249"/>
      <c r="F20" s="249"/>
      <c r="G20" s="249">
        <v>27993.32</v>
      </c>
      <c r="H20" s="249">
        <v>103.4</v>
      </c>
      <c r="I20" s="249"/>
      <c r="J20" s="249"/>
      <c r="K20" s="249"/>
      <c r="L20" s="249"/>
      <c r="M20" s="249">
        <v>13595.2</v>
      </c>
      <c r="N20" s="249">
        <v>50.2</v>
      </c>
      <c r="O20" s="249">
        <v>4716.41</v>
      </c>
      <c r="P20" s="249">
        <v>17.4</v>
      </c>
      <c r="Q20" s="249"/>
      <c r="R20" s="249"/>
      <c r="S20" s="255">
        <v>100</v>
      </c>
      <c r="T20" s="269"/>
      <c r="U20" s="270">
        <f t="shared" si="1"/>
        <v>46404.93000000001</v>
      </c>
      <c r="V20" s="271">
        <f t="shared" si="1"/>
        <v>171.00000000000003</v>
      </c>
      <c r="W20" s="249">
        <v>0</v>
      </c>
      <c r="X20" s="249">
        <v>24797.92</v>
      </c>
      <c r="Y20" s="249">
        <v>0</v>
      </c>
      <c r="Z20" s="249">
        <v>0</v>
      </c>
      <c r="AA20" s="249">
        <v>12035.27</v>
      </c>
      <c r="AB20" s="249">
        <v>4175.1</v>
      </c>
      <c r="AC20" s="249"/>
      <c r="AD20" s="249"/>
      <c r="AE20" s="255">
        <v>98.82</v>
      </c>
      <c r="AF20" s="256">
        <f t="shared" si="17"/>
        <v>41107.11</v>
      </c>
      <c r="AG20" s="262">
        <f t="shared" si="15"/>
        <v>41690.19</v>
      </c>
      <c r="AH20" s="241">
        <f t="shared" si="2"/>
        <v>0</v>
      </c>
      <c r="AI20" s="241">
        <f t="shared" si="2"/>
        <v>0</v>
      </c>
      <c r="AJ20" s="242">
        <f>'[10]Т11'!$J$55+'[10]Т11'!$J$71+'[10]Т11'!$J$90+'[10]Т11'!$J$117+'[10]Т11'!$J$200</f>
        <v>10006.668</v>
      </c>
      <c r="AK20" s="199">
        <f t="shared" si="3"/>
        <v>3537.1444</v>
      </c>
      <c r="AL20" s="199">
        <f t="shared" si="4"/>
        <v>1055.864</v>
      </c>
      <c r="AM20" s="199">
        <f t="shared" si="5"/>
        <v>5279.32</v>
      </c>
      <c r="AN20" s="199">
        <f t="shared" si="6"/>
        <v>1108.6571999999999</v>
      </c>
      <c r="AO20" s="199">
        <f t="shared" si="7"/>
        <v>10664.2264</v>
      </c>
      <c r="AP20" s="199">
        <f t="shared" si="8"/>
        <v>5437.6996</v>
      </c>
      <c r="AQ20" s="199">
        <f t="shared" si="9"/>
        <v>3959.49</v>
      </c>
      <c r="AR20" s="199">
        <f t="shared" si="10"/>
        <v>3959.49</v>
      </c>
      <c r="AS20" s="272">
        <f>B20*1.15</f>
        <v>6071.217999999999</v>
      </c>
      <c r="AT20" s="313">
        <f t="shared" si="16"/>
        <v>616.95</v>
      </c>
      <c r="AU20" s="244">
        <v>12620</v>
      </c>
      <c r="AV20" s="244"/>
      <c r="AW20" s="244"/>
      <c r="AX20" s="244">
        <f>1320</f>
        <v>1320</v>
      </c>
      <c r="AY20" s="244"/>
      <c r="AZ20" s="311"/>
      <c r="BA20" s="243"/>
      <c r="BB20" s="243"/>
      <c r="BC20" s="192">
        <f t="shared" si="11"/>
        <v>55630.05959999999</v>
      </c>
      <c r="BD20" s="317">
        <f>'[10]Т11'!$S$55+'[10]Т11'!$S$71+'[10]Т11'!$S$90+'[10]Т11'!$S$117+'[10]Т11'!$S$200</f>
        <v>7120.606</v>
      </c>
      <c r="BE20" s="205">
        <f t="shared" si="12"/>
        <v>62750.66559999999</v>
      </c>
      <c r="BF20" s="205">
        <f t="shared" si="13"/>
        <v>-11053.807599999993</v>
      </c>
      <c r="BG20" s="205">
        <f t="shared" si="14"/>
        <v>-5297.820000000007</v>
      </c>
    </row>
    <row r="21" spans="1:59" ht="13.5" thickBot="1">
      <c r="A21" s="227" t="s">
        <v>41</v>
      </c>
      <c r="B21" s="315">
        <v>5278.82</v>
      </c>
      <c r="C21" s="140">
        <f t="shared" si="0"/>
        <v>45133.911</v>
      </c>
      <c r="D21" s="318">
        <f>412.08+99000</f>
        <v>99412.08</v>
      </c>
      <c r="E21" s="273"/>
      <c r="F21" s="273"/>
      <c r="G21" s="273">
        <v>27984.56</v>
      </c>
      <c r="H21" s="273">
        <v>112.19</v>
      </c>
      <c r="I21" s="273"/>
      <c r="J21" s="273"/>
      <c r="K21" s="273"/>
      <c r="L21" s="273"/>
      <c r="M21" s="273">
        <v>13691.01</v>
      </c>
      <c r="N21" s="273">
        <v>54.47</v>
      </c>
      <c r="O21" s="273">
        <v>4715.04</v>
      </c>
      <c r="P21" s="273">
        <v>18.88</v>
      </c>
      <c r="Q21" s="273"/>
      <c r="R21" s="273"/>
      <c r="S21" s="274">
        <v>100</v>
      </c>
      <c r="T21" s="275"/>
      <c r="U21" s="270">
        <f t="shared" si="1"/>
        <v>46490.61</v>
      </c>
      <c r="V21" s="271">
        <f t="shared" si="1"/>
        <v>185.54</v>
      </c>
      <c r="W21" s="249">
        <v>0</v>
      </c>
      <c r="X21" s="249">
        <v>31495.11</v>
      </c>
      <c r="Y21" s="249">
        <v>0</v>
      </c>
      <c r="Z21" s="249">
        <v>0</v>
      </c>
      <c r="AA21" s="249">
        <v>15295.26</v>
      </c>
      <c r="AB21" s="249">
        <v>5305.57</v>
      </c>
      <c r="AC21" s="249"/>
      <c r="AD21" s="249"/>
      <c r="AE21" s="255">
        <v>143.14</v>
      </c>
      <c r="AF21" s="256">
        <f t="shared" si="17"/>
        <v>52239.08</v>
      </c>
      <c r="AG21" s="262">
        <f t="shared" si="15"/>
        <v>151836.7</v>
      </c>
      <c r="AH21" s="241">
        <f t="shared" si="2"/>
        <v>0</v>
      </c>
      <c r="AI21" s="241">
        <f t="shared" si="2"/>
        <v>0</v>
      </c>
      <c r="AJ21" s="242">
        <f>'[10]Т12'!$J$55+'[10]Т12'!$J$71+'[10]Т12'!$J$90+'[10]Т12'!$J$117+'[10]Т12'!$J$159+'[10]Т12'!$J$224</f>
        <v>11206.668</v>
      </c>
      <c r="AK21" s="199">
        <f t="shared" si="3"/>
        <v>3536.8094</v>
      </c>
      <c r="AL21" s="199">
        <f t="shared" si="4"/>
        <v>1055.764</v>
      </c>
      <c r="AM21" s="199">
        <f t="shared" si="5"/>
        <v>5278.82</v>
      </c>
      <c r="AN21" s="199">
        <f t="shared" si="6"/>
        <v>1108.5521999999999</v>
      </c>
      <c r="AO21" s="199">
        <f t="shared" si="7"/>
        <v>10663.2164</v>
      </c>
      <c r="AP21" s="199">
        <f t="shared" si="8"/>
        <v>5437.1846</v>
      </c>
      <c r="AQ21" s="199">
        <f t="shared" si="9"/>
        <v>3959.115</v>
      </c>
      <c r="AR21" s="199">
        <f t="shared" si="10"/>
        <v>3959.115</v>
      </c>
      <c r="AS21" s="272">
        <f>B21*1.15</f>
        <v>6070.642999999999</v>
      </c>
      <c r="AT21" s="313">
        <f>0.45*1371</f>
        <v>616.95</v>
      </c>
      <c r="AU21" s="244">
        <v>965</v>
      </c>
      <c r="AV21" s="244">
        <v>1105</v>
      </c>
      <c r="AW21" s="244"/>
      <c r="AX21" s="244">
        <f>48</f>
        <v>48</v>
      </c>
      <c r="AY21" s="311"/>
      <c r="AZ21" s="243"/>
      <c r="BA21" s="243"/>
      <c r="BB21" s="243"/>
      <c r="BC21" s="192">
        <f>SUM(AK21:BB21)</f>
        <v>43804.169599999994</v>
      </c>
      <c r="BD21" s="319">
        <f>'[10]Т12'!$S$55+'[10]Т12'!$S$71+'[10]Т12'!$S$90+'[10]Т12'!$S$117+'[10]Т12'!$S$159+'[10]Т12'!$S$224</f>
        <v>7420.606</v>
      </c>
      <c r="BE21" s="205">
        <f t="shared" si="12"/>
        <v>51224.77559999999</v>
      </c>
      <c r="BF21" s="205">
        <f t="shared" si="13"/>
        <v>111818.59240000002</v>
      </c>
      <c r="BG21" s="205">
        <f t="shared" si="14"/>
        <v>5748.470000000001</v>
      </c>
    </row>
    <row r="22" spans="1:59" s="16" customFormat="1" ht="13.5" thickBot="1">
      <c r="A22" s="276" t="s">
        <v>3</v>
      </c>
      <c r="B22" s="277"/>
      <c r="C22" s="278">
        <f aca="true" t="shared" si="18" ref="C22:BE22">SUM(C10:C21)</f>
        <v>541689.0119999999</v>
      </c>
      <c r="D22" s="278">
        <f t="shared" si="18"/>
        <v>104154.672</v>
      </c>
      <c r="E22" s="278">
        <f t="shared" si="18"/>
        <v>-5.93</v>
      </c>
      <c r="F22" s="278">
        <f t="shared" si="18"/>
        <v>0</v>
      </c>
      <c r="G22" s="278">
        <f t="shared" si="18"/>
        <v>332402.12000000005</v>
      </c>
      <c r="H22" s="278">
        <f t="shared" si="18"/>
        <v>1034</v>
      </c>
      <c r="I22" s="278">
        <f t="shared" si="18"/>
        <v>-8.03</v>
      </c>
      <c r="J22" s="278">
        <f t="shared" si="18"/>
        <v>0</v>
      </c>
      <c r="K22" s="278">
        <f t="shared" si="18"/>
        <v>-13.370000000000001</v>
      </c>
      <c r="L22" s="278">
        <f t="shared" si="18"/>
        <v>0</v>
      </c>
      <c r="M22" s="278">
        <f t="shared" si="18"/>
        <v>161513.37</v>
      </c>
      <c r="N22" s="278">
        <f t="shared" si="18"/>
        <v>552.1999999999999</v>
      </c>
      <c r="O22" s="278">
        <f t="shared" si="18"/>
        <v>56498.07</v>
      </c>
      <c r="P22" s="278">
        <f t="shared" si="18"/>
        <v>191.4</v>
      </c>
      <c r="Q22" s="278">
        <f t="shared" si="18"/>
        <v>0</v>
      </c>
      <c r="R22" s="278">
        <f t="shared" si="18"/>
        <v>0</v>
      </c>
      <c r="S22" s="278">
        <f t="shared" si="18"/>
        <v>1200</v>
      </c>
      <c r="T22" s="278">
        <f t="shared" si="18"/>
        <v>0</v>
      </c>
      <c r="U22" s="278">
        <f t="shared" si="18"/>
        <v>551586.23</v>
      </c>
      <c r="V22" s="278">
        <f t="shared" si="18"/>
        <v>1760.2</v>
      </c>
      <c r="W22" s="278">
        <f t="shared" si="18"/>
        <v>7656.559999999999</v>
      </c>
      <c r="X22" s="278">
        <f t="shared" si="18"/>
        <v>289510.51</v>
      </c>
      <c r="Y22" s="278">
        <f t="shared" si="18"/>
        <v>9468.899999999998</v>
      </c>
      <c r="Z22" s="278">
        <f t="shared" si="18"/>
        <v>12014.190000000002</v>
      </c>
      <c r="AA22" s="278">
        <f t="shared" si="18"/>
        <v>156376.19</v>
      </c>
      <c r="AB22" s="278">
        <f t="shared" si="18"/>
        <v>55131.81</v>
      </c>
      <c r="AC22" s="278">
        <f t="shared" si="18"/>
        <v>0</v>
      </c>
      <c r="AD22" s="278">
        <f t="shared" si="18"/>
        <v>0</v>
      </c>
      <c r="AE22" s="278">
        <f t="shared" si="18"/>
        <v>1143.12</v>
      </c>
      <c r="AF22" s="278">
        <f t="shared" si="18"/>
        <v>531301.2799999999</v>
      </c>
      <c r="AG22" s="278">
        <f t="shared" si="18"/>
        <v>637216.152</v>
      </c>
      <c r="AH22" s="278">
        <f t="shared" si="18"/>
        <v>0</v>
      </c>
      <c r="AI22" s="278">
        <f t="shared" si="18"/>
        <v>0</v>
      </c>
      <c r="AJ22" s="278">
        <f t="shared" si="18"/>
        <v>121280.01600000002</v>
      </c>
      <c r="AK22" s="278">
        <f t="shared" si="18"/>
        <v>42448.1448</v>
      </c>
      <c r="AL22" s="278">
        <f t="shared" si="18"/>
        <v>12671.087999999996</v>
      </c>
      <c r="AM22" s="278">
        <f t="shared" si="18"/>
        <v>63355.439999999995</v>
      </c>
      <c r="AN22" s="278">
        <f t="shared" si="18"/>
        <v>13304.642399999997</v>
      </c>
      <c r="AO22" s="278">
        <f t="shared" si="18"/>
        <v>127977.98879999999</v>
      </c>
      <c r="AP22" s="278">
        <f t="shared" si="18"/>
        <v>65256.1032</v>
      </c>
      <c r="AQ22" s="278">
        <f t="shared" si="18"/>
        <v>47516.57999999999</v>
      </c>
      <c r="AR22" s="278">
        <f t="shared" si="18"/>
        <v>47516.57999999999</v>
      </c>
      <c r="AS22" s="278">
        <f t="shared" si="18"/>
        <v>36431.448</v>
      </c>
      <c r="AT22" s="278">
        <f t="shared" si="18"/>
        <v>4935.599999999999</v>
      </c>
      <c r="AU22" s="278">
        <f t="shared" si="18"/>
        <v>38600</v>
      </c>
      <c r="AV22" s="278">
        <f t="shared" si="18"/>
        <v>5096</v>
      </c>
      <c r="AW22" s="278">
        <f t="shared" si="18"/>
        <v>1944</v>
      </c>
      <c r="AX22" s="278">
        <f t="shared" si="18"/>
        <v>73942.21000000002</v>
      </c>
      <c r="AY22" s="278">
        <f t="shared" si="18"/>
        <v>0</v>
      </c>
      <c r="AZ22" s="278">
        <f t="shared" si="18"/>
        <v>0</v>
      </c>
      <c r="BA22" s="278">
        <f t="shared" si="18"/>
        <v>0</v>
      </c>
      <c r="BB22" s="278">
        <f t="shared" si="18"/>
        <v>0</v>
      </c>
      <c r="BC22" s="278">
        <f t="shared" si="18"/>
        <v>580995.8252</v>
      </c>
      <c r="BD22" s="278">
        <f t="shared" si="18"/>
        <v>85747.272</v>
      </c>
      <c r="BE22" s="278">
        <f t="shared" si="18"/>
        <v>666743.0972</v>
      </c>
      <c r="BF22" s="278">
        <f>SUM(BF10:BF21)</f>
        <v>91753.07080000007</v>
      </c>
      <c r="BG22" s="278">
        <f>SUM(BG10:BG21)</f>
        <v>-20284.95000000001</v>
      </c>
    </row>
    <row r="23" spans="1:59" s="16" customFormat="1" ht="13.5" thickBot="1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1"/>
      <c r="BF23" s="280"/>
      <c r="BG23" s="282"/>
    </row>
    <row r="24" spans="1:59" s="16" customFormat="1" ht="13.5" thickBot="1">
      <c r="A24" s="18" t="s">
        <v>52</v>
      </c>
      <c r="B24" s="280"/>
      <c r="C24" s="283">
        <f aca="true" t="shared" si="19" ref="C24:BG24">C22+C8</f>
        <v>1775248.731</v>
      </c>
      <c r="D24" s="283">
        <f t="shared" si="19"/>
        <v>388234.80630205</v>
      </c>
      <c r="E24" s="283">
        <f t="shared" si="19"/>
        <v>104558.89</v>
      </c>
      <c r="F24" s="283">
        <f t="shared" si="19"/>
        <v>21671.85</v>
      </c>
      <c r="G24" s="283">
        <f t="shared" si="19"/>
        <v>332402.12000000005</v>
      </c>
      <c r="H24" s="283">
        <f t="shared" si="19"/>
        <v>1034</v>
      </c>
      <c r="I24" s="283">
        <f t="shared" si="19"/>
        <v>141545.09999999998</v>
      </c>
      <c r="J24" s="283">
        <f t="shared" si="19"/>
        <v>29341.61</v>
      </c>
      <c r="K24" s="283">
        <f t="shared" si="19"/>
        <v>235575.08000000002</v>
      </c>
      <c r="L24" s="283">
        <f t="shared" si="19"/>
        <v>48846.17</v>
      </c>
      <c r="M24" s="283">
        <f t="shared" si="19"/>
        <v>501692.16000000003</v>
      </c>
      <c r="N24" s="283">
        <f t="shared" si="19"/>
        <v>71130.26</v>
      </c>
      <c r="O24" s="283">
        <f t="shared" si="19"/>
        <v>140149.84</v>
      </c>
      <c r="P24" s="283">
        <f t="shared" si="19"/>
        <v>17528.840000000004</v>
      </c>
      <c r="Q24" s="283">
        <f t="shared" si="19"/>
        <v>0</v>
      </c>
      <c r="R24" s="283">
        <f t="shared" si="19"/>
        <v>0</v>
      </c>
      <c r="S24" s="283">
        <f t="shared" si="19"/>
        <v>1200</v>
      </c>
      <c r="T24" s="283">
        <f t="shared" si="19"/>
        <v>0</v>
      </c>
      <c r="U24" s="283">
        <f t="shared" si="19"/>
        <v>1457123.19</v>
      </c>
      <c r="V24" s="283">
        <f t="shared" si="19"/>
        <v>189535.33000000002</v>
      </c>
      <c r="W24" s="283">
        <f t="shared" si="19"/>
        <v>106630.18000000001</v>
      </c>
      <c r="X24" s="283">
        <f t="shared" si="19"/>
        <v>289510.51</v>
      </c>
      <c r="Y24" s="283">
        <f t="shared" si="19"/>
        <v>143370.93000000002</v>
      </c>
      <c r="Z24" s="283">
        <f t="shared" si="19"/>
        <v>234901.26</v>
      </c>
      <c r="AA24" s="283">
        <f t="shared" si="19"/>
        <v>480606.85000000003</v>
      </c>
      <c r="AB24" s="283">
        <f t="shared" si="19"/>
        <v>134280.01</v>
      </c>
      <c r="AC24" s="283">
        <f t="shared" si="19"/>
        <v>0</v>
      </c>
      <c r="AD24" s="283">
        <f t="shared" si="19"/>
        <v>0</v>
      </c>
      <c r="AE24" s="283">
        <f t="shared" si="19"/>
        <v>1143.12</v>
      </c>
      <c r="AF24" s="283">
        <f t="shared" si="19"/>
        <v>1390442.8599999999</v>
      </c>
      <c r="AG24" s="283">
        <f t="shared" si="19"/>
        <v>1968212.9963020498</v>
      </c>
      <c r="AH24" s="283">
        <f t="shared" si="19"/>
        <v>0</v>
      </c>
      <c r="AI24" s="283">
        <f t="shared" si="19"/>
        <v>0</v>
      </c>
      <c r="AJ24" s="283" t="e">
        <f t="shared" si="19"/>
        <v>#REF!</v>
      </c>
      <c r="AK24" s="283">
        <f t="shared" si="19"/>
        <v>126745.4448</v>
      </c>
      <c r="AL24" s="283">
        <f t="shared" si="19"/>
        <v>40918.620284</v>
      </c>
      <c r="AM24" s="283">
        <f t="shared" si="19"/>
        <v>203286.79772922597</v>
      </c>
      <c r="AN24" s="283">
        <f t="shared" si="19"/>
        <v>13304.642399999997</v>
      </c>
      <c r="AO24" s="283">
        <f t="shared" si="19"/>
        <v>267555.6828950228</v>
      </c>
      <c r="AP24" s="283">
        <f t="shared" si="19"/>
        <v>377493.767981957</v>
      </c>
      <c r="AQ24" s="283">
        <f t="shared" si="19"/>
        <v>47516.57999999999</v>
      </c>
      <c r="AR24" s="283">
        <f t="shared" si="19"/>
        <v>47516.57999999999</v>
      </c>
      <c r="AS24" s="283">
        <f t="shared" si="19"/>
        <v>36431.448</v>
      </c>
      <c r="AT24" s="283">
        <f t="shared" si="19"/>
        <v>12339</v>
      </c>
      <c r="AU24" s="283">
        <f t="shared" si="19"/>
        <v>255546.41</v>
      </c>
      <c r="AV24" s="283">
        <f t="shared" si="19"/>
        <v>5096</v>
      </c>
      <c r="AW24" s="283">
        <f t="shared" si="19"/>
        <v>219693.28660000002</v>
      </c>
      <c r="AX24" s="283">
        <f t="shared" si="19"/>
        <v>185470.1666</v>
      </c>
      <c r="AY24" s="283">
        <f t="shared" si="19"/>
        <v>64504.442</v>
      </c>
      <c r="AZ24" s="283">
        <f t="shared" si="19"/>
        <v>0</v>
      </c>
      <c r="BA24" s="283">
        <f t="shared" si="19"/>
        <v>0</v>
      </c>
      <c r="BB24" s="283">
        <f t="shared" si="19"/>
        <v>0</v>
      </c>
      <c r="BC24" s="283">
        <f t="shared" si="19"/>
        <v>1903418.8692902057</v>
      </c>
      <c r="BD24" s="283">
        <f t="shared" si="19"/>
        <v>155460.33818420797</v>
      </c>
      <c r="BE24" s="284">
        <f>BE22+BE8-20791.12</f>
        <v>2038088.0874744137</v>
      </c>
      <c r="BF24" s="283">
        <f t="shared" si="19"/>
        <v>164149.1041476363</v>
      </c>
      <c r="BG24" s="285">
        <f t="shared" si="19"/>
        <v>-66680.33000000003</v>
      </c>
    </row>
    <row r="25" spans="1:59" ht="12.75">
      <c r="A25" s="5" t="s">
        <v>130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6"/>
      <c r="BF25" s="223"/>
      <c r="BG25" s="224"/>
    </row>
    <row r="26" spans="1:59" ht="12.75">
      <c r="A26" s="227" t="s">
        <v>43</v>
      </c>
      <c r="B26" s="191">
        <v>5278.82</v>
      </c>
      <c r="C26" s="140">
        <f aca="true" t="shared" si="20" ref="C26:C31">B26*8.55</f>
        <v>45133.911</v>
      </c>
      <c r="D26" s="523">
        <v>412.08</v>
      </c>
      <c r="E26" s="249"/>
      <c r="F26" s="249"/>
      <c r="G26" s="249">
        <v>28001.11</v>
      </c>
      <c r="H26" s="249">
        <v>103.4</v>
      </c>
      <c r="I26" s="249"/>
      <c r="J26" s="249"/>
      <c r="K26" s="249"/>
      <c r="L26" s="249"/>
      <c r="M26" s="249">
        <v>13599.03</v>
      </c>
      <c r="N26" s="249">
        <v>50.2</v>
      </c>
      <c r="O26" s="249">
        <v>4717.82</v>
      </c>
      <c r="P26" s="249">
        <v>17.4</v>
      </c>
      <c r="Q26" s="249"/>
      <c r="R26" s="249"/>
      <c r="S26" s="255">
        <v>100</v>
      </c>
      <c r="T26" s="275"/>
      <c r="U26" s="270">
        <f aca="true" t="shared" si="21" ref="U26:V31">E26+G26+I26+K26+M26+O26+Q26+S26</f>
        <v>46417.96</v>
      </c>
      <c r="V26" s="271">
        <f t="shared" si="21"/>
        <v>171.00000000000003</v>
      </c>
      <c r="W26" s="249">
        <v>0</v>
      </c>
      <c r="X26" s="249">
        <v>24097.31</v>
      </c>
      <c r="Y26" s="249">
        <v>0</v>
      </c>
      <c r="Z26" s="249">
        <v>0</v>
      </c>
      <c r="AA26" s="249">
        <v>11703.59</v>
      </c>
      <c r="AB26" s="249">
        <v>4060.91</v>
      </c>
      <c r="AC26" s="249"/>
      <c r="AD26" s="249"/>
      <c r="AE26" s="255">
        <v>112.39</v>
      </c>
      <c r="AF26" s="256">
        <f aca="true" t="shared" si="22" ref="AF26:AF31">SUM(W26:AE26)</f>
        <v>39974.2</v>
      </c>
      <c r="AG26" s="262">
        <f aca="true" t="shared" si="23" ref="AG26:AG37">D26+V26+AF26</f>
        <v>40557.28</v>
      </c>
      <c r="AH26" s="241">
        <f aca="true" t="shared" si="24" ref="AH26:AI37">AC26</f>
        <v>0</v>
      </c>
      <c r="AI26" s="241">
        <f t="shared" si="24"/>
        <v>0</v>
      </c>
      <c r="AJ26" s="242">
        <f>'[15]Т01'!$J$33+'[15]Т01'!$J$46+'[15]Т01'!$J$120+'[15]Т01'!$J$137+'[15]Т01'!$J$157+'[15]Т01'!$J$222</f>
        <v>12759.23</v>
      </c>
      <c r="AK26" s="199">
        <f aca="true" t="shared" si="25" ref="AK26:AK31">0.67*B26</f>
        <v>3536.8094</v>
      </c>
      <c r="AL26" s="199">
        <f aca="true" t="shared" si="26" ref="AL26:AL37">B26*0.2</f>
        <v>1055.764</v>
      </c>
      <c r="AM26" s="199">
        <f aca="true" t="shared" si="27" ref="AM26:AM37">B26*1</f>
        <v>5278.82</v>
      </c>
      <c r="AN26" s="199">
        <f aca="true" t="shared" si="28" ref="AN26:AN37">B26*0.21</f>
        <v>1108.5521999999999</v>
      </c>
      <c r="AO26" s="199">
        <f aca="true" t="shared" si="29" ref="AO26:AO37">2.02*B26</f>
        <v>10663.2164</v>
      </c>
      <c r="AP26" s="199">
        <f aca="true" t="shared" si="30" ref="AP26:AP37">B26*1.03</f>
        <v>5437.1846</v>
      </c>
      <c r="AQ26" s="199">
        <f aca="true" t="shared" si="31" ref="AQ26:AQ37">B26*0.75</f>
        <v>3959.115</v>
      </c>
      <c r="AR26" s="199">
        <f aca="true" t="shared" si="32" ref="AR26:AR37">B26*0.75</f>
        <v>3959.115</v>
      </c>
      <c r="AS26" s="272">
        <f>B26*1.15</f>
        <v>6070.642999999999</v>
      </c>
      <c r="AT26" s="313">
        <f>0.45*1371</f>
        <v>616.95</v>
      </c>
      <c r="AU26" s="524">
        <v>6240</v>
      </c>
      <c r="AV26" s="244"/>
      <c r="AX26" s="244">
        <f>548</f>
        <v>548</v>
      </c>
      <c r="AY26" s="244"/>
      <c r="AZ26" s="244"/>
      <c r="BA26" s="99"/>
      <c r="BB26" s="243"/>
      <c r="BC26" s="314">
        <f>SUM(AK26:BB26)</f>
        <v>48474.169599999994</v>
      </c>
      <c r="BD26" s="319">
        <f>'[15]Т01'!$S$33+'[15]Т01'!$S$46+'[15]Т01'!$S$120+'[15]Т01'!$S$137+'[15]Т01'!$S$157+'[15]Т01'!$S$222</f>
        <v>7120.606</v>
      </c>
      <c r="BE26" s="205">
        <f>BC26+BD26</f>
        <v>55594.77559999999</v>
      </c>
      <c r="BF26" s="205">
        <f>AG26+AJ26-BE26</f>
        <v>-2278.265599999999</v>
      </c>
      <c r="BG26" s="205">
        <f>AF26-U26</f>
        <v>-6443.760000000002</v>
      </c>
    </row>
    <row r="27" spans="1:59" ht="12.75">
      <c r="A27" s="227" t="s">
        <v>44</v>
      </c>
      <c r="B27" s="191">
        <v>5278.82</v>
      </c>
      <c r="C27" s="140">
        <f t="shared" si="20"/>
        <v>45133.911</v>
      </c>
      <c r="D27" s="523">
        <v>412.08</v>
      </c>
      <c r="E27" s="257"/>
      <c r="F27" s="257"/>
      <c r="G27" s="257">
        <v>28018.3</v>
      </c>
      <c r="H27" s="257">
        <v>103.4</v>
      </c>
      <c r="I27" s="257"/>
      <c r="J27" s="257"/>
      <c r="K27" s="257"/>
      <c r="L27" s="257"/>
      <c r="M27" s="257">
        <v>13607.48</v>
      </c>
      <c r="N27" s="257">
        <v>50.2</v>
      </c>
      <c r="O27" s="257">
        <v>4720.82</v>
      </c>
      <c r="P27" s="257">
        <v>17.4</v>
      </c>
      <c r="Q27" s="257"/>
      <c r="R27" s="257"/>
      <c r="S27" s="258">
        <v>100</v>
      </c>
      <c r="T27" s="275"/>
      <c r="U27" s="270">
        <f t="shared" si="21"/>
        <v>46446.6</v>
      </c>
      <c r="V27" s="271">
        <f t="shared" si="21"/>
        <v>171.00000000000003</v>
      </c>
      <c r="W27" s="257">
        <v>0</v>
      </c>
      <c r="X27" s="257">
        <v>21946.05</v>
      </c>
      <c r="Y27" s="257">
        <v>0</v>
      </c>
      <c r="Z27" s="257">
        <v>0</v>
      </c>
      <c r="AA27" s="257">
        <v>10657.93</v>
      </c>
      <c r="AB27" s="257">
        <v>3697.15</v>
      </c>
      <c r="AC27" s="257"/>
      <c r="AD27" s="257"/>
      <c r="AE27" s="258">
        <v>119.03</v>
      </c>
      <c r="AF27" s="256">
        <f t="shared" si="22"/>
        <v>36420.159999999996</v>
      </c>
      <c r="AG27" s="262">
        <f t="shared" si="23"/>
        <v>37003.24</v>
      </c>
      <c r="AH27" s="241">
        <f t="shared" si="24"/>
        <v>0</v>
      </c>
      <c r="AI27" s="241">
        <f t="shared" si="24"/>
        <v>0</v>
      </c>
      <c r="AJ27" s="242">
        <f>'[15]Т01'!$J$33+'[15]Т01'!$J$46+'[15]Т01'!$J$120+'[15]Т01'!$J$137+'[15]Т01'!$J$157+'[15]Т01'!$J$222</f>
        <v>12759.23</v>
      </c>
      <c r="AK27" s="194">
        <f t="shared" si="25"/>
        <v>3536.8094</v>
      </c>
      <c r="AL27" s="199">
        <f t="shared" si="26"/>
        <v>1055.764</v>
      </c>
      <c r="AM27" s="199">
        <f t="shared" si="27"/>
        <v>5278.82</v>
      </c>
      <c r="AN27" s="199">
        <f t="shared" si="28"/>
        <v>1108.5521999999999</v>
      </c>
      <c r="AO27" s="199">
        <f t="shared" si="29"/>
        <v>10663.2164</v>
      </c>
      <c r="AP27" s="199">
        <f t="shared" si="30"/>
        <v>5437.1846</v>
      </c>
      <c r="AQ27" s="199">
        <f t="shared" si="31"/>
        <v>3959.115</v>
      </c>
      <c r="AR27" s="199">
        <f t="shared" si="32"/>
        <v>3959.115</v>
      </c>
      <c r="AS27" s="272">
        <f>B27*1.15</f>
        <v>6070.642999999999</v>
      </c>
      <c r="AT27" s="313">
        <f>0.45*1371</f>
        <v>616.95</v>
      </c>
      <c r="AU27" s="524"/>
      <c r="AV27" s="244"/>
      <c r="AW27" s="533">
        <v>99000</v>
      </c>
      <c r="AX27" s="244">
        <f>10000</f>
        <v>10000</v>
      </c>
      <c r="AY27" s="244"/>
      <c r="AZ27" s="244"/>
      <c r="BA27" s="99"/>
      <c r="BB27" s="243"/>
      <c r="BC27" s="192">
        <f>SUM(AK27:BB27)</f>
        <v>150686.1696</v>
      </c>
      <c r="BD27" s="319">
        <f>'[15]Т01'!$S$33+'[15]Т01'!$S$46+'[15]Т01'!$S$120+'[15]Т01'!$S$137+'[15]Т01'!$S$157+'[15]Т01'!$S$222</f>
        <v>7120.606</v>
      </c>
      <c r="BE27" s="205">
        <f aca="true" t="shared" si="33" ref="BE27:BE37">BC27+BD27</f>
        <v>157806.7756</v>
      </c>
      <c r="BF27" s="205">
        <f aca="true" t="shared" si="34" ref="BF27:BF37">AG27+AJ27-BE27</f>
        <v>-108044.30559999999</v>
      </c>
      <c r="BG27" s="205">
        <f aca="true" t="shared" si="35" ref="BG27:BG37">AF27-U27</f>
        <v>-10026.440000000002</v>
      </c>
    </row>
    <row r="28" spans="1:59" ht="12.75">
      <c r="A28" s="227" t="s">
        <v>45</v>
      </c>
      <c r="B28" s="191">
        <v>5278.82</v>
      </c>
      <c r="C28" s="140">
        <f t="shared" si="20"/>
        <v>45133.911</v>
      </c>
      <c r="D28" s="523">
        <v>412.08</v>
      </c>
      <c r="E28" s="257"/>
      <c r="F28" s="257"/>
      <c r="G28" s="257">
        <v>28024.87</v>
      </c>
      <c r="H28" s="257">
        <v>103.4</v>
      </c>
      <c r="I28" s="257"/>
      <c r="J28" s="257"/>
      <c r="K28" s="257"/>
      <c r="L28" s="257"/>
      <c r="M28" s="257">
        <v>13610.69</v>
      </c>
      <c r="N28" s="257">
        <v>50.2</v>
      </c>
      <c r="O28" s="257">
        <v>4721.97</v>
      </c>
      <c r="P28" s="257">
        <v>17.4</v>
      </c>
      <c r="Q28" s="257"/>
      <c r="R28" s="257"/>
      <c r="S28" s="258">
        <v>100</v>
      </c>
      <c r="T28" s="275"/>
      <c r="U28" s="270">
        <f t="shared" si="21"/>
        <v>46457.53</v>
      </c>
      <c r="V28" s="271">
        <f t="shared" si="21"/>
        <v>171.00000000000003</v>
      </c>
      <c r="W28" s="249">
        <v>0</v>
      </c>
      <c r="X28" s="249">
        <v>32933.17</v>
      </c>
      <c r="Y28" s="249">
        <v>0</v>
      </c>
      <c r="Z28" s="249">
        <v>0</v>
      </c>
      <c r="AA28" s="249">
        <v>13961.37</v>
      </c>
      <c r="AB28" s="249">
        <v>4710.07</v>
      </c>
      <c r="AC28" s="249"/>
      <c r="AD28" s="249"/>
      <c r="AE28" s="255">
        <v>119</v>
      </c>
      <c r="AF28" s="256">
        <f t="shared" si="22"/>
        <v>51723.61</v>
      </c>
      <c r="AG28" s="262">
        <f t="shared" si="23"/>
        <v>52306.69</v>
      </c>
      <c r="AH28" s="241">
        <f t="shared" si="24"/>
        <v>0</v>
      </c>
      <c r="AI28" s="241">
        <f t="shared" si="24"/>
        <v>0</v>
      </c>
      <c r="AJ28" s="242">
        <f>'[15]Т03'!$J$32+'[15]Т03'!$J$44+'[15]Т03'!$J$121+'[15]Т03'!$J$138+'[15]Т03'!$J$158+'[15]Т03'!$J$223</f>
        <v>13359.23</v>
      </c>
      <c r="AK28" s="194">
        <f t="shared" si="25"/>
        <v>3536.8094</v>
      </c>
      <c r="AL28" s="199">
        <f t="shared" si="26"/>
        <v>1055.764</v>
      </c>
      <c r="AM28" s="199">
        <f t="shared" si="27"/>
        <v>5278.82</v>
      </c>
      <c r="AN28" s="199">
        <f t="shared" si="28"/>
        <v>1108.5521999999999</v>
      </c>
      <c r="AO28" s="199">
        <f t="shared" si="29"/>
        <v>10663.2164</v>
      </c>
      <c r="AP28" s="199">
        <f t="shared" si="30"/>
        <v>5437.1846</v>
      </c>
      <c r="AQ28" s="199">
        <f t="shared" si="31"/>
        <v>3959.115</v>
      </c>
      <c r="AR28" s="199">
        <f t="shared" si="32"/>
        <v>3959.115</v>
      </c>
      <c r="AS28" s="272">
        <f>B28*1.15</f>
        <v>6070.642999999999</v>
      </c>
      <c r="AT28" s="313">
        <f>0.45*1371</f>
        <v>616.95</v>
      </c>
      <c r="AU28" s="524">
        <v>21028</v>
      </c>
      <c r="AV28" s="244">
        <v>232.63</v>
      </c>
      <c r="AW28" s="244">
        <f>277.47+390</f>
        <v>667.47</v>
      </c>
      <c r="AX28" s="244">
        <f>5529+112.33</f>
        <v>5641.33</v>
      </c>
      <c r="AY28" s="244"/>
      <c r="AZ28" s="244"/>
      <c r="BA28" s="99"/>
      <c r="BB28" s="243"/>
      <c r="BC28" s="314">
        <f>SUM(AK28:BB28)</f>
        <v>69255.59959999999</v>
      </c>
      <c r="BD28" s="319">
        <f>'[15]Т03'!$S$32+'[15]Т03'!$S$44+'[15]Т03'!$S$121+'[15]Т03'!$S$138+'[15]Т03'!$S$158+'[15]Т03'!$S$223</f>
        <v>7270.606</v>
      </c>
      <c r="BE28" s="205">
        <f t="shared" si="33"/>
        <v>76526.20559999999</v>
      </c>
      <c r="BF28" s="205">
        <f t="shared" si="34"/>
        <v>-10860.285599999988</v>
      </c>
      <c r="BG28" s="205">
        <f t="shared" si="35"/>
        <v>5266.080000000002</v>
      </c>
    </row>
    <row r="29" spans="1:59" ht="12.75">
      <c r="A29" s="227" t="s">
        <v>46</v>
      </c>
      <c r="B29" s="191">
        <v>5278.82</v>
      </c>
      <c r="C29" s="140">
        <f t="shared" si="20"/>
        <v>45133.911</v>
      </c>
      <c r="D29" s="523">
        <v>412.08</v>
      </c>
      <c r="E29" s="257"/>
      <c r="F29" s="257"/>
      <c r="G29" s="257">
        <v>28011.68</v>
      </c>
      <c r="H29" s="257">
        <v>103.4</v>
      </c>
      <c r="I29" s="257"/>
      <c r="J29" s="257"/>
      <c r="K29" s="257"/>
      <c r="L29" s="257"/>
      <c r="M29" s="257">
        <v>13064.23</v>
      </c>
      <c r="N29" s="257">
        <v>50.2</v>
      </c>
      <c r="O29" s="257">
        <v>4719.65</v>
      </c>
      <c r="P29" s="257">
        <v>17.4</v>
      </c>
      <c r="Q29" s="257"/>
      <c r="R29" s="257"/>
      <c r="S29" s="258">
        <v>100</v>
      </c>
      <c r="T29" s="275"/>
      <c r="U29" s="270">
        <f t="shared" si="21"/>
        <v>45895.560000000005</v>
      </c>
      <c r="V29" s="271">
        <f t="shared" si="21"/>
        <v>171.00000000000003</v>
      </c>
      <c r="W29" s="273">
        <v>0</v>
      </c>
      <c r="X29" s="273">
        <v>29230.83</v>
      </c>
      <c r="Y29" s="273">
        <v>0</v>
      </c>
      <c r="Z29" s="273">
        <v>0</v>
      </c>
      <c r="AA29" s="273">
        <v>12221.03</v>
      </c>
      <c r="AB29" s="273">
        <v>4239.18</v>
      </c>
      <c r="AC29" s="273"/>
      <c r="AD29" s="273"/>
      <c r="AE29" s="274">
        <v>119</v>
      </c>
      <c r="AF29" s="256">
        <f t="shared" si="22"/>
        <v>45810.04</v>
      </c>
      <c r="AG29" s="262">
        <f t="shared" si="23"/>
        <v>46393.12</v>
      </c>
      <c r="AH29" s="241">
        <f t="shared" si="24"/>
        <v>0</v>
      </c>
      <c r="AI29" s="241">
        <f t="shared" si="24"/>
        <v>0</v>
      </c>
      <c r="AJ29" s="242">
        <f>'[15]Т04'!$J$32+'[15]Т04'!$J$44+'[15]Т04'!$J$121+'[15]Т04'!$J$138+'[15]Т04'!$J$158+'[15]Т04'!$J$223</f>
        <v>12959.23</v>
      </c>
      <c r="AK29" s="194">
        <f t="shared" si="25"/>
        <v>3536.8094</v>
      </c>
      <c r="AL29" s="199">
        <f t="shared" si="26"/>
        <v>1055.764</v>
      </c>
      <c r="AM29" s="199">
        <f t="shared" si="27"/>
        <v>5278.82</v>
      </c>
      <c r="AN29" s="199">
        <f t="shared" si="28"/>
        <v>1108.5521999999999</v>
      </c>
      <c r="AO29" s="199">
        <f t="shared" si="29"/>
        <v>10663.2164</v>
      </c>
      <c r="AP29" s="199">
        <f t="shared" si="30"/>
        <v>5437.1846</v>
      </c>
      <c r="AQ29" s="199">
        <f t="shared" si="31"/>
        <v>3959.115</v>
      </c>
      <c r="AR29" s="199">
        <f t="shared" si="32"/>
        <v>3959.115</v>
      </c>
      <c r="AS29" s="272"/>
      <c r="AT29" s="313">
        <f>0.45*1371</f>
        <v>616.95</v>
      </c>
      <c r="AU29" s="524">
        <v>25927</v>
      </c>
      <c r="AV29" s="244"/>
      <c r="AW29" s="244">
        <v>495</v>
      </c>
      <c r="AX29" s="244">
        <f>7130+17.1+562.5+457.8</f>
        <v>8167.400000000001</v>
      </c>
      <c r="AY29" s="244"/>
      <c r="AZ29" s="244"/>
      <c r="BA29" s="99"/>
      <c r="BB29" s="243"/>
      <c r="BC29" s="314">
        <f>SUM(AK29:BB29)</f>
        <v>70204.92659999999</v>
      </c>
      <c r="BD29" s="319">
        <f>'[15]Т04'!$S$32+'[15]Т04'!$S$44+'[15]Т04'!$S$121+'[15]Т04'!$S$138+'[15]Т04'!$S$158+'[15]Т04'!$S$223</f>
        <v>7170.606</v>
      </c>
      <c r="BE29" s="205">
        <f t="shared" si="33"/>
        <v>77375.53259999999</v>
      </c>
      <c r="BF29" s="205">
        <f t="shared" si="34"/>
        <v>-18023.182599999986</v>
      </c>
      <c r="BG29" s="205">
        <f t="shared" si="35"/>
        <v>-85.52000000000407</v>
      </c>
    </row>
    <row r="30" spans="1:59" ht="12.75">
      <c r="A30" s="227" t="s">
        <v>47</v>
      </c>
      <c r="B30" s="191">
        <v>5278.82</v>
      </c>
      <c r="C30" s="140">
        <f t="shared" si="20"/>
        <v>45133.911</v>
      </c>
      <c r="D30" s="523">
        <v>412.08</v>
      </c>
      <c r="E30" s="257"/>
      <c r="F30" s="257"/>
      <c r="G30" s="257">
        <v>28000.25</v>
      </c>
      <c r="H30" s="257">
        <v>103.4</v>
      </c>
      <c r="I30" s="257"/>
      <c r="J30" s="257"/>
      <c r="K30" s="257"/>
      <c r="L30" s="257"/>
      <c r="M30" s="257">
        <v>13598.61</v>
      </c>
      <c r="N30" s="257">
        <v>50.2</v>
      </c>
      <c r="O30" s="257">
        <v>4717.65</v>
      </c>
      <c r="P30" s="257">
        <v>17.4</v>
      </c>
      <c r="Q30" s="257"/>
      <c r="R30" s="257"/>
      <c r="S30" s="258">
        <v>100</v>
      </c>
      <c r="T30" s="275"/>
      <c r="U30" s="270">
        <f t="shared" si="21"/>
        <v>46416.51</v>
      </c>
      <c r="V30" s="271">
        <f t="shared" si="21"/>
        <v>171.00000000000003</v>
      </c>
      <c r="W30" s="273">
        <v>0</v>
      </c>
      <c r="X30" s="273">
        <v>34866.91</v>
      </c>
      <c r="Y30" s="273">
        <v>0</v>
      </c>
      <c r="Z30" s="273">
        <v>0</v>
      </c>
      <c r="AA30" s="273">
        <v>12716.85</v>
      </c>
      <c r="AB30" s="273">
        <v>4363.18</v>
      </c>
      <c r="AC30" s="273"/>
      <c r="AD30" s="273"/>
      <c r="AE30" s="273">
        <v>107.27</v>
      </c>
      <c r="AF30" s="256">
        <f t="shared" si="22"/>
        <v>52054.21</v>
      </c>
      <c r="AG30" s="262">
        <f t="shared" si="23"/>
        <v>52637.29</v>
      </c>
      <c r="AH30" s="241">
        <f t="shared" si="24"/>
        <v>0</v>
      </c>
      <c r="AI30" s="241">
        <f t="shared" si="24"/>
        <v>0</v>
      </c>
      <c r="AJ30" s="242">
        <f>'[15]Т05'!$J$31+'[15]Т05'!$J$43+'[15]Т05'!$J$121+'[15]Т05'!$J$138+'[15]Т05'!$J$158+'[15]Т05'!$J$229</f>
        <v>12959.23</v>
      </c>
      <c r="AK30" s="194">
        <f t="shared" si="25"/>
        <v>3536.8094</v>
      </c>
      <c r="AL30" s="199">
        <f t="shared" si="26"/>
        <v>1055.764</v>
      </c>
      <c r="AM30" s="199">
        <f t="shared" si="27"/>
        <v>5278.82</v>
      </c>
      <c r="AN30" s="199">
        <f t="shared" si="28"/>
        <v>1108.5521999999999</v>
      </c>
      <c r="AO30" s="199">
        <f t="shared" si="29"/>
        <v>10663.2164</v>
      </c>
      <c r="AP30" s="199">
        <f t="shared" si="30"/>
        <v>5437.1846</v>
      </c>
      <c r="AQ30" s="199">
        <f t="shared" si="31"/>
        <v>3959.115</v>
      </c>
      <c r="AR30" s="199">
        <f t="shared" si="32"/>
        <v>3959.115</v>
      </c>
      <c r="AS30" s="272"/>
      <c r="AT30" s="313">
        <f>0.45*1371</f>
        <v>616.95</v>
      </c>
      <c r="AU30" s="524"/>
      <c r="AV30" s="244"/>
      <c r="AW30" s="244"/>
      <c r="AX30" s="244">
        <f>25.65</f>
        <v>25.65</v>
      </c>
      <c r="AY30" s="244"/>
      <c r="AZ30" s="244"/>
      <c r="BA30" s="99"/>
      <c r="BB30" s="243"/>
      <c r="BC30" s="314">
        <f>SUM(AK30:BB30)</f>
        <v>35641.1766</v>
      </c>
      <c r="BD30" s="319">
        <f>'[15]Т05'!$S$31+'[15]Т05'!$S$43+'[15]Т05'!$S$121+'[15]Т05'!$S$138+'[15]Т05'!$S$158+'[15]Т05'!$S$229</f>
        <v>7170.606</v>
      </c>
      <c r="BE30" s="205">
        <f t="shared" si="33"/>
        <v>42811.7826</v>
      </c>
      <c r="BF30" s="205">
        <f t="shared" si="34"/>
        <v>22784.737400000005</v>
      </c>
      <c r="BG30" s="205">
        <f t="shared" si="35"/>
        <v>5637.699999999997</v>
      </c>
    </row>
    <row r="31" spans="1:59" ht="12.75">
      <c r="A31" s="227" t="s">
        <v>48</v>
      </c>
      <c r="B31" s="191">
        <v>5278.82</v>
      </c>
      <c r="C31" s="140">
        <f t="shared" si="20"/>
        <v>45133.911</v>
      </c>
      <c r="D31" s="523">
        <v>412.08</v>
      </c>
      <c r="E31" s="257"/>
      <c r="F31" s="257"/>
      <c r="G31" s="257">
        <v>27998.77</v>
      </c>
      <c r="H31" s="257">
        <v>103.4</v>
      </c>
      <c r="I31" s="257"/>
      <c r="J31" s="257"/>
      <c r="K31" s="257"/>
      <c r="L31" s="257"/>
      <c r="M31" s="257">
        <v>13597.87</v>
      </c>
      <c r="N31" s="257">
        <v>50.21</v>
      </c>
      <c r="O31" s="257">
        <v>4717.37</v>
      </c>
      <c r="P31" s="257">
        <v>17.41</v>
      </c>
      <c r="Q31" s="257"/>
      <c r="R31" s="257"/>
      <c r="S31" s="258">
        <v>100</v>
      </c>
      <c r="T31" s="275"/>
      <c r="U31" s="270">
        <f t="shared" si="21"/>
        <v>46414.01</v>
      </c>
      <c r="V31" s="271">
        <f t="shared" si="21"/>
        <v>171.02</v>
      </c>
      <c r="W31" s="273"/>
      <c r="X31" s="525">
        <v>25599.5</v>
      </c>
      <c r="Y31" s="273"/>
      <c r="Z31" s="273"/>
      <c r="AA31" s="525">
        <v>10290.92</v>
      </c>
      <c r="AB31" s="525">
        <v>3570.02</v>
      </c>
      <c r="AC31" s="273"/>
      <c r="AD31" s="525"/>
      <c r="AE31" s="526">
        <v>107.27</v>
      </c>
      <c r="AF31" s="256">
        <f t="shared" si="22"/>
        <v>39567.70999999999</v>
      </c>
      <c r="AG31" s="262">
        <f t="shared" si="23"/>
        <v>40150.80999999999</v>
      </c>
      <c r="AH31" s="241">
        <f t="shared" si="24"/>
        <v>0</v>
      </c>
      <c r="AI31" s="241">
        <f t="shared" si="24"/>
        <v>0</v>
      </c>
      <c r="AJ31" s="242">
        <f>'[15]Т06'!$J$31+'[15]Т06'!$J$43+'[15]Т06'!$J$121+'[15]Т06'!$J$138+'[15]Т06'!$J$164+'[15]Т06'!$J$260</f>
        <v>12959.23</v>
      </c>
      <c r="AK31" s="194">
        <f t="shared" si="25"/>
        <v>3536.8094</v>
      </c>
      <c r="AL31" s="199">
        <f t="shared" si="26"/>
        <v>1055.764</v>
      </c>
      <c r="AM31" s="199">
        <f t="shared" si="27"/>
        <v>5278.82</v>
      </c>
      <c r="AN31" s="199">
        <f t="shared" si="28"/>
        <v>1108.5521999999999</v>
      </c>
      <c r="AO31" s="199">
        <f t="shared" si="29"/>
        <v>10663.2164</v>
      </c>
      <c r="AP31" s="199">
        <f t="shared" si="30"/>
        <v>5437.1846</v>
      </c>
      <c r="AQ31" s="199">
        <f t="shared" si="31"/>
        <v>3959.115</v>
      </c>
      <c r="AR31" s="199">
        <f t="shared" si="32"/>
        <v>3959.115</v>
      </c>
      <c r="AS31" s="272"/>
      <c r="AT31" s="313">
        <f>0.45*1371</f>
        <v>616.95</v>
      </c>
      <c r="AU31" s="524"/>
      <c r="AV31" s="244"/>
      <c r="AW31" s="244">
        <v>396</v>
      </c>
      <c r="AX31" s="244">
        <f>2414.29</f>
        <v>2414.29</v>
      </c>
      <c r="AY31" s="244"/>
      <c r="AZ31" s="244"/>
      <c r="BA31" s="99"/>
      <c r="BB31" s="243"/>
      <c r="BC31" s="314">
        <f>SUM(AK31:BB31)</f>
        <v>38425.8166</v>
      </c>
      <c r="BD31" s="319">
        <f>'[15]Т06'!$S$31+'[15]Т06'!$S$43+'[15]Т06'!$S$121+'[15]Т06'!$S$138+'[15]Т06'!$S$164+'[15]Т06'!$S$260</f>
        <v>7170.606</v>
      </c>
      <c r="BE31" s="205">
        <f t="shared" si="33"/>
        <v>45596.4226</v>
      </c>
      <c r="BF31" s="205">
        <f t="shared" si="34"/>
        <v>7513.6173999999955</v>
      </c>
      <c r="BG31" s="205">
        <f t="shared" si="35"/>
        <v>-6846.30000000001</v>
      </c>
    </row>
    <row r="32" spans="1:59" ht="12.75">
      <c r="A32" s="227" t="s">
        <v>49</v>
      </c>
      <c r="B32" s="191">
        <v>5278.82</v>
      </c>
      <c r="C32" s="140">
        <f aca="true" t="shared" si="36" ref="C32:C37">B32*9.51</f>
        <v>50201.578199999996</v>
      </c>
      <c r="D32" s="523">
        <v>551.46</v>
      </c>
      <c r="E32" s="257"/>
      <c r="F32" s="257"/>
      <c r="G32" s="257">
        <v>51512.06</v>
      </c>
      <c r="H32" s="257">
        <v>190.2</v>
      </c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>
        <v>100</v>
      </c>
      <c r="T32" s="275"/>
      <c r="U32" s="270">
        <f aca="true" t="shared" si="37" ref="U32:V37">G32+M32+O32+Q32+S32</f>
        <v>51612.06</v>
      </c>
      <c r="V32" s="527">
        <f t="shared" si="37"/>
        <v>190.2</v>
      </c>
      <c r="W32" s="273"/>
      <c r="X32" s="249">
        <v>29508.35</v>
      </c>
      <c r="Y32" s="273"/>
      <c r="Z32" s="273"/>
      <c r="AA32" s="249">
        <v>14121.29</v>
      </c>
      <c r="AB32" s="249">
        <v>4899.26</v>
      </c>
      <c r="AC32" s="273"/>
      <c r="AD32" s="249"/>
      <c r="AE32" s="255">
        <v>108.62</v>
      </c>
      <c r="AF32" s="256">
        <f aca="true" t="shared" si="38" ref="AF32:AF37">SUM(X32:AE32)</f>
        <v>48637.520000000004</v>
      </c>
      <c r="AG32" s="262">
        <f t="shared" si="23"/>
        <v>49379.18000000001</v>
      </c>
      <c r="AH32" s="528">
        <v>0</v>
      </c>
      <c r="AI32" s="241">
        <f t="shared" si="24"/>
        <v>0</v>
      </c>
      <c r="AJ32" s="242">
        <f>'[15]Т07'!$J$31+'[15]Т07'!$J$43+'[15]Т07'!$J$123+'[15]Т07'!$J$140+'[15]Т07'!$J$166+'[15]Т07'!$J$262</f>
        <v>12959.23</v>
      </c>
      <c r="AK32" s="199">
        <f aca="true" t="shared" si="39" ref="AK32:AK37">0.75*B32</f>
        <v>3959.115</v>
      </c>
      <c r="AL32" s="199">
        <f t="shared" si="26"/>
        <v>1055.764</v>
      </c>
      <c r="AM32" s="199">
        <f t="shared" si="27"/>
        <v>5278.82</v>
      </c>
      <c r="AN32" s="199">
        <f t="shared" si="28"/>
        <v>1108.5521999999999</v>
      </c>
      <c r="AO32" s="199">
        <f t="shared" si="29"/>
        <v>10663.2164</v>
      </c>
      <c r="AP32" s="199">
        <f t="shared" si="30"/>
        <v>5437.1846</v>
      </c>
      <c r="AQ32" s="199">
        <f t="shared" si="31"/>
        <v>3959.115</v>
      </c>
      <c r="AR32" s="199">
        <f t="shared" si="32"/>
        <v>3959.115</v>
      </c>
      <c r="AS32" s="272"/>
      <c r="AT32" s="313">
        <f>0.45*1371</f>
        <v>616.95</v>
      </c>
      <c r="AU32" s="524">
        <v>20502</v>
      </c>
      <c r="AV32" s="244"/>
      <c r="AW32" s="244">
        <v>2348</v>
      </c>
      <c r="AX32" s="244">
        <f>3462+41.65</f>
        <v>3503.65</v>
      </c>
      <c r="AY32" s="244"/>
      <c r="AZ32" s="244"/>
      <c r="BA32" s="99"/>
      <c r="BB32" s="243"/>
      <c r="BC32" s="314">
        <f>SUM(AK32:BB32)</f>
        <v>62391.4822</v>
      </c>
      <c r="BD32" s="319">
        <f>'[15]Т07'!$S$31+'[15]Т07'!$S$43+'[15]Т07'!$S$123+'[15]Т07'!$S$140+'[15]Т07'!$S$166+'[15]Т07'!$S$262</f>
        <v>7170.606</v>
      </c>
      <c r="BE32" s="205">
        <f t="shared" si="33"/>
        <v>69562.0882</v>
      </c>
      <c r="BF32" s="205">
        <f t="shared" si="34"/>
        <v>-7223.678199999995</v>
      </c>
      <c r="BG32" s="205">
        <f t="shared" si="35"/>
        <v>-2974.5399999999936</v>
      </c>
    </row>
    <row r="33" spans="1:59" ht="12.75">
      <c r="A33" s="227" t="s">
        <v>50</v>
      </c>
      <c r="B33" s="191">
        <v>5278.82</v>
      </c>
      <c r="C33" s="140">
        <f t="shared" si="36"/>
        <v>50201.578199999996</v>
      </c>
      <c r="D33" s="523"/>
      <c r="E33" s="257"/>
      <c r="F33" s="257"/>
      <c r="G33" s="257">
        <v>51510.64</v>
      </c>
      <c r="H33" s="257">
        <v>190.2</v>
      </c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8">
        <v>100</v>
      </c>
      <c r="T33" s="275"/>
      <c r="U33" s="270">
        <f t="shared" si="37"/>
        <v>51610.64</v>
      </c>
      <c r="V33" s="527">
        <f t="shared" si="37"/>
        <v>190.2</v>
      </c>
      <c r="W33" s="273"/>
      <c r="X33" s="249">
        <v>45559.39</v>
      </c>
      <c r="Y33" s="273"/>
      <c r="Z33" s="273"/>
      <c r="AA33" s="249">
        <v>2361.14</v>
      </c>
      <c r="AB33" s="249">
        <v>819.71</v>
      </c>
      <c r="AC33" s="273"/>
      <c r="AD33" s="249"/>
      <c r="AE33" s="255">
        <v>95.1</v>
      </c>
      <c r="AF33" s="256">
        <f t="shared" si="38"/>
        <v>48835.34</v>
      </c>
      <c r="AG33" s="262">
        <f t="shared" si="23"/>
        <v>49025.53999999999</v>
      </c>
      <c r="AH33" s="528">
        <v>0</v>
      </c>
      <c r="AI33" s="241">
        <f t="shared" si="24"/>
        <v>0</v>
      </c>
      <c r="AJ33" s="242">
        <f>'[15]Т08'!$J$31+'[15]Т08'!$J$43+'[15]Т08'!$J$123+'[15]Т08'!$J$140+'[15]Т08'!$J$166+'[15]Т08'!$J$262+'[15]Т08'!$J$294</f>
        <v>15359.23</v>
      </c>
      <c r="AK33" s="199">
        <f t="shared" si="39"/>
        <v>3959.115</v>
      </c>
      <c r="AL33" s="199">
        <f t="shared" si="26"/>
        <v>1055.764</v>
      </c>
      <c r="AM33" s="199">
        <f t="shared" si="27"/>
        <v>5278.82</v>
      </c>
      <c r="AN33" s="199">
        <f t="shared" si="28"/>
        <v>1108.5521999999999</v>
      </c>
      <c r="AO33" s="199">
        <f t="shared" si="29"/>
        <v>10663.2164</v>
      </c>
      <c r="AP33" s="199">
        <f t="shared" si="30"/>
        <v>5437.1846</v>
      </c>
      <c r="AQ33" s="199">
        <f t="shared" si="31"/>
        <v>3959.115</v>
      </c>
      <c r="AR33" s="199">
        <f t="shared" si="32"/>
        <v>3959.115</v>
      </c>
      <c r="AS33" s="272"/>
      <c r="AT33" s="313">
        <f>0.45*1371</f>
        <v>616.95</v>
      </c>
      <c r="AU33" s="524"/>
      <c r="AV33" s="244"/>
      <c r="AW33" s="244"/>
      <c r="AX33" s="244">
        <f>62.44</f>
        <v>62.44</v>
      </c>
      <c r="AY33" s="244"/>
      <c r="AZ33" s="244"/>
      <c r="BA33" s="99"/>
      <c r="BB33" s="243"/>
      <c r="BC33" s="314">
        <f>SUM(AK33:BB33)</f>
        <v>36100.2722</v>
      </c>
      <c r="BD33" s="319">
        <f>'[15]Т08'!$S$31+'[15]Т08'!$S$43+'[15]Т08'!$S$123+'[15]Т08'!$S$140+'[15]Т08'!$S$166+'[15]Т08'!$S$262+'[15]Т08'!$S$294</f>
        <v>7770.606</v>
      </c>
      <c r="BE33" s="205">
        <f t="shared" si="33"/>
        <v>43870.8782</v>
      </c>
      <c r="BF33" s="205">
        <f t="shared" si="34"/>
        <v>20513.89179999999</v>
      </c>
      <c r="BG33" s="205">
        <f t="shared" si="35"/>
        <v>-2775.300000000003</v>
      </c>
    </row>
    <row r="34" spans="1:59" ht="12.75">
      <c r="A34" s="227" t="s">
        <v>51</v>
      </c>
      <c r="B34" s="191">
        <v>5278.82</v>
      </c>
      <c r="C34" s="140">
        <f t="shared" si="36"/>
        <v>50201.578199999996</v>
      </c>
      <c r="D34" s="523"/>
      <c r="E34" s="257"/>
      <c r="F34" s="257"/>
      <c r="G34" s="257">
        <v>51505.93</v>
      </c>
      <c r="H34" s="257">
        <v>190.2</v>
      </c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8">
        <v>100</v>
      </c>
      <c r="T34" s="275"/>
      <c r="U34" s="270">
        <f t="shared" si="37"/>
        <v>51605.93</v>
      </c>
      <c r="V34" s="527">
        <f t="shared" si="37"/>
        <v>190.2</v>
      </c>
      <c r="W34" s="273"/>
      <c r="X34" s="249">
        <v>48032</v>
      </c>
      <c r="Y34" s="273"/>
      <c r="Z34" s="273"/>
      <c r="AA34" s="249">
        <v>1111.71</v>
      </c>
      <c r="AB34" s="249">
        <v>386.3</v>
      </c>
      <c r="AC34" s="273"/>
      <c r="AD34" s="249"/>
      <c r="AE34" s="255">
        <v>107.97</v>
      </c>
      <c r="AF34" s="256">
        <f t="shared" si="38"/>
        <v>49637.98</v>
      </c>
      <c r="AG34" s="262">
        <f t="shared" si="23"/>
        <v>49828.18</v>
      </c>
      <c r="AH34" s="528">
        <v>0</v>
      </c>
      <c r="AI34" s="241">
        <f t="shared" si="24"/>
        <v>0</v>
      </c>
      <c r="AJ34" s="242">
        <f>'[15]Т09'!$J$31+'[15]Т09'!$J$43+'[15]Т09'!$J$122+'[15]Т09'!$J$139+'[15]Т09'!$J$169+'[15]Т09'!$J$262+'[15]Т09'!$J$294</f>
        <v>13759.23</v>
      </c>
      <c r="AK34" s="199">
        <f t="shared" si="39"/>
        <v>3959.115</v>
      </c>
      <c r="AL34" s="199">
        <f t="shared" si="26"/>
        <v>1055.764</v>
      </c>
      <c r="AM34" s="199">
        <f t="shared" si="27"/>
        <v>5278.82</v>
      </c>
      <c r="AN34" s="199">
        <f t="shared" si="28"/>
        <v>1108.5521999999999</v>
      </c>
      <c r="AO34" s="199">
        <f t="shared" si="29"/>
        <v>10663.2164</v>
      </c>
      <c r="AP34" s="199">
        <f t="shared" si="30"/>
        <v>5437.1846</v>
      </c>
      <c r="AQ34" s="199">
        <f t="shared" si="31"/>
        <v>3959.115</v>
      </c>
      <c r="AR34" s="199">
        <f t="shared" si="32"/>
        <v>3959.115</v>
      </c>
      <c r="AS34" s="272"/>
      <c r="AT34" s="313">
        <f>0.45*1371</f>
        <v>616.95</v>
      </c>
      <c r="AU34" s="524">
        <v>4964</v>
      </c>
      <c r="AV34" s="244"/>
      <c r="AW34" s="244"/>
      <c r="AX34" s="244">
        <f>1841+506.825</f>
        <v>2347.825</v>
      </c>
      <c r="AY34" s="244"/>
      <c r="AZ34" s="244"/>
      <c r="BA34" s="99"/>
      <c r="BB34" s="243"/>
      <c r="BC34" s="314">
        <f>SUM(AK34:BB34)</f>
        <v>43349.657199999994</v>
      </c>
      <c r="BD34" s="319">
        <f>'[15]Т09'!$S$31+'[15]Т09'!$S$43+'[15]Т09'!$S$122+'[15]Т09'!$S$139+'[15]Т09'!$S$169+'[15]Т09'!$S$262+'[15]Т09'!$S$294</f>
        <v>7370.606</v>
      </c>
      <c r="BE34" s="205">
        <f t="shared" si="33"/>
        <v>50720.263199999994</v>
      </c>
      <c r="BF34" s="205">
        <f t="shared" si="34"/>
        <v>12867.14680000001</v>
      </c>
      <c r="BG34" s="205">
        <f t="shared" si="35"/>
        <v>-1967.949999999997</v>
      </c>
    </row>
    <row r="35" spans="1:59" ht="12.75">
      <c r="A35" s="227" t="s">
        <v>39</v>
      </c>
      <c r="B35" s="191">
        <v>5278.82</v>
      </c>
      <c r="C35" s="140">
        <f t="shared" si="36"/>
        <v>50201.578199999996</v>
      </c>
      <c r="D35" s="523"/>
      <c r="E35" s="257"/>
      <c r="F35" s="257"/>
      <c r="G35" s="257">
        <v>51503.44</v>
      </c>
      <c r="H35" s="257">
        <v>190.2</v>
      </c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8">
        <v>100</v>
      </c>
      <c r="T35" s="275"/>
      <c r="U35" s="270">
        <f t="shared" si="37"/>
        <v>51603.44</v>
      </c>
      <c r="V35" s="527">
        <f t="shared" si="37"/>
        <v>190.2</v>
      </c>
      <c r="W35" s="273"/>
      <c r="X35" s="249">
        <v>63379.57</v>
      </c>
      <c r="Y35" s="273"/>
      <c r="Z35" s="273"/>
      <c r="AA35" s="249">
        <v>2301.3</v>
      </c>
      <c r="AB35" s="249">
        <v>883.35</v>
      </c>
      <c r="AC35" s="273"/>
      <c r="AD35" s="249"/>
      <c r="AE35" s="255">
        <v>109.86</v>
      </c>
      <c r="AF35" s="256">
        <f t="shared" si="38"/>
        <v>66674.08</v>
      </c>
      <c r="AG35" s="262">
        <f t="shared" si="23"/>
        <v>66864.28</v>
      </c>
      <c r="AH35" s="528">
        <v>0</v>
      </c>
      <c r="AI35" s="241">
        <f t="shared" si="24"/>
        <v>0</v>
      </c>
      <c r="AJ35" s="242">
        <f>'[15]Т10'!$J$31+'[15]Т10'!$J$43+'[15]Т10'!$J$121+'[15]Т10'!$J$138+'[15]Т10'!$J$168+'[15]Т10'!$J$261+'[15]Т10'!$J$293</f>
        <v>13759.23</v>
      </c>
      <c r="AK35" s="199">
        <f t="shared" si="39"/>
        <v>3959.115</v>
      </c>
      <c r="AL35" s="199">
        <f t="shared" si="26"/>
        <v>1055.764</v>
      </c>
      <c r="AM35" s="199">
        <f t="shared" si="27"/>
        <v>5278.82</v>
      </c>
      <c r="AN35" s="199">
        <f t="shared" si="28"/>
        <v>1108.5521999999999</v>
      </c>
      <c r="AO35" s="199">
        <f t="shared" si="29"/>
        <v>10663.2164</v>
      </c>
      <c r="AP35" s="199">
        <f t="shared" si="30"/>
        <v>5437.1846</v>
      </c>
      <c r="AQ35" s="199">
        <f t="shared" si="31"/>
        <v>3959.115</v>
      </c>
      <c r="AR35" s="199">
        <f t="shared" si="32"/>
        <v>3959.115</v>
      </c>
      <c r="AS35" s="272">
        <f>B35*1.15</f>
        <v>6070.642999999999</v>
      </c>
      <c r="AT35" s="313">
        <f>0.45*1371</f>
        <v>616.95</v>
      </c>
      <c r="AU35" s="529"/>
      <c r="AV35" s="244"/>
      <c r="AW35" s="244"/>
      <c r="AX35" s="530">
        <f>8+18+40.5+288+35+27+36+1169.9207</f>
        <v>1622.4207</v>
      </c>
      <c r="AY35" s="530"/>
      <c r="AZ35" s="530"/>
      <c r="BA35" s="99"/>
      <c r="BB35" s="243"/>
      <c r="BC35" s="314">
        <f>SUM(AK35:BB35)</f>
        <v>43730.895899999996</v>
      </c>
      <c r="BD35" s="319">
        <f>'[15]Т10'!$S$31+'[15]Т10'!$S$43+'[15]Т10'!$S$121+'[15]Т10'!$S$138+'[15]Т10'!$S$261+'[15]Т10'!$S$168+'[15]Т10'!$S$293</f>
        <v>7370.606</v>
      </c>
      <c r="BE35" s="205">
        <f t="shared" si="33"/>
        <v>51101.501899999996</v>
      </c>
      <c r="BF35" s="205">
        <f t="shared" si="34"/>
        <v>29522.0081</v>
      </c>
      <c r="BG35" s="205">
        <f t="shared" si="35"/>
        <v>15070.64</v>
      </c>
    </row>
    <row r="36" spans="1:59" ht="12.75">
      <c r="A36" s="227" t="s">
        <v>40</v>
      </c>
      <c r="B36" s="531">
        <v>5277.02</v>
      </c>
      <c r="C36" s="140">
        <f t="shared" si="36"/>
        <v>50184.4602</v>
      </c>
      <c r="D36" s="523"/>
      <c r="E36" s="257"/>
      <c r="F36" s="257"/>
      <c r="G36" s="249">
        <v>51346.36</v>
      </c>
      <c r="H36" s="249">
        <v>190.2</v>
      </c>
      <c r="I36" s="257"/>
      <c r="J36" s="257"/>
      <c r="K36" s="257"/>
      <c r="L36" s="257"/>
      <c r="M36" s="249"/>
      <c r="N36" s="249"/>
      <c r="O36" s="249"/>
      <c r="P36" s="249"/>
      <c r="Q36" s="249"/>
      <c r="R36" s="249"/>
      <c r="S36" s="255">
        <v>100</v>
      </c>
      <c r="T36" s="275"/>
      <c r="U36" s="270">
        <f t="shared" si="37"/>
        <v>51446.36</v>
      </c>
      <c r="V36" s="527">
        <f t="shared" si="37"/>
        <v>190.2</v>
      </c>
      <c r="W36" s="273"/>
      <c r="X36" s="249">
        <v>52085.74</v>
      </c>
      <c r="Y36" s="273"/>
      <c r="Z36" s="273"/>
      <c r="AA36" s="249">
        <v>1723.99</v>
      </c>
      <c r="AB36" s="249">
        <v>513.1</v>
      </c>
      <c r="AC36" s="273"/>
      <c r="AD36" s="249"/>
      <c r="AE36" s="255">
        <v>28.84</v>
      </c>
      <c r="AF36" s="256">
        <f t="shared" si="38"/>
        <v>54351.66999999999</v>
      </c>
      <c r="AG36" s="262">
        <f t="shared" si="23"/>
        <v>54541.86999999999</v>
      </c>
      <c r="AH36" s="528">
        <v>0</v>
      </c>
      <c r="AI36" s="241">
        <f t="shared" si="24"/>
        <v>0</v>
      </c>
      <c r="AJ36" s="242">
        <f>'[15]Т11'!$J$31+'[15]Т11'!$J$43+'[15]Т11'!$J$121+'[15]Т11'!$J$138+'[15]Т11'!$J$170+'[15]Т11'!$J$263+'[15]Т11'!$J$295</f>
        <v>13759.23</v>
      </c>
      <c r="AK36" s="199">
        <f t="shared" si="39"/>
        <v>3957.7650000000003</v>
      </c>
      <c r="AL36" s="199">
        <f t="shared" si="26"/>
        <v>1055.4040000000002</v>
      </c>
      <c r="AM36" s="199">
        <f t="shared" si="27"/>
        <v>5277.02</v>
      </c>
      <c r="AN36" s="199">
        <f t="shared" si="28"/>
        <v>1108.1742000000002</v>
      </c>
      <c r="AO36" s="199">
        <f t="shared" si="29"/>
        <v>10659.5804</v>
      </c>
      <c r="AP36" s="199">
        <f t="shared" si="30"/>
        <v>5435.3306</v>
      </c>
      <c r="AQ36" s="199">
        <f t="shared" si="31"/>
        <v>3957.7650000000003</v>
      </c>
      <c r="AR36" s="199">
        <f t="shared" si="32"/>
        <v>3957.7650000000003</v>
      </c>
      <c r="AS36" s="272">
        <f>B36*1.15</f>
        <v>6068.573</v>
      </c>
      <c r="AT36" s="313">
        <f>0.45*1371</f>
        <v>616.95</v>
      </c>
      <c r="AU36" s="524">
        <v>15474</v>
      </c>
      <c r="AV36" s="244"/>
      <c r="AW36" s="244"/>
      <c r="AX36" s="244">
        <f>4064</f>
        <v>4064</v>
      </c>
      <c r="AY36" s="244"/>
      <c r="AZ36" s="244"/>
      <c r="BA36" s="99"/>
      <c r="BB36" s="243"/>
      <c r="BC36" s="314">
        <f>SUM(AK36:BB36)</f>
        <v>61632.3272</v>
      </c>
      <c r="BD36" s="319">
        <f>'[15]Т11'!$S$31+'[15]Т11'!$S$43+'[15]Т11'!$S$121+'[15]Т11'!$S$138+'[15]Т11'!$S$170+'[15]Т11'!$S$263+'[15]Т11'!$S$295</f>
        <v>7370.606</v>
      </c>
      <c r="BE36" s="205">
        <f t="shared" si="33"/>
        <v>69002.9332</v>
      </c>
      <c r="BF36" s="205">
        <f t="shared" si="34"/>
        <v>-701.8332000000082</v>
      </c>
      <c r="BG36" s="205">
        <f t="shared" si="35"/>
        <v>2905.3099999999904</v>
      </c>
    </row>
    <row r="37" spans="1:59" ht="13.5" thickBot="1">
      <c r="A37" s="227" t="s">
        <v>41</v>
      </c>
      <c r="B37" s="532">
        <v>5277.02</v>
      </c>
      <c r="C37" s="140">
        <f t="shared" si="36"/>
        <v>50184.4602</v>
      </c>
      <c r="D37" s="523"/>
      <c r="E37" s="249"/>
      <c r="F37" s="249"/>
      <c r="G37" s="249">
        <v>51491.39</v>
      </c>
      <c r="H37" s="249">
        <v>190.2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55">
        <v>100</v>
      </c>
      <c r="T37" s="275"/>
      <c r="U37" s="270">
        <f t="shared" si="37"/>
        <v>51591.39</v>
      </c>
      <c r="V37" s="527">
        <f t="shared" si="37"/>
        <v>190.2</v>
      </c>
      <c r="W37" s="273"/>
      <c r="X37" s="249">
        <v>62891.98</v>
      </c>
      <c r="Y37" s="249"/>
      <c r="Z37" s="249"/>
      <c r="AA37" s="249">
        <v>51.35</v>
      </c>
      <c r="AB37" s="249">
        <v>176.93</v>
      </c>
      <c r="AC37" s="249"/>
      <c r="AD37" s="249"/>
      <c r="AE37" s="255">
        <v>88.64</v>
      </c>
      <c r="AF37" s="256">
        <f t="shared" si="38"/>
        <v>63208.9</v>
      </c>
      <c r="AG37" s="262">
        <f t="shared" si="23"/>
        <v>63399.1</v>
      </c>
      <c r="AH37" s="528">
        <v>0</v>
      </c>
      <c r="AI37" s="241">
        <f t="shared" si="24"/>
        <v>0</v>
      </c>
      <c r="AJ37" s="242">
        <f>'[15]Т12'!$J$31+'[15]Т12'!$J$43+'[15]Т12'!$J$121+'[15]Т12'!$J$138+'[15]Т12'!$J$173+'[15]Т12'!$J$266+'[15]Т12'!$J$298</f>
        <v>13759.23</v>
      </c>
      <c r="AK37" s="199">
        <f t="shared" si="39"/>
        <v>3957.7650000000003</v>
      </c>
      <c r="AL37" s="199">
        <f t="shared" si="26"/>
        <v>1055.4040000000002</v>
      </c>
      <c r="AM37" s="199">
        <f t="shared" si="27"/>
        <v>5277.02</v>
      </c>
      <c r="AN37" s="199">
        <f t="shared" si="28"/>
        <v>1108.1742000000002</v>
      </c>
      <c r="AO37" s="199">
        <f t="shared" si="29"/>
        <v>10659.5804</v>
      </c>
      <c r="AP37" s="199">
        <f t="shared" si="30"/>
        <v>5435.3306</v>
      </c>
      <c r="AQ37" s="199">
        <f t="shared" si="31"/>
        <v>3957.7650000000003</v>
      </c>
      <c r="AR37" s="199">
        <f t="shared" si="32"/>
        <v>3957.7650000000003</v>
      </c>
      <c r="AS37" s="272">
        <f>B37*1.15</f>
        <v>6068.573</v>
      </c>
      <c r="AT37" s="313">
        <f>0.45*1371</f>
        <v>616.95</v>
      </c>
      <c r="AU37" s="524">
        <v>10055</v>
      </c>
      <c r="AV37" s="244"/>
      <c r="AW37" s="244"/>
      <c r="AX37" s="244">
        <f>356</f>
        <v>356</v>
      </c>
      <c r="AY37" s="244"/>
      <c r="AZ37" s="244"/>
      <c r="BA37" s="99"/>
      <c r="BB37" s="243"/>
      <c r="BC37" s="314">
        <f>SUM(AK37:BB37)</f>
        <v>52505.3272</v>
      </c>
      <c r="BD37" s="319">
        <f>'[15]Т12'!$S$31+'[15]Т12'!$S$43+'[15]Т12'!$S$121+'[15]Т12'!$S$138+'[15]Т12'!$S$173+'[15]Т12'!$S$266+'[15]Т12'!$S$298</f>
        <v>7370.606</v>
      </c>
      <c r="BE37" s="205">
        <f t="shared" si="33"/>
        <v>59875.9332</v>
      </c>
      <c r="BF37" s="205">
        <f t="shared" si="34"/>
        <v>17282.396800000002</v>
      </c>
      <c r="BG37" s="205">
        <f t="shared" si="35"/>
        <v>11617.510000000002</v>
      </c>
    </row>
    <row r="38" spans="1:59" s="16" customFormat="1" ht="13.5" thickBot="1">
      <c r="A38" s="276" t="s">
        <v>3</v>
      </c>
      <c r="B38" s="277"/>
      <c r="C38" s="278">
        <f aca="true" t="shared" si="40" ref="C38:AX38">SUM(C26:C37)</f>
        <v>571978.6991999999</v>
      </c>
      <c r="D38" s="278">
        <f t="shared" si="40"/>
        <v>3023.94</v>
      </c>
      <c r="E38" s="278">
        <f t="shared" si="40"/>
        <v>0</v>
      </c>
      <c r="F38" s="278">
        <f t="shared" si="40"/>
        <v>0</v>
      </c>
      <c r="G38" s="278">
        <f t="shared" si="40"/>
        <v>476924.8</v>
      </c>
      <c r="H38" s="278">
        <f t="shared" si="40"/>
        <v>1761.6000000000001</v>
      </c>
      <c r="I38" s="278">
        <f t="shared" si="40"/>
        <v>0</v>
      </c>
      <c r="J38" s="278">
        <f t="shared" si="40"/>
        <v>0</v>
      </c>
      <c r="K38" s="278">
        <f t="shared" si="40"/>
        <v>0</v>
      </c>
      <c r="L38" s="278">
        <f t="shared" si="40"/>
        <v>0</v>
      </c>
      <c r="M38" s="278">
        <f t="shared" si="40"/>
        <v>81077.91</v>
      </c>
      <c r="N38" s="278">
        <f t="shared" si="40"/>
        <v>301.21</v>
      </c>
      <c r="O38" s="278">
        <f t="shared" si="40"/>
        <v>28315.280000000002</v>
      </c>
      <c r="P38" s="278">
        <f t="shared" si="40"/>
        <v>104.41</v>
      </c>
      <c r="Q38" s="278">
        <f t="shared" si="40"/>
        <v>0</v>
      </c>
      <c r="R38" s="278">
        <f t="shared" si="40"/>
        <v>0</v>
      </c>
      <c r="S38" s="278">
        <f t="shared" si="40"/>
        <v>1200</v>
      </c>
      <c r="T38" s="278">
        <f t="shared" si="40"/>
        <v>0</v>
      </c>
      <c r="U38" s="278">
        <f t="shared" si="40"/>
        <v>587517.99</v>
      </c>
      <c r="V38" s="278">
        <f t="shared" si="40"/>
        <v>2167.2200000000003</v>
      </c>
      <c r="W38" s="278">
        <f t="shared" si="40"/>
        <v>0</v>
      </c>
      <c r="X38" s="278">
        <f t="shared" si="40"/>
        <v>470130.8</v>
      </c>
      <c r="Y38" s="278">
        <f t="shared" si="40"/>
        <v>0</v>
      </c>
      <c r="Z38" s="278">
        <f t="shared" si="40"/>
        <v>0</v>
      </c>
      <c r="AA38" s="278">
        <f t="shared" si="40"/>
        <v>93222.47000000003</v>
      </c>
      <c r="AB38" s="278">
        <f t="shared" si="40"/>
        <v>32319.159999999993</v>
      </c>
      <c r="AC38" s="278">
        <f t="shared" si="40"/>
        <v>0</v>
      </c>
      <c r="AD38" s="278">
        <f t="shared" si="40"/>
        <v>0</v>
      </c>
      <c r="AE38" s="278">
        <f t="shared" si="40"/>
        <v>1222.99</v>
      </c>
      <c r="AF38" s="278">
        <f t="shared" si="40"/>
        <v>596895.4199999999</v>
      </c>
      <c r="AG38" s="278">
        <f t="shared" si="40"/>
        <v>602086.58</v>
      </c>
      <c r="AH38" s="278">
        <f t="shared" si="40"/>
        <v>0</v>
      </c>
      <c r="AI38" s="278">
        <f t="shared" si="40"/>
        <v>0</v>
      </c>
      <c r="AJ38" s="278">
        <f t="shared" si="40"/>
        <v>161110.76</v>
      </c>
      <c r="AK38" s="278">
        <f t="shared" si="40"/>
        <v>44972.84639999999</v>
      </c>
      <c r="AL38" s="278">
        <f t="shared" si="40"/>
        <v>12668.447999999999</v>
      </c>
      <c r="AM38" s="278">
        <f t="shared" si="40"/>
        <v>63342.240000000005</v>
      </c>
      <c r="AN38" s="278">
        <f t="shared" si="40"/>
        <v>13301.870399999998</v>
      </c>
      <c r="AO38" s="278">
        <f t="shared" si="40"/>
        <v>127951.32480000002</v>
      </c>
      <c r="AP38" s="278">
        <f t="shared" si="40"/>
        <v>65242.5072</v>
      </c>
      <c r="AQ38" s="278">
        <f t="shared" si="40"/>
        <v>47506.679999999986</v>
      </c>
      <c r="AR38" s="278">
        <f t="shared" si="40"/>
        <v>47506.679999999986</v>
      </c>
      <c r="AS38" s="278">
        <f t="shared" si="40"/>
        <v>36419.71799999999</v>
      </c>
      <c r="AT38" s="278">
        <f t="shared" si="40"/>
        <v>7403.399999999999</v>
      </c>
      <c r="AU38" s="278">
        <f t="shared" si="40"/>
        <v>104190</v>
      </c>
      <c r="AV38" s="278">
        <f t="shared" si="40"/>
        <v>232.63</v>
      </c>
      <c r="AW38" s="278">
        <f>SUM(AW27:AW37)</f>
        <v>102906.47</v>
      </c>
      <c r="AX38" s="278">
        <f t="shared" si="40"/>
        <v>38753.0057</v>
      </c>
      <c r="AY38" s="278">
        <f>SUM(BA26:BA37)</f>
        <v>0</v>
      </c>
      <c r="AZ38" s="278">
        <f>SUM(BB26:BB37)</f>
        <v>0</v>
      </c>
      <c r="BA38" s="278">
        <f>SUM(BA26:BA37)</f>
        <v>0</v>
      </c>
      <c r="BB38" s="278">
        <f>SUM(BB26:BB37)</f>
        <v>0</v>
      </c>
      <c r="BC38" s="278">
        <f>SUM(BC26:BC37)</f>
        <v>712397.8204999999</v>
      </c>
      <c r="BD38" s="278">
        <f>SUM(BD26:BD37)</f>
        <v>87447.272</v>
      </c>
      <c r="BE38" s="278">
        <f>SUM(BE26:BE37)</f>
        <v>799845.0925</v>
      </c>
      <c r="BF38" s="278">
        <f>SUM(BF26:BF37)</f>
        <v>-36647.75249999995</v>
      </c>
      <c r="BG38" s="278">
        <f>SUM(BG26:BG37)</f>
        <v>9377.429999999978</v>
      </c>
    </row>
    <row r="39" spans="1:59" s="16" customFormat="1" ht="13.5" thickBot="1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1"/>
      <c r="BF39" s="280"/>
      <c r="BG39" s="282"/>
    </row>
    <row r="40" spans="1:59" s="16" customFormat="1" ht="13.5" thickBot="1">
      <c r="A40" s="18" t="s">
        <v>52</v>
      </c>
      <c r="B40" s="280"/>
      <c r="C40" s="283">
        <f aca="true" t="shared" si="41" ref="C40:BD40">C38+C24</f>
        <v>2347227.4302</v>
      </c>
      <c r="D40" s="283">
        <f t="shared" si="41"/>
        <v>391258.74630205</v>
      </c>
      <c r="E40" s="283">
        <f t="shared" si="41"/>
        <v>104558.89</v>
      </c>
      <c r="F40" s="283">
        <f t="shared" si="41"/>
        <v>21671.85</v>
      </c>
      <c r="G40" s="283">
        <f t="shared" si="41"/>
        <v>809326.92</v>
      </c>
      <c r="H40" s="283">
        <f t="shared" si="41"/>
        <v>2795.6000000000004</v>
      </c>
      <c r="I40" s="283">
        <f t="shared" si="41"/>
        <v>141545.09999999998</v>
      </c>
      <c r="J40" s="283">
        <f t="shared" si="41"/>
        <v>29341.61</v>
      </c>
      <c r="K40" s="283">
        <f t="shared" si="41"/>
        <v>235575.08000000002</v>
      </c>
      <c r="L40" s="283">
        <f t="shared" si="41"/>
        <v>48846.17</v>
      </c>
      <c r="M40" s="283">
        <f t="shared" si="41"/>
        <v>582770.0700000001</v>
      </c>
      <c r="N40" s="283">
        <f t="shared" si="41"/>
        <v>71431.47</v>
      </c>
      <c r="O40" s="283">
        <f t="shared" si="41"/>
        <v>168465.12</v>
      </c>
      <c r="P40" s="283">
        <f t="shared" si="41"/>
        <v>17633.250000000004</v>
      </c>
      <c r="Q40" s="283">
        <f t="shared" si="41"/>
        <v>0</v>
      </c>
      <c r="R40" s="283">
        <f t="shared" si="41"/>
        <v>0</v>
      </c>
      <c r="S40" s="283">
        <f t="shared" si="41"/>
        <v>2400</v>
      </c>
      <c r="T40" s="283">
        <f t="shared" si="41"/>
        <v>0</v>
      </c>
      <c r="U40" s="283">
        <f t="shared" si="41"/>
        <v>2044641.18</v>
      </c>
      <c r="V40" s="283">
        <f t="shared" si="41"/>
        <v>191702.55000000002</v>
      </c>
      <c r="W40" s="283">
        <f t="shared" si="41"/>
        <v>106630.18000000001</v>
      </c>
      <c r="X40" s="283">
        <f t="shared" si="41"/>
        <v>759641.31</v>
      </c>
      <c r="Y40" s="283">
        <f t="shared" si="41"/>
        <v>143370.93000000002</v>
      </c>
      <c r="Z40" s="283">
        <f t="shared" si="41"/>
        <v>234901.26</v>
      </c>
      <c r="AA40" s="283">
        <f t="shared" si="41"/>
        <v>573829.3200000001</v>
      </c>
      <c r="AB40" s="283">
        <f t="shared" si="41"/>
        <v>166599.17</v>
      </c>
      <c r="AC40" s="283">
        <f t="shared" si="41"/>
        <v>0</v>
      </c>
      <c r="AD40" s="283">
        <f t="shared" si="41"/>
        <v>0</v>
      </c>
      <c r="AE40" s="283">
        <f t="shared" si="41"/>
        <v>2366.1099999999997</v>
      </c>
      <c r="AF40" s="283">
        <f t="shared" si="41"/>
        <v>1987338.2799999998</v>
      </c>
      <c r="AG40" s="283">
        <f t="shared" si="41"/>
        <v>2570299.5763020497</v>
      </c>
      <c r="AH40" s="283">
        <f t="shared" si="41"/>
        <v>0</v>
      </c>
      <c r="AI40" s="283">
        <f t="shared" si="41"/>
        <v>0</v>
      </c>
      <c r="AJ40" s="283" t="e">
        <f t="shared" si="41"/>
        <v>#REF!</v>
      </c>
      <c r="AK40" s="283">
        <f t="shared" si="41"/>
        <v>171718.29119999998</v>
      </c>
      <c r="AL40" s="283">
        <f t="shared" si="41"/>
        <v>53587.06828399999</v>
      </c>
      <c r="AM40" s="283">
        <f t="shared" si="41"/>
        <v>266629.037729226</v>
      </c>
      <c r="AN40" s="283">
        <f t="shared" si="41"/>
        <v>26606.512799999997</v>
      </c>
      <c r="AO40" s="283">
        <f t="shared" si="41"/>
        <v>395507.0076950228</v>
      </c>
      <c r="AP40" s="283">
        <f t="shared" si="41"/>
        <v>442736.275181957</v>
      </c>
      <c r="AQ40" s="283">
        <f t="shared" si="41"/>
        <v>95023.25999999998</v>
      </c>
      <c r="AR40" s="283">
        <f t="shared" si="41"/>
        <v>95023.25999999998</v>
      </c>
      <c r="AS40" s="283">
        <f t="shared" si="41"/>
        <v>72851.166</v>
      </c>
      <c r="AT40" s="283">
        <f t="shared" si="41"/>
        <v>19742.399999999998</v>
      </c>
      <c r="AU40" s="283">
        <f t="shared" si="41"/>
        <v>359736.41000000003</v>
      </c>
      <c r="AV40" s="283">
        <f t="shared" si="41"/>
        <v>5328.63</v>
      </c>
      <c r="AW40" s="283">
        <f t="shared" si="41"/>
        <v>322599.7566</v>
      </c>
      <c r="AX40" s="283">
        <f t="shared" si="41"/>
        <v>224223.1723</v>
      </c>
      <c r="AY40" s="283">
        <f t="shared" si="41"/>
        <v>64504.442</v>
      </c>
      <c r="AZ40" s="283">
        <f t="shared" si="41"/>
        <v>0</v>
      </c>
      <c r="BA40" s="283">
        <f t="shared" si="41"/>
        <v>0</v>
      </c>
      <c r="BB40" s="283">
        <f t="shared" si="41"/>
        <v>0</v>
      </c>
      <c r="BC40" s="283">
        <f t="shared" si="41"/>
        <v>2615816.6897902056</v>
      </c>
      <c r="BD40" s="283">
        <f t="shared" si="41"/>
        <v>242907.61018420797</v>
      </c>
      <c r="BE40" s="284">
        <f>BE38+BE24-20791.12</f>
        <v>2817142.0599744134</v>
      </c>
      <c r="BF40" s="283">
        <f>BF38+BF24</f>
        <v>127501.35164763636</v>
      </c>
      <c r="BG40" s="285">
        <f>BG38+BG24</f>
        <v>-57302.90000000005</v>
      </c>
    </row>
    <row r="43" spans="49:50" ht="12.75">
      <c r="AW43" s="215">
        <v>99000</v>
      </c>
      <c r="AX43" s="304" t="s">
        <v>131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Q5:R6"/>
    <mergeCell ref="S5:T6"/>
    <mergeCell ref="U5:U6"/>
    <mergeCell ref="S3:T4"/>
    <mergeCell ref="U3:V4"/>
    <mergeCell ref="W3:AI4"/>
    <mergeCell ref="V5:V6"/>
    <mergeCell ref="W5:W6"/>
    <mergeCell ref="X5:X6"/>
    <mergeCell ref="Y5:Y6"/>
    <mergeCell ref="E5:F6"/>
    <mergeCell ref="G5:H6"/>
    <mergeCell ref="I5:J6"/>
    <mergeCell ref="K5:L6"/>
    <mergeCell ref="M5:N6"/>
    <mergeCell ref="O5:P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  <mergeCell ref="BG3:BG6"/>
    <mergeCell ref="BF3:B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2" ySplit="7" topLeftCell="AW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1" sqref="D21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1.375" style="215" customWidth="1"/>
    <col min="4" max="4" width="10.375" style="215" customWidth="1"/>
    <col min="5" max="5" width="10.125" style="215" bestFit="1" customWidth="1"/>
    <col min="6" max="6" width="9.125" style="215" customWidth="1"/>
    <col min="7" max="7" width="10.25390625" style="215" customWidth="1"/>
    <col min="8" max="8" width="9.125" style="215" customWidth="1"/>
    <col min="9" max="9" width="9.875" style="215" customWidth="1"/>
    <col min="10" max="10" width="9.125" style="215" customWidth="1"/>
    <col min="11" max="11" width="10.375" style="215" customWidth="1"/>
    <col min="12" max="12" width="9.125" style="215" customWidth="1"/>
    <col min="13" max="13" width="10.125" style="215" bestFit="1" customWidth="1"/>
    <col min="14" max="14" width="9.125" style="215" customWidth="1"/>
    <col min="15" max="15" width="10.125" style="215" bestFit="1" customWidth="1"/>
    <col min="16" max="18" width="9.125" style="215" customWidth="1"/>
    <col min="19" max="19" width="10.125" style="215" bestFit="1" customWidth="1"/>
    <col min="20" max="20" width="10.125" style="215" customWidth="1"/>
    <col min="21" max="21" width="11.75390625" style="215" bestFit="1" customWidth="1"/>
    <col min="22" max="22" width="10.25390625" style="215" customWidth="1"/>
    <col min="23" max="23" width="10.625" style="215" customWidth="1"/>
    <col min="24" max="24" width="10.125" style="215" customWidth="1"/>
    <col min="25" max="28" width="10.125" style="215" bestFit="1" customWidth="1"/>
    <col min="29" max="30" width="11.375" style="215" customWidth="1"/>
    <col min="31" max="31" width="9.25390625" style="215" bestFit="1" customWidth="1"/>
    <col min="32" max="32" width="11.75390625" style="215" bestFit="1" customWidth="1"/>
    <col min="33" max="33" width="10.25390625" style="215" customWidth="1"/>
    <col min="34" max="34" width="9.25390625" style="215" bestFit="1" customWidth="1"/>
    <col min="35" max="35" width="8.875" style="215" customWidth="1"/>
    <col min="36" max="36" width="12.625" style="215" customWidth="1"/>
    <col min="37" max="38" width="9.25390625" style="215" bestFit="1" customWidth="1"/>
    <col min="39" max="39" width="10.125" style="215" bestFit="1" customWidth="1"/>
    <col min="40" max="40" width="9.25390625" style="215" bestFit="1" customWidth="1"/>
    <col min="41" max="42" width="10.125" style="215" bestFit="1" customWidth="1"/>
    <col min="43" max="44" width="9.25390625" style="215" customWidth="1"/>
    <col min="45" max="45" width="10.125" style="215" bestFit="1" customWidth="1"/>
    <col min="46" max="46" width="11.625" style="215" customWidth="1"/>
    <col min="47" max="47" width="10.875" style="215" customWidth="1"/>
    <col min="48" max="48" width="10.625" style="215" customWidth="1"/>
    <col min="49" max="49" width="10.25390625" style="215" customWidth="1"/>
    <col min="50" max="50" width="10.625" style="215" customWidth="1"/>
    <col min="51" max="51" width="9.25390625" style="215" bestFit="1" customWidth="1"/>
    <col min="52" max="53" width="10.125" style="215" bestFit="1" customWidth="1"/>
    <col min="54" max="54" width="11.625" style="215" customWidth="1"/>
    <col min="55" max="55" width="11.75390625" style="215" customWidth="1"/>
    <col min="56" max="56" width="11.375" style="215" customWidth="1"/>
    <col min="57" max="57" width="14.00390625" style="215" customWidth="1"/>
    <col min="58" max="58" width="11.00390625" style="215" customWidth="1"/>
    <col min="59" max="59" width="10.625" style="215" customWidth="1"/>
    <col min="60" max="16384" width="9.125" style="215" customWidth="1"/>
  </cols>
  <sheetData>
    <row r="1" spans="1:18" ht="21" customHeight="1">
      <c r="A1" s="383" t="s">
        <v>129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214"/>
      <c r="P1" s="214"/>
      <c r="Q1" s="214"/>
      <c r="R1" s="214"/>
    </row>
    <row r="2" spans="1:18" ht="13.5" thickBot="1">
      <c r="A2" s="214"/>
      <c r="B2" s="216"/>
      <c r="C2" s="217"/>
      <c r="D2" s="217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59" ht="29.25" customHeight="1" thickBot="1">
      <c r="A3" s="356" t="s">
        <v>96</v>
      </c>
      <c r="B3" s="385" t="s">
        <v>0</v>
      </c>
      <c r="C3" s="387" t="s">
        <v>1</v>
      </c>
      <c r="D3" s="389" t="s">
        <v>2</v>
      </c>
      <c r="E3" s="356" t="s">
        <v>97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57"/>
      <c r="S3" s="356"/>
      <c r="T3" s="360"/>
      <c r="U3" s="356" t="s">
        <v>3</v>
      </c>
      <c r="V3" s="360"/>
      <c r="W3" s="362" t="s">
        <v>4</v>
      </c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457"/>
      <c r="AJ3" s="459" t="s">
        <v>73</v>
      </c>
      <c r="AK3" s="376" t="s">
        <v>8</v>
      </c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3"/>
      <c r="BF3" s="464" t="s">
        <v>9</v>
      </c>
      <c r="BG3" s="470" t="s">
        <v>10</v>
      </c>
    </row>
    <row r="4" spans="1:59" ht="51.75" customHeight="1" hidden="1" thickBot="1">
      <c r="A4" s="384"/>
      <c r="B4" s="386"/>
      <c r="C4" s="388"/>
      <c r="D4" s="390"/>
      <c r="E4" s="384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9"/>
      <c r="S4" s="358"/>
      <c r="T4" s="361"/>
      <c r="U4" s="358"/>
      <c r="V4" s="361"/>
      <c r="W4" s="364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458"/>
      <c r="AJ4" s="460"/>
      <c r="AK4" s="377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9"/>
      <c r="BF4" s="465"/>
      <c r="BG4" s="471"/>
    </row>
    <row r="5" spans="1:59" ht="19.5" customHeight="1">
      <c r="A5" s="384"/>
      <c r="B5" s="386"/>
      <c r="C5" s="388"/>
      <c r="D5" s="390"/>
      <c r="E5" s="473" t="s">
        <v>11</v>
      </c>
      <c r="F5" s="474"/>
      <c r="G5" s="473" t="s">
        <v>98</v>
      </c>
      <c r="H5" s="474"/>
      <c r="I5" s="473" t="s">
        <v>12</v>
      </c>
      <c r="J5" s="474"/>
      <c r="K5" s="473" t="s">
        <v>14</v>
      </c>
      <c r="L5" s="474"/>
      <c r="M5" s="473" t="s">
        <v>13</v>
      </c>
      <c r="N5" s="474"/>
      <c r="O5" s="477" t="s">
        <v>15</v>
      </c>
      <c r="P5" s="477"/>
      <c r="Q5" s="473" t="s">
        <v>99</v>
      </c>
      <c r="R5" s="474"/>
      <c r="S5" s="477" t="s">
        <v>100</v>
      </c>
      <c r="T5" s="474"/>
      <c r="U5" s="345" t="s">
        <v>18</v>
      </c>
      <c r="V5" s="369" t="s">
        <v>19</v>
      </c>
      <c r="W5" s="468" t="s">
        <v>20</v>
      </c>
      <c r="X5" s="468" t="s">
        <v>101</v>
      </c>
      <c r="Y5" s="468" t="s">
        <v>21</v>
      </c>
      <c r="Z5" s="468" t="s">
        <v>23</v>
      </c>
      <c r="AA5" s="468" t="s">
        <v>22</v>
      </c>
      <c r="AB5" s="468" t="s">
        <v>24</v>
      </c>
      <c r="AC5" s="468" t="s">
        <v>25</v>
      </c>
      <c r="AD5" s="481" t="s">
        <v>26</v>
      </c>
      <c r="AE5" s="481" t="s">
        <v>102</v>
      </c>
      <c r="AF5" s="483" t="s">
        <v>27</v>
      </c>
      <c r="AG5" s="485" t="s">
        <v>77</v>
      </c>
      <c r="AH5" s="487" t="s">
        <v>6</v>
      </c>
      <c r="AI5" s="489" t="s">
        <v>7</v>
      </c>
      <c r="AJ5" s="460"/>
      <c r="AK5" s="491" t="s">
        <v>103</v>
      </c>
      <c r="AL5" s="492" t="s">
        <v>104</v>
      </c>
      <c r="AM5" s="492" t="s">
        <v>105</v>
      </c>
      <c r="AN5" s="399" t="s">
        <v>106</v>
      </c>
      <c r="AO5" s="492" t="s">
        <v>107</v>
      </c>
      <c r="AP5" s="399" t="s">
        <v>108</v>
      </c>
      <c r="AQ5" s="399" t="s">
        <v>109</v>
      </c>
      <c r="AR5" s="399" t="s">
        <v>110</v>
      </c>
      <c r="AS5" s="399" t="s">
        <v>111</v>
      </c>
      <c r="AT5" s="399" t="s">
        <v>34</v>
      </c>
      <c r="AU5" s="493" t="s">
        <v>112</v>
      </c>
      <c r="AV5" s="354" t="s">
        <v>113</v>
      </c>
      <c r="AW5" s="493" t="s">
        <v>114</v>
      </c>
      <c r="AX5" s="494" t="s">
        <v>115</v>
      </c>
      <c r="AY5" s="218"/>
      <c r="AZ5" s="403" t="s">
        <v>17</v>
      </c>
      <c r="BA5" s="399" t="s">
        <v>36</v>
      </c>
      <c r="BB5" s="399" t="s">
        <v>31</v>
      </c>
      <c r="BC5" s="496" t="s">
        <v>37</v>
      </c>
      <c r="BD5" s="396" t="s">
        <v>79</v>
      </c>
      <c r="BE5" s="399" t="s">
        <v>80</v>
      </c>
      <c r="BF5" s="465"/>
      <c r="BG5" s="471"/>
    </row>
    <row r="6" spans="1:59" ht="56.25" customHeight="1" thickBot="1">
      <c r="A6" s="384"/>
      <c r="B6" s="386"/>
      <c r="C6" s="388"/>
      <c r="D6" s="390"/>
      <c r="E6" s="475"/>
      <c r="F6" s="476"/>
      <c r="G6" s="475"/>
      <c r="H6" s="476"/>
      <c r="I6" s="475"/>
      <c r="J6" s="476"/>
      <c r="K6" s="475"/>
      <c r="L6" s="476"/>
      <c r="M6" s="475"/>
      <c r="N6" s="476"/>
      <c r="O6" s="478"/>
      <c r="P6" s="478"/>
      <c r="Q6" s="475"/>
      <c r="R6" s="476"/>
      <c r="S6" s="479"/>
      <c r="T6" s="476"/>
      <c r="U6" s="480"/>
      <c r="V6" s="467"/>
      <c r="W6" s="469"/>
      <c r="X6" s="469"/>
      <c r="Y6" s="469"/>
      <c r="Z6" s="469"/>
      <c r="AA6" s="469"/>
      <c r="AB6" s="469"/>
      <c r="AC6" s="469"/>
      <c r="AD6" s="482"/>
      <c r="AE6" s="482"/>
      <c r="AF6" s="484"/>
      <c r="AG6" s="486"/>
      <c r="AH6" s="488"/>
      <c r="AI6" s="490"/>
      <c r="AJ6" s="461"/>
      <c r="AK6" s="372"/>
      <c r="AL6" s="411"/>
      <c r="AM6" s="411"/>
      <c r="AN6" s="350"/>
      <c r="AO6" s="411"/>
      <c r="AP6" s="350"/>
      <c r="AQ6" s="350"/>
      <c r="AR6" s="350"/>
      <c r="AS6" s="350"/>
      <c r="AT6" s="350"/>
      <c r="AU6" s="344"/>
      <c r="AV6" s="355"/>
      <c r="AW6" s="344"/>
      <c r="AX6" s="495"/>
      <c r="AY6" s="80" t="s">
        <v>116</v>
      </c>
      <c r="AZ6" s="404"/>
      <c r="BA6" s="350"/>
      <c r="BB6" s="350"/>
      <c r="BC6" s="497"/>
      <c r="BD6" s="398"/>
      <c r="BE6" s="350"/>
      <c r="BF6" s="466"/>
      <c r="BG6" s="472"/>
    </row>
    <row r="7" spans="1:59" ht="19.5" customHeight="1" thickBot="1">
      <c r="A7" s="219">
        <v>1</v>
      </c>
      <c r="B7" s="75">
        <v>2</v>
      </c>
      <c r="C7" s="75">
        <v>3</v>
      </c>
      <c r="D7" s="219">
        <v>4</v>
      </c>
      <c r="E7" s="75">
        <v>5</v>
      </c>
      <c r="F7" s="75">
        <v>6</v>
      </c>
      <c r="G7" s="219">
        <v>7</v>
      </c>
      <c r="H7" s="75">
        <v>8</v>
      </c>
      <c r="I7" s="75">
        <v>9</v>
      </c>
      <c r="J7" s="219">
        <v>10</v>
      </c>
      <c r="K7" s="75">
        <v>11</v>
      </c>
      <c r="L7" s="75">
        <v>12</v>
      </c>
      <c r="M7" s="219">
        <v>13</v>
      </c>
      <c r="N7" s="75">
        <v>14</v>
      </c>
      <c r="O7" s="75">
        <v>15</v>
      </c>
      <c r="P7" s="219">
        <v>16</v>
      </c>
      <c r="Q7" s="75">
        <v>17</v>
      </c>
      <c r="R7" s="75">
        <v>18</v>
      </c>
      <c r="S7" s="219">
        <v>19</v>
      </c>
      <c r="T7" s="75">
        <v>20</v>
      </c>
      <c r="U7" s="75">
        <v>21</v>
      </c>
      <c r="V7" s="219">
        <v>22</v>
      </c>
      <c r="W7" s="75">
        <v>23</v>
      </c>
      <c r="X7" s="219">
        <v>24</v>
      </c>
      <c r="Y7" s="75">
        <v>25</v>
      </c>
      <c r="Z7" s="219">
        <v>26</v>
      </c>
      <c r="AA7" s="75">
        <v>27</v>
      </c>
      <c r="AB7" s="219">
        <v>28</v>
      </c>
      <c r="AC7" s="75">
        <v>29</v>
      </c>
      <c r="AD7" s="219">
        <v>30</v>
      </c>
      <c r="AE7" s="219">
        <v>31</v>
      </c>
      <c r="AF7" s="75">
        <v>32</v>
      </c>
      <c r="AG7" s="219">
        <v>33</v>
      </c>
      <c r="AH7" s="75">
        <v>34</v>
      </c>
      <c r="AI7" s="219">
        <v>35</v>
      </c>
      <c r="AJ7" s="75">
        <v>36</v>
      </c>
      <c r="AK7" s="219">
        <v>37</v>
      </c>
      <c r="AL7" s="75">
        <v>38</v>
      </c>
      <c r="AM7" s="219">
        <v>39</v>
      </c>
      <c r="AN7" s="219">
        <v>40</v>
      </c>
      <c r="AO7" s="75">
        <v>41</v>
      </c>
      <c r="AP7" s="219">
        <v>42</v>
      </c>
      <c r="AQ7" s="75">
        <v>43</v>
      </c>
      <c r="AR7" s="219"/>
      <c r="AS7" s="219">
        <v>44</v>
      </c>
      <c r="AT7" s="75">
        <v>45</v>
      </c>
      <c r="AU7" s="219">
        <v>46</v>
      </c>
      <c r="AV7" s="75">
        <v>47</v>
      </c>
      <c r="AW7" s="219">
        <v>48</v>
      </c>
      <c r="AX7" s="219">
        <v>49</v>
      </c>
      <c r="AY7" s="75"/>
      <c r="AZ7" s="75">
        <v>50</v>
      </c>
      <c r="BA7" s="75">
        <v>51</v>
      </c>
      <c r="BB7" s="75">
        <v>52</v>
      </c>
      <c r="BC7" s="75">
        <v>53</v>
      </c>
      <c r="BD7" s="75">
        <v>54</v>
      </c>
      <c r="BE7" s="75"/>
      <c r="BF7" s="75">
        <v>55</v>
      </c>
      <c r="BG7" s="75">
        <v>56</v>
      </c>
    </row>
    <row r="8" spans="1:59" s="16" customFormat="1" ht="14.25" customHeight="1" thickBot="1">
      <c r="A8" s="18" t="s">
        <v>52</v>
      </c>
      <c r="B8" s="220"/>
      <c r="C8" s="220">
        <f>Лист1!C44</f>
        <v>1233559.719</v>
      </c>
      <c r="D8" s="220">
        <f>Лист1!D44</f>
        <v>284080.13430205</v>
      </c>
      <c r="E8" s="220">
        <f>Лист1!E44</f>
        <v>104564.81999999999</v>
      </c>
      <c r="F8" s="220">
        <f>Лист1!F44</f>
        <v>21671.85</v>
      </c>
      <c r="G8" s="220">
        <f>0</f>
        <v>0</v>
      </c>
      <c r="H8" s="220">
        <f>0</f>
        <v>0</v>
      </c>
      <c r="I8" s="220">
        <f>Лист1!G44</f>
        <v>141553.12999999998</v>
      </c>
      <c r="J8" s="220">
        <f>Лист1!H44</f>
        <v>29341.61</v>
      </c>
      <c r="K8" s="220">
        <f>Лист1!K44</f>
        <v>235588.45</v>
      </c>
      <c r="L8" s="220">
        <f>Лист1!L44</f>
        <v>48846.17</v>
      </c>
      <c r="M8" s="220">
        <f>Лист1!I44</f>
        <v>340178.79000000004</v>
      </c>
      <c r="N8" s="220">
        <f>Лист1!J44</f>
        <v>70578.06</v>
      </c>
      <c r="O8" s="220">
        <f>Лист1!M44</f>
        <v>83651.77</v>
      </c>
      <c r="P8" s="220">
        <f>Лист1!N44</f>
        <v>17337.440000000002</v>
      </c>
      <c r="Q8" s="220">
        <f>'[8]Лист1'!O44</f>
        <v>0</v>
      </c>
      <c r="R8" s="220">
        <f>'[8]Лист1'!P44</f>
        <v>0</v>
      </c>
      <c r="S8" s="220">
        <f>'[8]Лист1'!Q44</f>
        <v>0</v>
      </c>
      <c r="T8" s="220">
        <f>'[8]Лист1'!R44</f>
        <v>0</v>
      </c>
      <c r="U8" s="220">
        <f>Лист1!S44</f>
        <v>905536.96</v>
      </c>
      <c r="V8" s="220">
        <f>Лист1!T44</f>
        <v>187775.13</v>
      </c>
      <c r="W8" s="220">
        <f>Лист1!U44</f>
        <v>98973.62000000001</v>
      </c>
      <c r="X8" s="220">
        <v>0</v>
      </c>
      <c r="Y8" s="220">
        <f>Лист1!V44</f>
        <v>133902.03000000003</v>
      </c>
      <c r="Z8" s="220">
        <f>Лист1!X44</f>
        <v>222887.07</v>
      </c>
      <c r="AA8" s="220">
        <f>Лист1!W44</f>
        <v>324230.66000000003</v>
      </c>
      <c r="AB8" s="220">
        <f>Лист1!Y44</f>
        <v>79148.2</v>
      </c>
      <c r="AC8" s="220">
        <f>'[9]Лист1'!Z42</f>
        <v>0</v>
      </c>
      <c r="AD8" s="220">
        <f>'[9]Лист1'!AA42</f>
        <v>0</v>
      </c>
      <c r="AE8" s="220">
        <f>0</f>
        <v>0</v>
      </c>
      <c r="AF8" s="220">
        <f>Лист1!AB44</f>
        <v>859141.5800000001</v>
      </c>
      <c r="AG8" s="220">
        <f>Лист1!AC44</f>
        <v>1330996.8443020498</v>
      </c>
      <c r="AH8" s="220">
        <f>'[9]Лист1'!AD42</f>
        <v>0</v>
      </c>
      <c r="AI8" s="220">
        <f>'[9]Лист1'!AE42</f>
        <v>0</v>
      </c>
      <c r="AJ8" s="220" t="e">
        <f>Лист1!AF44-#REF!</f>
        <v>#REF!</v>
      </c>
      <c r="AK8" s="220">
        <f>Лист1!AG44</f>
        <v>84297.29999999999</v>
      </c>
      <c r="AL8" s="220">
        <f>Лист1!AH44</f>
        <v>28247.532284</v>
      </c>
      <c r="AM8" s="220">
        <f>Лист1!AI44+Лист1!AJ44</f>
        <v>139931.35772922597</v>
      </c>
      <c r="AN8" s="220">
        <v>0</v>
      </c>
      <c r="AO8" s="220">
        <f>Лист1!AK44+Лист1!AL44</f>
        <v>139577.6940950228</v>
      </c>
      <c r="AP8" s="220">
        <f>Лист1!AM44+Лист1!AN44</f>
        <v>312237.664781957</v>
      </c>
      <c r="AQ8" s="220">
        <v>0</v>
      </c>
      <c r="AR8" s="220">
        <v>0</v>
      </c>
      <c r="AS8" s="220">
        <v>0</v>
      </c>
      <c r="AT8" s="220">
        <f>Лист1!AO44</f>
        <v>7403.4</v>
      </c>
      <c r="AU8" s="220">
        <f>Лист1!AS44</f>
        <v>216946.41</v>
      </c>
      <c r="AV8" s="220">
        <v>0</v>
      </c>
      <c r="AW8" s="220">
        <f>Лист1!AT44+Лист1!AU44</f>
        <v>217749.28660000002</v>
      </c>
      <c r="AX8" s="220">
        <f>Лист1!AQ44+Лист1!AR44</f>
        <v>111527.95659999999</v>
      </c>
      <c r="AY8" s="221">
        <f>Лист1!AX44</f>
        <v>64504.442</v>
      </c>
      <c r="AZ8" s="221">
        <f>'[8]Лист1'!AY44</f>
        <v>0</v>
      </c>
      <c r="BA8" s="221">
        <v>0</v>
      </c>
      <c r="BB8" s="221">
        <v>0</v>
      </c>
      <c r="BC8" s="221">
        <f>Лист1!BB44</f>
        <v>1322423.0440902058</v>
      </c>
      <c r="BD8" s="220">
        <f>Лист1!BC44</f>
        <v>69713.06618420797</v>
      </c>
      <c r="BE8" s="222">
        <f>Лист1!BD44</f>
        <v>1392136.1102744138</v>
      </c>
      <c r="BF8" s="223">
        <f>Лист1!BE44</f>
        <v>72396.03334763623</v>
      </c>
      <c r="BG8" s="224">
        <f>Лист1!BF44</f>
        <v>-46395.38000000002</v>
      </c>
    </row>
    <row r="9" spans="1:59" ht="12.75">
      <c r="A9" s="5" t="s">
        <v>117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6"/>
      <c r="BF9" s="223"/>
      <c r="BG9" s="224"/>
    </row>
    <row r="10" spans="1:59" ht="12.75">
      <c r="A10" s="227" t="s">
        <v>43</v>
      </c>
      <c r="B10" s="191">
        <v>5282.42</v>
      </c>
      <c r="C10" s="140">
        <f aca="true" t="shared" si="0" ref="C10:C21">B10*8.55</f>
        <v>45164.691000000006</v>
      </c>
      <c r="D10" s="89">
        <v>438.294</v>
      </c>
      <c r="E10" s="192">
        <v>0</v>
      </c>
      <c r="F10" s="193">
        <v>0</v>
      </c>
      <c r="G10" s="192">
        <v>28058.45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13372.93</v>
      </c>
      <c r="N10" s="192">
        <v>50.2</v>
      </c>
      <c r="O10" s="192">
        <v>4639.02</v>
      </c>
      <c r="P10" s="193">
        <v>17.4</v>
      </c>
      <c r="Q10" s="228">
        <v>0</v>
      </c>
      <c r="R10" s="229">
        <v>0</v>
      </c>
      <c r="S10" s="230">
        <v>0</v>
      </c>
      <c r="T10" s="229">
        <v>0</v>
      </c>
      <c r="U10" s="231">
        <f aca="true" t="shared" si="1" ref="U10:V21">E10+G10+I10+K10+M10+O10+Q10+S10</f>
        <v>46070.40000000001</v>
      </c>
      <c r="V10" s="232">
        <f t="shared" si="1"/>
        <v>67.6</v>
      </c>
      <c r="W10" s="194">
        <v>3678.56</v>
      </c>
      <c r="X10" s="194"/>
      <c r="Y10" s="194">
        <v>4987.24</v>
      </c>
      <c r="Z10" s="194">
        <v>8302.6</v>
      </c>
      <c r="AA10" s="194">
        <v>11984.58</v>
      </c>
      <c r="AB10" s="194">
        <v>2946.96</v>
      </c>
      <c r="AC10" s="196">
        <v>0</v>
      </c>
      <c r="AD10" s="196">
        <v>0</v>
      </c>
      <c r="AE10" s="233">
        <v>0</v>
      </c>
      <c r="AF10" s="233">
        <f>SUM(W10:AE10)</f>
        <v>31899.940000000002</v>
      </c>
      <c r="AG10" s="234">
        <f>AF10+V10+D10</f>
        <v>32405.834000000003</v>
      </c>
      <c r="AH10" s="235">
        <f aca="true" t="shared" si="2" ref="AH10:AI21">AC10</f>
        <v>0</v>
      </c>
      <c r="AI10" s="235">
        <f t="shared" si="2"/>
        <v>0</v>
      </c>
      <c r="AJ10" s="309">
        <f>'[10]Т01'!$I$55+'[10]Т01'!$I$71+'[10]Т01'!$I$91+'[10]Т01'!$I$118+'[10]Т01'!$I$190</f>
        <v>10353.635999999999</v>
      </c>
      <c r="AK10" s="199">
        <f aca="true" t="shared" si="3" ref="AK10:AK21">0.67*B10</f>
        <v>3539.2214000000004</v>
      </c>
      <c r="AL10" s="199">
        <f aca="true" t="shared" si="4" ref="AL10:AL21">B10*0.2</f>
        <v>1056.4840000000002</v>
      </c>
      <c r="AM10" s="199">
        <f aca="true" t="shared" si="5" ref="AM10:AM21">B10*1</f>
        <v>5282.42</v>
      </c>
      <c r="AN10" s="199">
        <f aca="true" t="shared" si="6" ref="AN10:AN21">B10*0.21</f>
        <v>1109.3082</v>
      </c>
      <c r="AO10" s="199">
        <f aca="true" t="shared" si="7" ref="AO10:AO21">2.02*B10</f>
        <v>10670.4884</v>
      </c>
      <c r="AP10" s="199">
        <f aca="true" t="shared" si="8" ref="AP10:AP21">B10*1.03</f>
        <v>5440.8926</v>
      </c>
      <c r="AQ10" s="199">
        <f aca="true" t="shared" si="9" ref="AQ10:AQ21">B10*0.75</f>
        <v>3961.815</v>
      </c>
      <c r="AR10" s="199">
        <f aca="true" t="shared" si="10" ref="AR10:AR21">B10*0.75</f>
        <v>3961.815</v>
      </c>
      <c r="AS10" s="199">
        <f>B10*1.15</f>
        <v>6074.782999999999</v>
      </c>
      <c r="AT10" s="199"/>
      <c r="AU10" s="201">
        <v>3700</v>
      </c>
      <c r="AV10" s="310"/>
      <c r="AW10" s="201">
        <v>201</v>
      </c>
      <c r="AX10" s="201">
        <f>19.4+24893.86</f>
        <v>24913.260000000002</v>
      </c>
      <c r="AY10" s="201"/>
      <c r="AZ10" s="311"/>
      <c r="BA10" s="141"/>
      <c r="BB10" s="204">
        <f>BA10*0.18</f>
        <v>0</v>
      </c>
      <c r="BC10" s="204">
        <f aca="true" t="shared" si="11" ref="BC10:BC20">SUM(AK10:BB10)</f>
        <v>69911.4876</v>
      </c>
      <c r="BD10" s="316">
        <f>'[10]Т01'!$R$55+'[10]Т01'!$R$71+'[10]Т01'!$R$91+'[10]Т01'!$R$118+'[10]Т01'!$R$190</f>
        <v>7370.562</v>
      </c>
      <c r="BE10" s="205">
        <f>BC10+BD10</f>
        <v>77282.0496</v>
      </c>
      <c r="BF10" s="205">
        <f>AG10+AJ10-BE10</f>
        <v>-34522.5796</v>
      </c>
      <c r="BG10" s="205">
        <f>AF10-U10</f>
        <v>-14170.460000000006</v>
      </c>
    </row>
    <row r="11" spans="1:59" ht="12.75">
      <c r="A11" s="227" t="s">
        <v>44</v>
      </c>
      <c r="B11" s="191">
        <v>5280.32</v>
      </c>
      <c r="C11" s="140">
        <f t="shared" si="0"/>
        <v>45146.736000000004</v>
      </c>
      <c r="D11" s="89">
        <v>438.294</v>
      </c>
      <c r="E11" s="192">
        <v>-1.42</v>
      </c>
      <c r="F11" s="193">
        <v>0</v>
      </c>
      <c r="G11" s="192">
        <v>27015.23</v>
      </c>
      <c r="H11" s="192">
        <v>0</v>
      </c>
      <c r="I11" s="192">
        <v>-1.93</v>
      </c>
      <c r="J11" s="192">
        <v>0</v>
      </c>
      <c r="K11" s="192">
        <v>-3.21</v>
      </c>
      <c r="L11" s="192">
        <v>0</v>
      </c>
      <c r="M11" s="192">
        <v>13368.84</v>
      </c>
      <c r="N11" s="192">
        <v>0</v>
      </c>
      <c r="O11" s="192">
        <v>4638.14</v>
      </c>
      <c r="P11" s="192">
        <v>0</v>
      </c>
      <c r="Q11" s="193">
        <v>0</v>
      </c>
      <c r="R11" s="193">
        <v>0</v>
      </c>
      <c r="S11" s="196">
        <v>0</v>
      </c>
      <c r="T11" s="194">
        <v>0</v>
      </c>
      <c r="U11" s="236">
        <f t="shared" si="1"/>
        <v>45015.65</v>
      </c>
      <c r="V11" s="232">
        <f t="shared" si="1"/>
        <v>0</v>
      </c>
      <c r="W11" s="194">
        <v>758.98</v>
      </c>
      <c r="X11" s="196">
        <v>21295.75</v>
      </c>
      <c r="Y11" s="194">
        <v>1071.99</v>
      </c>
      <c r="Z11" s="194">
        <v>1785.26</v>
      </c>
      <c r="AA11" s="194">
        <v>13082.67</v>
      </c>
      <c r="AB11" s="194">
        <v>4301.29</v>
      </c>
      <c r="AC11" s="196">
        <v>0</v>
      </c>
      <c r="AD11" s="196">
        <v>0</v>
      </c>
      <c r="AE11" s="196">
        <v>0</v>
      </c>
      <c r="AF11" s="233">
        <f>SUM(W11:AE11)</f>
        <v>42295.94</v>
      </c>
      <c r="AG11" s="234">
        <f>AF11+V11+D11</f>
        <v>42734.234000000004</v>
      </c>
      <c r="AH11" s="235">
        <f t="shared" si="2"/>
        <v>0</v>
      </c>
      <c r="AI11" s="235">
        <f t="shared" si="2"/>
        <v>0</v>
      </c>
      <c r="AJ11" s="309">
        <f>'[10]Т02'!$J$55+'[10]Т02'!$J$71+'[10]Т02'!$J$91+'[10]Т02'!$J$118+'[10]Т02'!$J$192</f>
        <v>9659.7</v>
      </c>
      <c r="AK11" s="199">
        <f t="shared" si="3"/>
        <v>3537.8144</v>
      </c>
      <c r="AL11" s="199">
        <f t="shared" si="4"/>
        <v>1056.064</v>
      </c>
      <c r="AM11" s="199">
        <f t="shared" si="5"/>
        <v>5280.32</v>
      </c>
      <c r="AN11" s="199">
        <f t="shared" si="6"/>
        <v>1108.8672</v>
      </c>
      <c r="AO11" s="199">
        <f t="shared" si="7"/>
        <v>10666.2464</v>
      </c>
      <c r="AP11" s="199">
        <f t="shared" si="8"/>
        <v>5438.7296</v>
      </c>
      <c r="AQ11" s="199">
        <f t="shared" si="9"/>
        <v>3960.24</v>
      </c>
      <c r="AR11" s="199">
        <f t="shared" si="10"/>
        <v>3960.24</v>
      </c>
      <c r="AS11" s="199">
        <f>B11*1.15</f>
        <v>6072.3679999999995</v>
      </c>
      <c r="AT11" s="199"/>
      <c r="AU11" s="201">
        <v>11302</v>
      </c>
      <c r="AV11" s="310"/>
      <c r="AW11" s="312"/>
      <c r="AX11" s="201">
        <f>33.84+990+160+110+118+95+333+256+15</f>
        <v>2110.84</v>
      </c>
      <c r="AY11" s="201"/>
      <c r="AZ11" s="311"/>
      <c r="BA11" s="141"/>
      <c r="BB11" s="204">
        <f>BA11*0.18</f>
        <v>0</v>
      </c>
      <c r="BC11" s="204">
        <f t="shared" si="11"/>
        <v>54493.729600000006</v>
      </c>
      <c r="BD11" s="316">
        <f>'[10]Т02'!$S$55+'[10]Т02'!$S$71+'[10]Т02'!$S$91+'[10]Т02'!$S$118+'[10]Т02'!$S$191</f>
        <v>6870.65</v>
      </c>
      <c r="BE11" s="205">
        <f aca="true" t="shared" si="12" ref="BE11:BE21">BC11+BD11</f>
        <v>61364.37960000001</v>
      </c>
      <c r="BF11" s="205">
        <f aca="true" t="shared" si="13" ref="BF11:BF21">AG11+AJ11-BE11</f>
        <v>-8970.4456</v>
      </c>
      <c r="BG11" s="205">
        <f aca="true" t="shared" si="14" ref="BG11:BG21">AF11-U11</f>
        <v>-2719.709999999999</v>
      </c>
    </row>
    <row r="12" spans="1:59" ht="12.75">
      <c r="A12" s="227" t="s">
        <v>45</v>
      </c>
      <c r="B12" s="191">
        <v>5279.32</v>
      </c>
      <c r="C12" s="140">
        <f t="shared" si="0"/>
        <v>45138.186</v>
      </c>
      <c r="D12" s="89">
        <v>438.294</v>
      </c>
      <c r="E12" s="192">
        <v>0</v>
      </c>
      <c r="F12" s="193">
        <v>0</v>
      </c>
      <c r="G12" s="192">
        <v>27547.76</v>
      </c>
      <c r="H12" s="192">
        <v>103.4</v>
      </c>
      <c r="I12" s="192">
        <v>0</v>
      </c>
      <c r="J12" s="192">
        <v>0</v>
      </c>
      <c r="K12" s="192">
        <v>0</v>
      </c>
      <c r="L12" s="192">
        <v>0</v>
      </c>
      <c r="M12" s="192">
        <v>13378.62</v>
      </c>
      <c r="N12" s="192">
        <v>50.2</v>
      </c>
      <c r="O12" s="192">
        <v>4941.13</v>
      </c>
      <c r="P12" s="192">
        <v>17.4</v>
      </c>
      <c r="Q12" s="192">
        <v>0</v>
      </c>
      <c r="R12" s="192">
        <v>0</v>
      </c>
      <c r="S12" s="192">
        <v>300</v>
      </c>
      <c r="T12" s="194">
        <v>0</v>
      </c>
      <c r="U12" s="194">
        <f t="shared" si="1"/>
        <v>46167.509999999995</v>
      </c>
      <c r="V12" s="195">
        <f t="shared" si="1"/>
        <v>171.00000000000003</v>
      </c>
      <c r="W12" s="212">
        <v>125.72</v>
      </c>
      <c r="X12" s="196">
        <v>27011.13</v>
      </c>
      <c r="Y12" s="194">
        <v>170.04</v>
      </c>
      <c r="Z12" s="194">
        <v>321.51</v>
      </c>
      <c r="AA12" s="194">
        <v>12621.26</v>
      </c>
      <c r="AB12" s="194">
        <v>4388.73</v>
      </c>
      <c r="AC12" s="196">
        <v>0</v>
      </c>
      <c r="AD12" s="196">
        <v>0</v>
      </c>
      <c r="AE12" s="194">
        <v>165.31</v>
      </c>
      <c r="AF12" s="237">
        <f>SUM(W12:AE12)</f>
        <v>44803.7</v>
      </c>
      <c r="AG12" s="234">
        <f>AF12+V12+D12</f>
        <v>45412.994</v>
      </c>
      <c r="AH12" s="235">
        <f t="shared" si="2"/>
        <v>0</v>
      </c>
      <c r="AI12" s="235">
        <f t="shared" si="2"/>
        <v>0</v>
      </c>
      <c r="AJ12" s="309">
        <f>'[10]Т03'!$J$55+'[10]Т03'!$J$71+'[10]Т03'!$J$91+'[10]Т03'!$J$118+'[10]Т03'!$J$192</f>
        <v>10006.668</v>
      </c>
      <c r="AK12" s="199">
        <f t="shared" si="3"/>
        <v>3537.1444</v>
      </c>
      <c r="AL12" s="199">
        <f t="shared" si="4"/>
        <v>1055.864</v>
      </c>
      <c r="AM12" s="199">
        <f t="shared" si="5"/>
        <v>5279.32</v>
      </c>
      <c r="AN12" s="199">
        <f t="shared" si="6"/>
        <v>1108.6571999999999</v>
      </c>
      <c r="AO12" s="199">
        <f t="shared" si="7"/>
        <v>10664.2264</v>
      </c>
      <c r="AP12" s="199">
        <f t="shared" si="8"/>
        <v>5437.6996</v>
      </c>
      <c r="AQ12" s="199">
        <f t="shared" si="9"/>
        <v>3959.49</v>
      </c>
      <c r="AR12" s="199">
        <f t="shared" si="10"/>
        <v>3959.49</v>
      </c>
      <c r="AS12" s="199">
        <f>B12*1.15</f>
        <v>6071.217999999999</v>
      </c>
      <c r="AT12" s="199"/>
      <c r="AU12" s="312">
        <v>5845</v>
      </c>
      <c r="AV12" s="310">
        <v>3491</v>
      </c>
      <c r="AW12" s="312"/>
      <c r="AX12" s="312">
        <f>90+'[11]март 2011'!$F$61+'[11]март 2011'!$F$68+'[11]март 2011'!$F$73+'[11]март 2011'!$F$81+'[11]март 2011'!$F$91+'[11]март 2011'!$F$94+'[11]март 2011'!$F$100+'[11]март 2011'!$F$103+'[11]март 2011'!$F$108+'[11]март 2011'!$F$112</f>
        <v>298.48</v>
      </c>
      <c r="AY12" s="312"/>
      <c r="AZ12" s="311"/>
      <c r="BA12" s="141"/>
      <c r="BB12" s="204">
        <f>BA12*0.18</f>
        <v>0</v>
      </c>
      <c r="BC12" s="204">
        <f t="shared" si="11"/>
        <v>50707.5896</v>
      </c>
      <c r="BD12" s="316">
        <f>'[10]Т03'!$S$55+'[10]Т03'!$S$71+'[10]Т03'!$S$91+'[10]Т03'!$S$118+'[10]Т03'!$S$192</f>
        <v>7120.606</v>
      </c>
      <c r="BE12" s="205">
        <f t="shared" si="12"/>
        <v>57828.1956</v>
      </c>
      <c r="BF12" s="205">
        <f t="shared" si="13"/>
        <v>-2408.5336000000025</v>
      </c>
      <c r="BG12" s="205">
        <f t="shared" si="14"/>
        <v>-1363.8099999999977</v>
      </c>
    </row>
    <row r="13" spans="1:59" ht="12.75">
      <c r="A13" s="227" t="s">
        <v>46</v>
      </c>
      <c r="B13" s="191">
        <v>5279.32</v>
      </c>
      <c r="C13" s="140">
        <f t="shared" si="0"/>
        <v>45138.186</v>
      </c>
      <c r="D13" s="89">
        <v>438.294</v>
      </c>
      <c r="E13" s="230">
        <v>0</v>
      </c>
      <c r="F13" s="193">
        <v>0</v>
      </c>
      <c r="G13" s="211">
        <v>27558.91</v>
      </c>
      <c r="H13" s="192">
        <v>103.4</v>
      </c>
      <c r="I13" s="192">
        <v>0</v>
      </c>
      <c r="J13" s="192">
        <v>0</v>
      </c>
      <c r="K13" s="192">
        <v>0</v>
      </c>
      <c r="L13" s="192">
        <v>0</v>
      </c>
      <c r="M13" s="192">
        <v>13384.09</v>
      </c>
      <c r="N13" s="192">
        <v>50.2</v>
      </c>
      <c r="O13" s="192">
        <v>4743.08</v>
      </c>
      <c r="P13" s="192">
        <v>17.4</v>
      </c>
      <c r="Q13" s="193">
        <v>0</v>
      </c>
      <c r="R13" s="193">
        <v>0</v>
      </c>
      <c r="S13" s="228">
        <v>100</v>
      </c>
      <c r="T13" s="239">
        <v>0</v>
      </c>
      <c r="U13" s="236">
        <f t="shared" si="1"/>
        <v>45786.08</v>
      </c>
      <c r="V13" s="195">
        <f t="shared" si="1"/>
        <v>171.00000000000003</v>
      </c>
      <c r="W13" s="194">
        <v>117.98</v>
      </c>
      <c r="X13" s="196">
        <v>24806.36</v>
      </c>
      <c r="Y13" s="194">
        <v>181.67</v>
      </c>
      <c r="Z13" s="194">
        <v>265.86</v>
      </c>
      <c r="AA13" s="194">
        <v>12438.36</v>
      </c>
      <c r="AB13" s="196">
        <v>4276.62</v>
      </c>
      <c r="AC13" s="194">
        <v>0</v>
      </c>
      <c r="AD13" s="196">
        <v>0</v>
      </c>
      <c r="AE13" s="196">
        <v>111.82</v>
      </c>
      <c r="AF13" s="233">
        <f>SUM(W13:AE13)</f>
        <v>42198.67</v>
      </c>
      <c r="AG13" s="240">
        <f>AF13+V13+D13</f>
        <v>42807.964</v>
      </c>
      <c r="AH13" s="241">
        <f t="shared" si="2"/>
        <v>0</v>
      </c>
      <c r="AI13" s="241">
        <f t="shared" si="2"/>
        <v>0</v>
      </c>
      <c r="AJ13" s="242">
        <f>'[12]Т04'!$J$55+'[12]Т04'!$J$71+'[12]Т04'!$J$92+'[12]Т04'!$J$119+'[12]Т04'!$J$194</f>
        <v>10006.668</v>
      </c>
      <c r="AK13" s="199">
        <f t="shared" si="3"/>
        <v>3537.1444</v>
      </c>
      <c r="AL13" s="199">
        <f t="shared" si="4"/>
        <v>1055.864</v>
      </c>
      <c r="AM13" s="199">
        <f t="shared" si="5"/>
        <v>5279.32</v>
      </c>
      <c r="AN13" s="199">
        <f t="shared" si="6"/>
        <v>1108.6571999999999</v>
      </c>
      <c r="AO13" s="199">
        <f t="shared" si="7"/>
        <v>10664.2264</v>
      </c>
      <c r="AP13" s="199">
        <f t="shared" si="8"/>
        <v>5437.6996</v>
      </c>
      <c r="AQ13" s="199">
        <f t="shared" si="9"/>
        <v>3959.49</v>
      </c>
      <c r="AR13" s="199">
        <f t="shared" si="10"/>
        <v>3959.49</v>
      </c>
      <c r="AS13" s="199"/>
      <c r="AT13" s="243"/>
      <c r="AU13" s="244">
        <v>2204</v>
      </c>
      <c r="AV13" s="244">
        <v>500</v>
      </c>
      <c r="AW13" s="244"/>
      <c r="AX13" s="244">
        <f>22874+225</f>
        <v>23099</v>
      </c>
      <c r="AY13" s="244"/>
      <c r="AZ13" s="311"/>
      <c r="BA13" s="243"/>
      <c r="BB13" s="243"/>
      <c r="BC13" s="192">
        <f t="shared" si="11"/>
        <v>60804.891599999995</v>
      </c>
      <c r="BD13" s="317">
        <f>'[10]Т04'!$S$55+'[10]Т04'!$S$71+'[10]Т04'!$S$92+'[10]Т04'!$S$119+'[10]Т04'!$S$194</f>
        <v>7120.606</v>
      </c>
      <c r="BE13" s="205">
        <f t="shared" si="12"/>
        <v>67925.4976</v>
      </c>
      <c r="BF13" s="205">
        <f t="shared" si="13"/>
        <v>-15110.865600000005</v>
      </c>
      <c r="BG13" s="205">
        <f t="shared" si="14"/>
        <v>-3587.4100000000035</v>
      </c>
    </row>
    <row r="14" spans="1:59" ht="12.75">
      <c r="A14" s="227" t="s">
        <v>47</v>
      </c>
      <c r="B14" s="245">
        <v>5279.32</v>
      </c>
      <c r="C14" s="140">
        <f t="shared" si="0"/>
        <v>45138.186</v>
      </c>
      <c r="D14" s="89">
        <v>438.294</v>
      </c>
      <c r="E14" s="211">
        <v>0</v>
      </c>
      <c r="F14" s="193">
        <v>0</v>
      </c>
      <c r="G14" s="192">
        <v>27564.67</v>
      </c>
      <c r="H14" s="192">
        <v>103.4</v>
      </c>
      <c r="I14" s="192">
        <v>0</v>
      </c>
      <c r="J14" s="192">
        <v>0</v>
      </c>
      <c r="K14" s="192">
        <v>0</v>
      </c>
      <c r="L14" s="192">
        <v>0</v>
      </c>
      <c r="M14" s="192">
        <v>13386.92</v>
      </c>
      <c r="N14" s="192">
        <v>50.2</v>
      </c>
      <c r="O14" s="192">
        <v>4744.1</v>
      </c>
      <c r="P14" s="192">
        <v>17.4</v>
      </c>
      <c r="Q14" s="193">
        <v>0</v>
      </c>
      <c r="R14" s="193">
        <v>0</v>
      </c>
      <c r="S14" s="192">
        <v>100</v>
      </c>
      <c r="T14" s="196">
        <v>0</v>
      </c>
      <c r="U14" s="246">
        <f t="shared" si="1"/>
        <v>45795.689999999995</v>
      </c>
      <c r="V14" s="247">
        <f>F14+H14+J14+L14+N14++R14+T14</f>
        <v>153.60000000000002</v>
      </c>
      <c r="W14" s="194">
        <v>109.86</v>
      </c>
      <c r="X14" s="196">
        <v>27288.53</v>
      </c>
      <c r="Y14" s="194">
        <v>148.83</v>
      </c>
      <c r="Z14" s="194">
        <v>248.1</v>
      </c>
      <c r="AA14" s="194">
        <v>13105.8</v>
      </c>
      <c r="AB14" s="194">
        <v>6879.13</v>
      </c>
      <c r="AC14" s="196">
        <v>0</v>
      </c>
      <c r="AD14" s="196">
        <v>0</v>
      </c>
      <c r="AE14" s="233">
        <v>102.47</v>
      </c>
      <c r="AF14" s="248">
        <f>SUM(W14:AE14)</f>
        <v>47882.719999999994</v>
      </c>
      <c r="AG14" s="240">
        <f aca="true" t="shared" si="15" ref="AG14:AG21">D14+V14+AF14</f>
        <v>48474.613999999994</v>
      </c>
      <c r="AH14" s="241">
        <f t="shared" si="2"/>
        <v>0</v>
      </c>
      <c r="AI14" s="241">
        <f t="shared" si="2"/>
        <v>0</v>
      </c>
      <c r="AJ14" s="242">
        <f>'[10]Т05'!$J$55+'[10]Т05'!$J$71+'[10]Т05'!$J$90+'[10]Т05'!$J$117+'[10]Т05'!$J$192</f>
        <v>10006.668</v>
      </c>
      <c r="AK14" s="199">
        <f t="shared" si="3"/>
        <v>3537.1444</v>
      </c>
      <c r="AL14" s="199">
        <f t="shared" si="4"/>
        <v>1055.864</v>
      </c>
      <c r="AM14" s="199">
        <f t="shared" si="5"/>
        <v>5279.32</v>
      </c>
      <c r="AN14" s="199">
        <f t="shared" si="6"/>
        <v>1108.6571999999999</v>
      </c>
      <c r="AO14" s="199">
        <f t="shared" si="7"/>
        <v>10664.2264</v>
      </c>
      <c r="AP14" s="199">
        <f t="shared" si="8"/>
        <v>5437.6996</v>
      </c>
      <c r="AQ14" s="199">
        <f t="shared" si="9"/>
        <v>3959.49</v>
      </c>
      <c r="AR14" s="199">
        <f t="shared" si="10"/>
        <v>3959.49</v>
      </c>
      <c r="AS14" s="199"/>
      <c r="AT14" s="313">
        <f aca="true" t="shared" si="16" ref="AT14:AT20">0.45*1371</f>
        <v>616.95</v>
      </c>
      <c r="AU14" s="244"/>
      <c r="AV14" s="244"/>
      <c r="AW14" s="244"/>
      <c r="AX14" s="244">
        <v>8.5</v>
      </c>
      <c r="AY14" s="244"/>
      <c r="AZ14" s="311"/>
      <c r="BA14" s="243"/>
      <c r="BB14" s="243"/>
      <c r="BC14" s="192">
        <f t="shared" si="11"/>
        <v>35627.34159999999</v>
      </c>
      <c r="BD14" s="317">
        <f>'[10]Т05'!$S$55+'[10]Т05'!$S$71+'[10]Т05'!$S$90+'[10]Т05'!$S$117+'[10]Т05'!$S$192</f>
        <v>7120.606</v>
      </c>
      <c r="BE14" s="205">
        <f t="shared" si="12"/>
        <v>42747.94759999999</v>
      </c>
      <c r="BF14" s="205">
        <f t="shared" si="13"/>
        <v>15733.3344</v>
      </c>
      <c r="BG14" s="205">
        <f t="shared" si="14"/>
        <v>2087.029999999999</v>
      </c>
    </row>
    <row r="15" spans="1:59" ht="12.75">
      <c r="A15" s="227" t="s">
        <v>48</v>
      </c>
      <c r="B15" s="191">
        <v>5279.32</v>
      </c>
      <c r="C15" s="140">
        <f t="shared" si="0"/>
        <v>45138.186</v>
      </c>
      <c r="D15" s="89">
        <v>438.294</v>
      </c>
      <c r="E15" s="249">
        <v>0</v>
      </c>
      <c r="F15" s="249"/>
      <c r="G15" s="249">
        <v>27567.25</v>
      </c>
      <c r="H15" s="249">
        <v>103.4</v>
      </c>
      <c r="I15" s="250">
        <v>0</v>
      </c>
      <c r="J15" s="250"/>
      <c r="K15" s="250">
        <v>0</v>
      </c>
      <c r="L15" s="250"/>
      <c r="M15" s="250">
        <v>13388.2</v>
      </c>
      <c r="N15" s="250">
        <v>50.2</v>
      </c>
      <c r="O15" s="250">
        <v>4644.54</v>
      </c>
      <c r="P15" s="250">
        <v>17.4</v>
      </c>
      <c r="Q15" s="250">
        <v>0</v>
      </c>
      <c r="R15" s="251"/>
      <c r="S15" s="251">
        <v>100</v>
      </c>
      <c r="T15" s="250"/>
      <c r="U15" s="252">
        <f t="shared" si="1"/>
        <v>45699.99</v>
      </c>
      <c r="V15" s="253">
        <f t="shared" si="1"/>
        <v>171.00000000000003</v>
      </c>
      <c r="W15" s="254">
        <v>2429.02</v>
      </c>
      <c r="X15" s="249">
        <v>22368.83</v>
      </c>
      <c r="Y15" s="249">
        <v>39.16</v>
      </c>
      <c r="Z15" s="249">
        <v>65.29</v>
      </c>
      <c r="AA15" s="249">
        <v>10955.47</v>
      </c>
      <c r="AB15" s="249">
        <v>3802.99</v>
      </c>
      <c r="AC15" s="249">
        <v>0</v>
      </c>
      <c r="AD15" s="249">
        <v>0</v>
      </c>
      <c r="AE15" s="255">
        <v>103.93</v>
      </c>
      <c r="AF15" s="256">
        <f aca="true" t="shared" si="17" ref="AF15:AF21">SUM(W15:AE15)</f>
        <v>39764.69</v>
      </c>
      <c r="AG15" s="240">
        <f t="shared" si="15"/>
        <v>40373.984000000004</v>
      </c>
      <c r="AH15" s="241">
        <f t="shared" si="2"/>
        <v>0</v>
      </c>
      <c r="AI15" s="241">
        <f t="shared" si="2"/>
        <v>0</v>
      </c>
      <c r="AJ15" s="242">
        <f>'[10]Т06'!$J$55+'[10]Т06'!$J$71+'[10]Т06'!$J$90+'[10]Т06'!$J$117+'[10]Т06'!$J$192</f>
        <v>10006.668</v>
      </c>
      <c r="AK15" s="199">
        <f t="shared" si="3"/>
        <v>3537.1444</v>
      </c>
      <c r="AL15" s="199">
        <f t="shared" si="4"/>
        <v>1055.864</v>
      </c>
      <c r="AM15" s="199">
        <f t="shared" si="5"/>
        <v>5279.32</v>
      </c>
      <c r="AN15" s="199">
        <f t="shared" si="6"/>
        <v>1108.6571999999999</v>
      </c>
      <c r="AO15" s="199">
        <f t="shared" si="7"/>
        <v>10664.2264</v>
      </c>
      <c r="AP15" s="199">
        <f t="shared" si="8"/>
        <v>5437.6996</v>
      </c>
      <c r="AQ15" s="199">
        <f t="shared" si="9"/>
        <v>3959.49</v>
      </c>
      <c r="AR15" s="199">
        <f t="shared" si="10"/>
        <v>3959.49</v>
      </c>
      <c r="AS15" s="199"/>
      <c r="AT15" s="313">
        <f t="shared" si="16"/>
        <v>616.95</v>
      </c>
      <c r="AU15" s="244"/>
      <c r="AV15" s="244"/>
      <c r="AW15" s="244"/>
      <c r="AX15" s="244">
        <v>15500</v>
      </c>
      <c r="AY15" s="244"/>
      <c r="AZ15" s="199"/>
      <c r="BA15" s="243"/>
      <c r="BB15" s="243"/>
      <c r="BC15" s="314">
        <f t="shared" si="11"/>
        <v>51118.84159999999</v>
      </c>
      <c r="BD15" s="317">
        <f>'[10]Т06'!$S$55+'[10]Т06'!$S$71+'[10]Т06'!$S$90+'[10]Т06'!$S$117+'[10]Т06'!$S$192</f>
        <v>7120.606</v>
      </c>
      <c r="BE15" s="205">
        <f t="shared" si="12"/>
        <v>58239.44759999999</v>
      </c>
      <c r="BF15" s="205">
        <f t="shared" si="13"/>
        <v>-7858.79559999999</v>
      </c>
      <c r="BG15" s="205">
        <f t="shared" si="14"/>
        <v>-5935.299999999996</v>
      </c>
    </row>
    <row r="16" spans="1:59" ht="12.75">
      <c r="A16" s="227" t="s">
        <v>49</v>
      </c>
      <c r="B16" s="191">
        <v>5279.32</v>
      </c>
      <c r="C16" s="140">
        <f t="shared" si="0"/>
        <v>45138.186</v>
      </c>
      <c r="D16" s="89">
        <v>438.294</v>
      </c>
      <c r="E16" s="257">
        <v>-4.51</v>
      </c>
      <c r="F16" s="257"/>
      <c r="G16" s="257">
        <v>27575.91</v>
      </c>
      <c r="H16" s="257">
        <v>103.4</v>
      </c>
      <c r="I16" s="257">
        <v>-6.1</v>
      </c>
      <c r="J16" s="257"/>
      <c r="K16" s="257">
        <v>-10.16</v>
      </c>
      <c r="L16" s="257"/>
      <c r="M16" s="257">
        <v>13377.77</v>
      </c>
      <c r="N16" s="257">
        <v>50.2</v>
      </c>
      <c r="O16" s="257">
        <v>4642.45</v>
      </c>
      <c r="P16" s="257">
        <v>17.4</v>
      </c>
      <c r="Q16" s="257"/>
      <c r="R16" s="257"/>
      <c r="S16" s="258">
        <v>100</v>
      </c>
      <c r="T16" s="254"/>
      <c r="U16" s="259">
        <f t="shared" si="1"/>
        <v>45675.36</v>
      </c>
      <c r="V16" s="260">
        <f t="shared" si="1"/>
        <v>171.00000000000003</v>
      </c>
      <c r="W16" s="261">
        <v>216.37</v>
      </c>
      <c r="X16" s="257">
        <v>28692.15</v>
      </c>
      <c r="Y16" s="257">
        <v>2593.33</v>
      </c>
      <c r="Z16" s="257">
        <v>488.07</v>
      </c>
      <c r="AA16" s="257">
        <v>14429.53</v>
      </c>
      <c r="AB16" s="257">
        <v>4929.25</v>
      </c>
      <c r="AC16" s="249"/>
      <c r="AD16" s="257"/>
      <c r="AE16" s="258">
        <v>101.01</v>
      </c>
      <c r="AF16" s="256">
        <f t="shared" si="17"/>
        <v>51449.71</v>
      </c>
      <c r="AG16" s="262">
        <f t="shared" si="15"/>
        <v>52059.004</v>
      </c>
      <c r="AH16" s="241">
        <f t="shared" si="2"/>
        <v>0</v>
      </c>
      <c r="AI16" s="241">
        <f t="shared" si="2"/>
        <v>0</v>
      </c>
      <c r="AJ16" s="242">
        <f>'[10]Т07'!$J$55+'[10]Т07'!$J$71+'[10]Т07'!$J$90+'[10]Т07'!$J$117+'[10]Т07'!$J$196</f>
        <v>10006.668</v>
      </c>
      <c r="AK16" s="199">
        <f t="shared" si="3"/>
        <v>3537.1444</v>
      </c>
      <c r="AL16" s="199">
        <f t="shared" si="4"/>
        <v>1055.864</v>
      </c>
      <c r="AM16" s="199">
        <f t="shared" si="5"/>
        <v>5279.32</v>
      </c>
      <c r="AN16" s="199">
        <f t="shared" si="6"/>
        <v>1108.6571999999999</v>
      </c>
      <c r="AO16" s="199">
        <f t="shared" si="7"/>
        <v>10664.2264</v>
      </c>
      <c r="AP16" s="199">
        <f t="shared" si="8"/>
        <v>5437.6996</v>
      </c>
      <c r="AQ16" s="199">
        <f t="shared" si="9"/>
        <v>3959.49</v>
      </c>
      <c r="AR16" s="199">
        <f t="shared" si="10"/>
        <v>3959.49</v>
      </c>
      <c r="AS16" s="199"/>
      <c r="AT16" s="313">
        <f t="shared" si="16"/>
        <v>616.95</v>
      </c>
      <c r="AU16" s="244">
        <v>1419</v>
      </c>
      <c r="AV16" s="244"/>
      <c r="AW16" s="244"/>
      <c r="AX16" s="244">
        <f>74.43+18.86+40.7</f>
        <v>133.99</v>
      </c>
      <c r="AY16" s="244"/>
      <c r="AZ16" s="311"/>
      <c r="BA16" s="243"/>
      <c r="BB16" s="243"/>
      <c r="BC16" s="192">
        <f t="shared" si="11"/>
        <v>37171.83159999999</v>
      </c>
      <c r="BD16" s="317">
        <f>'[10]Т07'!$S$55+'[10]Т07'!$S$71+'[10]Т07'!$S$90+'[10]Т07'!$S$117+'[10]Т07'!$S$196</f>
        <v>7120.606</v>
      </c>
      <c r="BE16" s="205">
        <f t="shared" si="12"/>
        <v>44292.43759999999</v>
      </c>
      <c r="BF16" s="205">
        <f t="shared" si="13"/>
        <v>17773.23440000001</v>
      </c>
      <c r="BG16" s="205">
        <f t="shared" si="14"/>
        <v>5774.3499999999985</v>
      </c>
    </row>
    <row r="17" spans="1:59" ht="12.75">
      <c r="A17" s="227" t="s">
        <v>50</v>
      </c>
      <c r="B17" s="191">
        <v>5279.32</v>
      </c>
      <c r="C17" s="140">
        <f t="shared" si="0"/>
        <v>45138.186</v>
      </c>
      <c r="D17" s="89">
        <v>438.294</v>
      </c>
      <c r="E17" s="263">
        <v>0</v>
      </c>
      <c r="F17" s="263"/>
      <c r="G17" s="263">
        <v>27560.17</v>
      </c>
      <c r="H17" s="263">
        <v>103.4</v>
      </c>
      <c r="I17" s="263">
        <v>0</v>
      </c>
      <c r="J17" s="263"/>
      <c r="K17" s="263">
        <v>0</v>
      </c>
      <c r="L17" s="263"/>
      <c r="M17" s="263">
        <v>13384.71</v>
      </c>
      <c r="N17" s="263">
        <v>50.2</v>
      </c>
      <c r="O17" s="263">
        <v>4643.3</v>
      </c>
      <c r="P17" s="263">
        <v>17.4</v>
      </c>
      <c r="Q17" s="263"/>
      <c r="R17" s="263"/>
      <c r="S17" s="264">
        <v>100</v>
      </c>
      <c r="T17" s="255"/>
      <c r="U17" s="265">
        <f t="shared" si="1"/>
        <v>45688.18</v>
      </c>
      <c r="V17" s="266">
        <f t="shared" si="1"/>
        <v>171.00000000000003</v>
      </c>
      <c r="W17" s="257">
        <v>106.61</v>
      </c>
      <c r="X17" s="257">
        <v>27742.46</v>
      </c>
      <c r="Y17" s="257">
        <v>143.91</v>
      </c>
      <c r="Z17" s="257">
        <v>239.9</v>
      </c>
      <c r="AA17" s="257">
        <v>13720.17</v>
      </c>
      <c r="AB17" s="257">
        <v>4732.11</v>
      </c>
      <c r="AC17" s="257"/>
      <c r="AD17" s="257"/>
      <c r="AE17" s="258">
        <v>110.64</v>
      </c>
      <c r="AF17" s="256">
        <f t="shared" si="17"/>
        <v>46795.8</v>
      </c>
      <c r="AG17" s="262">
        <f t="shared" si="15"/>
        <v>47405.094000000005</v>
      </c>
      <c r="AH17" s="241">
        <f t="shared" si="2"/>
        <v>0</v>
      </c>
      <c r="AI17" s="241">
        <f t="shared" si="2"/>
        <v>0</v>
      </c>
      <c r="AJ17" s="242">
        <f>'[10]Т08'!$J$55+'[10]Т08'!$J$71+'[10]Т08'!$J$90+'[10]Т08'!$J$117+'[10]Т08'!$J$200</f>
        <v>10006.668</v>
      </c>
      <c r="AK17" s="199">
        <f t="shared" si="3"/>
        <v>3537.1444</v>
      </c>
      <c r="AL17" s="199">
        <f t="shared" si="4"/>
        <v>1055.864</v>
      </c>
      <c r="AM17" s="199">
        <f t="shared" si="5"/>
        <v>5279.32</v>
      </c>
      <c r="AN17" s="199">
        <f t="shared" si="6"/>
        <v>1108.6571999999999</v>
      </c>
      <c r="AO17" s="199">
        <f t="shared" si="7"/>
        <v>10664.2264</v>
      </c>
      <c r="AP17" s="199">
        <f t="shared" si="8"/>
        <v>5437.6996</v>
      </c>
      <c r="AQ17" s="199">
        <f t="shared" si="9"/>
        <v>3959.49</v>
      </c>
      <c r="AR17" s="199">
        <f t="shared" si="10"/>
        <v>3959.49</v>
      </c>
      <c r="AS17" s="199"/>
      <c r="AT17" s="313">
        <f t="shared" si="16"/>
        <v>616.95</v>
      </c>
      <c r="AU17" s="244"/>
      <c r="AV17" s="244"/>
      <c r="AW17" s="244"/>
      <c r="AX17" s="244">
        <f>3599+7.6+540</f>
        <v>4146.6</v>
      </c>
      <c r="AY17" s="244"/>
      <c r="AZ17" s="311"/>
      <c r="BA17" s="243"/>
      <c r="BB17" s="243"/>
      <c r="BC17" s="192">
        <f t="shared" si="11"/>
        <v>39765.44159999999</v>
      </c>
      <c r="BD17" s="317">
        <f>'[10]Т08'!$S$55+'[10]Т08'!$S$71+'[10]Т08'!$S$90+'[10]Т08'!$S$117+'[10]Т08'!$S$200</f>
        <v>7120.606</v>
      </c>
      <c r="BE17" s="205">
        <f t="shared" si="12"/>
        <v>46886.04759999999</v>
      </c>
      <c r="BF17" s="205">
        <f t="shared" si="13"/>
        <v>10525.714400000012</v>
      </c>
      <c r="BG17" s="205">
        <f t="shared" si="14"/>
        <v>1107.6200000000026</v>
      </c>
    </row>
    <row r="18" spans="1:59" ht="12.75">
      <c r="A18" s="227" t="s">
        <v>51</v>
      </c>
      <c r="B18" s="191">
        <v>5279.32</v>
      </c>
      <c r="C18" s="140">
        <f t="shared" si="0"/>
        <v>45138.186</v>
      </c>
      <c r="D18" s="238">
        <v>412.08</v>
      </c>
      <c r="E18" s="257"/>
      <c r="F18" s="257"/>
      <c r="G18" s="257">
        <v>28086.6</v>
      </c>
      <c r="H18" s="257"/>
      <c r="I18" s="257"/>
      <c r="J18" s="257"/>
      <c r="K18" s="257"/>
      <c r="L18" s="257"/>
      <c r="M18" s="257">
        <v>13640.44</v>
      </c>
      <c r="N18" s="257"/>
      <c r="O18" s="257">
        <v>4732.02</v>
      </c>
      <c r="P18" s="257"/>
      <c r="Q18" s="257"/>
      <c r="R18" s="257"/>
      <c r="S18" s="258">
        <v>100</v>
      </c>
      <c r="T18" s="267"/>
      <c r="U18" s="267">
        <f t="shared" si="1"/>
        <v>46559.06</v>
      </c>
      <c r="V18" s="268">
        <f t="shared" si="1"/>
        <v>0</v>
      </c>
      <c r="W18" s="257">
        <v>113.46</v>
      </c>
      <c r="X18" s="257">
        <v>25858.48</v>
      </c>
      <c r="Y18" s="257">
        <v>132.73</v>
      </c>
      <c r="Z18" s="257">
        <v>297.6</v>
      </c>
      <c r="AA18" s="257">
        <v>12891.44</v>
      </c>
      <c r="AB18" s="257">
        <v>4418.49</v>
      </c>
      <c r="AC18" s="257"/>
      <c r="AD18" s="257"/>
      <c r="AE18" s="258">
        <v>104.8</v>
      </c>
      <c r="AF18" s="256">
        <f t="shared" si="17"/>
        <v>43817</v>
      </c>
      <c r="AG18" s="262">
        <f t="shared" si="15"/>
        <v>44229.08</v>
      </c>
      <c r="AH18" s="241">
        <f t="shared" si="2"/>
        <v>0</v>
      </c>
      <c r="AI18" s="241">
        <f t="shared" si="2"/>
        <v>0</v>
      </c>
      <c r="AJ18" s="242">
        <f>'[10]Т09'!$J$55+'[10]Т09'!$J$71+'[10]Т09'!$J$90+'[10]Т09'!$J$117+'[10]Т09'!$J$200</f>
        <v>10006.668</v>
      </c>
      <c r="AK18" s="199">
        <f t="shared" si="3"/>
        <v>3537.1444</v>
      </c>
      <c r="AL18" s="199">
        <f t="shared" si="4"/>
        <v>1055.864</v>
      </c>
      <c r="AM18" s="199">
        <f t="shared" si="5"/>
        <v>5279.32</v>
      </c>
      <c r="AN18" s="199">
        <f t="shared" si="6"/>
        <v>1108.6571999999999</v>
      </c>
      <c r="AO18" s="199">
        <f t="shared" si="7"/>
        <v>10664.2264</v>
      </c>
      <c r="AP18" s="199">
        <f t="shared" si="8"/>
        <v>5437.6996</v>
      </c>
      <c r="AQ18" s="199">
        <f t="shared" si="9"/>
        <v>3959.49</v>
      </c>
      <c r="AR18" s="199">
        <f t="shared" si="10"/>
        <v>3959.49</v>
      </c>
      <c r="AS18" s="199"/>
      <c r="AT18" s="313">
        <f t="shared" si="16"/>
        <v>616.95</v>
      </c>
      <c r="AU18" s="244">
        <v>545</v>
      </c>
      <c r="AV18" s="244"/>
      <c r="AW18" s="244">
        <v>928</v>
      </c>
      <c r="AX18" s="244">
        <f>703.21+255</f>
        <v>958.21</v>
      </c>
      <c r="AY18" s="244"/>
      <c r="AZ18" s="311"/>
      <c r="BA18" s="243"/>
      <c r="BB18" s="243"/>
      <c r="BC18" s="192">
        <f t="shared" si="11"/>
        <v>38050.05159999999</v>
      </c>
      <c r="BD18" s="317">
        <f>'[10]Т08'!$S$55+'[10]Т08'!$S$71+'[10]Т08'!$S$90+'[10]Т08'!$S$117+'[10]Т08'!$S$200</f>
        <v>7120.606</v>
      </c>
      <c r="BE18" s="205">
        <f t="shared" si="12"/>
        <v>45170.65759999999</v>
      </c>
      <c r="BF18" s="205">
        <f t="shared" si="13"/>
        <v>9065.090400000008</v>
      </c>
      <c r="BG18" s="205">
        <f t="shared" si="14"/>
        <v>-2742.0599999999977</v>
      </c>
    </row>
    <row r="19" spans="1:59" ht="12.75">
      <c r="A19" s="227" t="s">
        <v>39</v>
      </c>
      <c r="B19" s="191">
        <v>5279.32</v>
      </c>
      <c r="C19" s="140">
        <f t="shared" si="0"/>
        <v>45138.186</v>
      </c>
      <c r="D19" s="238">
        <v>412.08</v>
      </c>
      <c r="E19" s="249"/>
      <c r="F19" s="249"/>
      <c r="G19" s="249">
        <v>27889.29</v>
      </c>
      <c r="H19" s="249">
        <v>198.01</v>
      </c>
      <c r="I19" s="249"/>
      <c r="J19" s="249"/>
      <c r="K19" s="249"/>
      <c r="L19" s="249"/>
      <c r="M19" s="249">
        <v>13544.64</v>
      </c>
      <c r="N19" s="249">
        <v>96.13</v>
      </c>
      <c r="O19" s="249">
        <v>4698.84</v>
      </c>
      <c r="P19" s="249">
        <v>33.32</v>
      </c>
      <c r="Q19" s="249"/>
      <c r="R19" s="249"/>
      <c r="S19" s="255">
        <v>100</v>
      </c>
      <c r="T19" s="269"/>
      <c r="U19" s="270">
        <f t="shared" si="1"/>
        <v>46232.770000000004</v>
      </c>
      <c r="V19" s="271">
        <f t="shared" si="1"/>
        <v>327.46</v>
      </c>
      <c r="W19" s="249">
        <v>0</v>
      </c>
      <c r="X19" s="249">
        <v>28153.79</v>
      </c>
      <c r="Y19" s="249">
        <v>0</v>
      </c>
      <c r="Z19" s="249">
        <v>0</v>
      </c>
      <c r="AA19" s="249">
        <v>13816.38</v>
      </c>
      <c r="AB19" s="249">
        <v>4975.57</v>
      </c>
      <c r="AC19" s="249"/>
      <c r="AD19" s="249"/>
      <c r="AE19" s="255">
        <v>101.18</v>
      </c>
      <c r="AF19" s="256">
        <f t="shared" si="17"/>
        <v>47046.92</v>
      </c>
      <c r="AG19" s="262">
        <f t="shared" si="15"/>
        <v>47786.46</v>
      </c>
      <c r="AH19" s="241">
        <f t="shared" si="2"/>
        <v>0</v>
      </c>
      <c r="AI19" s="241">
        <f t="shared" si="2"/>
        <v>0</v>
      </c>
      <c r="AJ19" s="242">
        <f>'[13]Т10'!$J$71+'[13]Т10'!$J$55+'[13]Т10'!$J$90+'[13]Т10'!$J$117+'[13]Т10'!$J$200</f>
        <v>10006.668</v>
      </c>
      <c r="AK19" s="199">
        <f t="shared" si="3"/>
        <v>3537.1444</v>
      </c>
      <c r="AL19" s="199">
        <f t="shared" si="4"/>
        <v>1055.864</v>
      </c>
      <c r="AM19" s="199">
        <f t="shared" si="5"/>
        <v>5279.32</v>
      </c>
      <c r="AN19" s="199">
        <f t="shared" si="6"/>
        <v>1108.6571999999999</v>
      </c>
      <c r="AO19" s="199">
        <f t="shared" si="7"/>
        <v>10664.2264</v>
      </c>
      <c r="AP19" s="199">
        <f t="shared" si="8"/>
        <v>5437.6996</v>
      </c>
      <c r="AQ19" s="199">
        <f t="shared" si="9"/>
        <v>3959.49</v>
      </c>
      <c r="AR19" s="199">
        <f t="shared" si="10"/>
        <v>3959.49</v>
      </c>
      <c r="AS19" s="272">
        <f>B19*1.15</f>
        <v>6071.217999999999</v>
      </c>
      <c r="AT19" s="313">
        <f t="shared" si="16"/>
        <v>616.95</v>
      </c>
      <c r="AU19" s="244"/>
      <c r="AV19" s="244"/>
      <c r="AW19" s="244">
        <v>815</v>
      </c>
      <c r="AX19" s="244">
        <f>10.45+336+1058.88</f>
        <v>1405.3300000000002</v>
      </c>
      <c r="AY19" s="244"/>
      <c r="AZ19" s="311"/>
      <c r="BA19" s="243"/>
      <c r="BB19" s="243"/>
      <c r="BC19" s="192">
        <f t="shared" si="11"/>
        <v>43910.389599999995</v>
      </c>
      <c r="BD19" s="317">
        <f>'[10]Т10'!$S$55+'[10]Т10'!$S$71+'[10]Т10'!$S$90+'[10]Т10'!$S$117+'[10]Т10'!$S$200</f>
        <v>7120.606</v>
      </c>
      <c r="BE19" s="205">
        <f t="shared" si="12"/>
        <v>51030.995599999995</v>
      </c>
      <c r="BF19" s="205">
        <f t="shared" si="13"/>
        <v>6762.132400000002</v>
      </c>
      <c r="BG19" s="205">
        <f t="shared" si="14"/>
        <v>814.1499999999942</v>
      </c>
    </row>
    <row r="20" spans="1:59" ht="12.75">
      <c r="A20" s="227" t="s">
        <v>40</v>
      </c>
      <c r="B20" s="191">
        <v>5279.32</v>
      </c>
      <c r="C20" s="140">
        <f t="shared" si="0"/>
        <v>45138.186</v>
      </c>
      <c r="D20" s="238">
        <v>412.08</v>
      </c>
      <c r="E20" s="249"/>
      <c r="F20" s="249"/>
      <c r="G20" s="249">
        <v>27993.32</v>
      </c>
      <c r="H20" s="249">
        <v>103.4</v>
      </c>
      <c r="I20" s="249"/>
      <c r="J20" s="249"/>
      <c r="K20" s="249"/>
      <c r="L20" s="249"/>
      <c r="M20" s="249">
        <v>13595.2</v>
      </c>
      <c r="N20" s="249">
        <v>50.2</v>
      </c>
      <c r="O20" s="249">
        <v>4716.41</v>
      </c>
      <c r="P20" s="249">
        <v>17.4</v>
      </c>
      <c r="Q20" s="249"/>
      <c r="R20" s="249"/>
      <c r="S20" s="255">
        <v>100</v>
      </c>
      <c r="T20" s="269"/>
      <c r="U20" s="270">
        <f t="shared" si="1"/>
        <v>46404.93000000001</v>
      </c>
      <c r="V20" s="271">
        <f t="shared" si="1"/>
        <v>171.00000000000003</v>
      </c>
      <c r="W20" s="249">
        <v>0</v>
      </c>
      <c r="X20" s="249">
        <v>24797.92</v>
      </c>
      <c r="Y20" s="249">
        <v>0</v>
      </c>
      <c r="Z20" s="249">
        <v>0</v>
      </c>
      <c r="AA20" s="249">
        <v>12035.27</v>
      </c>
      <c r="AB20" s="249">
        <v>4175.1</v>
      </c>
      <c r="AC20" s="249"/>
      <c r="AD20" s="249"/>
      <c r="AE20" s="255">
        <v>98.82</v>
      </c>
      <c r="AF20" s="256">
        <f t="shared" si="17"/>
        <v>41107.11</v>
      </c>
      <c r="AG20" s="262">
        <f t="shared" si="15"/>
        <v>41690.19</v>
      </c>
      <c r="AH20" s="241">
        <f t="shared" si="2"/>
        <v>0</v>
      </c>
      <c r="AI20" s="241">
        <f t="shared" si="2"/>
        <v>0</v>
      </c>
      <c r="AJ20" s="242">
        <f>'[10]Т11'!$J$55+'[10]Т11'!$J$71+'[10]Т11'!$J$90+'[10]Т11'!$J$117+'[10]Т11'!$J$200</f>
        <v>10006.668</v>
      </c>
      <c r="AK20" s="199">
        <f t="shared" si="3"/>
        <v>3537.1444</v>
      </c>
      <c r="AL20" s="199">
        <f t="shared" si="4"/>
        <v>1055.864</v>
      </c>
      <c r="AM20" s="199">
        <f t="shared" si="5"/>
        <v>5279.32</v>
      </c>
      <c r="AN20" s="199">
        <f t="shared" si="6"/>
        <v>1108.6571999999999</v>
      </c>
      <c r="AO20" s="199">
        <f t="shared" si="7"/>
        <v>10664.2264</v>
      </c>
      <c r="AP20" s="199">
        <f t="shared" si="8"/>
        <v>5437.6996</v>
      </c>
      <c r="AQ20" s="199">
        <f t="shared" si="9"/>
        <v>3959.49</v>
      </c>
      <c r="AR20" s="199">
        <f t="shared" si="10"/>
        <v>3959.49</v>
      </c>
      <c r="AS20" s="272">
        <f>B20*1.15</f>
        <v>6071.217999999999</v>
      </c>
      <c r="AT20" s="313">
        <f t="shared" si="16"/>
        <v>616.95</v>
      </c>
      <c r="AU20" s="244">
        <v>12620</v>
      </c>
      <c r="AV20" s="244"/>
      <c r="AW20" s="244"/>
      <c r="AX20" s="244">
        <f>1320</f>
        <v>1320</v>
      </c>
      <c r="AY20" s="244"/>
      <c r="AZ20" s="311"/>
      <c r="BA20" s="243"/>
      <c r="BB20" s="243"/>
      <c r="BC20" s="192">
        <f t="shared" si="11"/>
        <v>55630.05959999999</v>
      </c>
      <c r="BD20" s="317">
        <f>'[10]Т11'!$S$55+'[10]Т11'!$S$71+'[10]Т11'!$S$90+'[10]Т11'!$S$117+'[10]Т11'!$S$200</f>
        <v>7120.606</v>
      </c>
      <c r="BE20" s="205">
        <f t="shared" si="12"/>
        <v>62750.66559999999</v>
      </c>
      <c r="BF20" s="205">
        <f t="shared" si="13"/>
        <v>-11053.807599999993</v>
      </c>
      <c r="BG20" s="205">
        <f t="shared" si="14"/>
        <v>-5297.820000000007</v>
      </c>
    </row>
    <row r="21" spans="1:59" ht="13.5" thickBot="1">
      <c r="A21" s="227" t="s">
        <v>41</v>
      </c>
      <c r="B21" s="315">
        <v>5278.82</v>
      </c>
      <c r="C21" s="140">
        <f t="shared" si="0"/>
        <v>45133.911</v>
      </c>
      <c r="D21" s="318">
        <f>412.08+99000</f>
        <v>99412.08</v>
      </c>
      <c r="E21" s="273"/>
      <c r="F21" s="273"/>
      <c r="G21" s="273">
        <v>27984.56</v>
      </c>
      <c r="H21" s="273">
        <v>112.19</v>
      </c>
      <c r="I21" s="273"/>
      <c r="J21" s="273"/>
      <c r="K21" s="273"/>
      <c r="L21" s="273"/>
      <c r="M21" s="273">
        <v>13691.01</v>
      </c>
      <c r="N21" s="273">
        <v>54.47</v>
      </c>
      <c r="O21" s="273">
        <v>4715.04</v>
      </c>
      <c r="P21" s="273">
        <v>18.88</v>
      </c>
      <c r="Q21" s="273"/>
      <c r="R21" s="273"/>
      <c r="S21" s="274">
        <v>100</v>
      </c>
      <c r="T21" s="275"/>
      <c r="U21" s="270">
        <f t="shared" si="1"/>
        <v>46490.61</v>
      </c>
      <c r="V21" s="271">
        <f t="shared" si="1"/>
        <v>185.54</v>
      </c>
      <c r="W21" s="249">
        <v>0</v>
      </c>
      <c r="X21" s="249">
        <v>31495.11</v>
      </c>
      <c r="Y21" s="249">
        <v>0</v>
      </c>
      <c r="Z21" s="249">
        <v>0</v>
      </c>
      <c r="AA21" s="249">
        <v>15295.26</v>
      </c>
      <c r="AB21" s="249">
        <v>5305.57</v>
      </c>
      <c r="AC21" s="249"/>
      <c r="AD21" s="249"/>
      <c r="AE21" s="255">
        <v>143.14</v>
      </c>
      <c r="AF21" s="256">
        <f t="shared" si="17"/>
        <v>52239.08</v>
      </c>
      <c r="AG21" s="262">
        <f t="shared" si="15"/>
        <v>151836.7</v>
      </c>
      <c r="AH21" s="241">
        <f t="shared" si="2"/>
        <v>0</v>
      </c>
      <c r="AI21" s="241">
        <f t="shared" si="2"/>
        <v>0</v>
      </c>
      <c r="AJ21" s="242">
        <f>'[10]Т12'!$J$55+'[10]Т12'!$J$71+'[10]Т12'!$J$90+'[10]Т12'!$J$117+'[10]Т12'!$J$159+'[10]Т12'!$J$224</f>
        <v>11206.668</v>
      </c>
      <c r="AK21" s="199">
        <f t="shared" si="3"/>
        <v>3536.8094</v>
      </c>
      <c r="AL21" s="199">
        <f t="shared" si="4"/>
        <v>1055.764</v>
      </c>
      <c r="AM21" s="199">
        <f t="shared" si="5"/>
        <v>5278.82</v>
      </c>
      <c r="AN21" s="199">
        <f t="shared" si="6"/>
        <v>1108.5521999999999</v>
      </c>
      <c r="AO21" s="199">
        <f t="shared" si="7"/>
        <v>10663.2164</v>
      </c>
      <c r="AP21" s="199">
        <f t="shared" si="8"/>
        <v>5437.1846</v>
      </c>
      <c r="AQ21" s="199">
        <f t="shared" si="9"/>
        <v>3959.115</v>
      </c>
      <c r="AR21" s="199">
        <f t="shared" si="10"/>
        <v>3959.115</v>
      </c>
      <c r="AS21" s="272">
        <f>B21*1.15</f>
        <v>6070.642999999999</v>
      </c>
      <c r="AT21" s="313">
        <f>0.45*1371</f>
        <v>616.95</v>
      </c>
      <c r="AU21" s="244">
        <v>965</v>
      </c>
      <c r="AV21" s="244">
        <v>1105</v>
      </c>
      <c r="AW21" s="244"/>
      <c r="AX21" s="244">
        <f>48</f>
        <v>48</v>
      </c>
      <c r="AY21" s="311"/>
      <c r="AZ21" s="243"/>
      <c r="BA21" s="243"/>
      <c r="BB21" s="243"/>
      <c r="BC21" s="192">
        <f>SUM(AK21:BB21)</f>
        <v>43804.169599999994</v>
      </c>
      <c r="BD21" s="319">
        <f>'[10]Т12'!$S$55+'[10]Т12'!$S$71+'[10]Т12'!$S$90+'[10]Т12'!$S$117+'[10]Т12'!$S$159+'[10]Т12'!$S$224</f>
        <v>7420.606</v>
      </c>
      <c r="BE21" s="205">
        <f t="shared" si="12"/>
        <v>51224.77559999999</v>
      </c>
      <c r="BF21" s="205">
        <f t="shared" si="13"/>
        <v>111818.59240000002</v>
      </c>
      <c r="BG21" s="205">
        <f t="shared" si="14"/>
        <v>5748.470000000001</v>
      </c>
    </row>
    <row r="22" spans="1:59" s="16" customFormat="1" ht="13.5" thickBot="1">
      <c r="A22" s="276" t="s">
        <v>3</v>
      </c>
      <c r="B22" s="277"/>
      <c r="C22" s="278">
        <f aca="true" t="shared" si="18" ref="C22:BE22">SUM(C10:C21)</f>
        <v>541689.0119999999</v>
      </c>
      <c r="D22" s="278">
        <f t="shared" si="18"/>
        <v>104154.672</v>
      </c>
      <c r="E22" s="278">
        <f t="shared" si="18"/>
        <v>-5.93</v>
      </c>
      <c r="F22" s="278">
        <f t="shared" si="18"/>
        <v>0</v>
      </c>
      <c r="G22" s="278">
        <f t="shared" si="18"/>
        <v>332402.12000000005</v>
      </c>
      <c r="H22" s="278">
        <f t="shared" si="18"/>
        <v>1034</v>
      </c>
      <c r="I22" s="278">
        <f t="shared" si="18"/>
        <v>-8.03</v>
      </c>
      <c r="J22" s="278">
        <f t="shared" si="18"/>
        <v>0</v>
      </c>
      <c r="K22" s="278">
        <f t="shared" si="18"/>
        <v>-13.370000000000001</v>
      </c>
      <c r="L22" s="278">
        <f t="shared" si="18"/>
        <v>0</v>
      </c>
      <c r="M22" s="278">
        <f t="shared" si="18"/>
        <v>161513.37</v>
      </c>
      <c r="N22" s="278">
        <f t="shared" si="18"/>
        <v>552.1999999999999</v>
      </c>
      <c r="O22" s="278">
        <f t="shared" si="18"/>
        <v>56498.07</v>
      </c>
      <c r="P22" s="278">
        <f t="shared" si="18"/>
        <v>191.4</v>
      </c>
      <c r="Q22" s="278">
        <f t="shared" si="18"/>
        <v>0</v>
      </c>
      <c r="R22" s="278">
        <f t="shared" si="18"/>
        <v>0</v>
      </c>
      <c r="S22" s="278">
        <f t="shared" si="18"/>
        <v>1200</v>
      </c>
      <c r="T22" s="278">
        <f t="shared" si="18"/>
        <v>0</v>
      </c>
      <c r="U22" s="278">
        <f t="shared" si="18"/>
        <v>551586.23</v>
      </c>
      <c r="V22" s="278">
        <f t="shared" si="18"/>
        <v>1760.2</v>
      </c>
      <c r="W22" s="278">
        <f t="shared" si="18"/>
        <v>7656.559999999999</v>
      </c>
      <c r="X22" s="278">
        <f t="shared" si="18"/>
        <v>289510.51</v>
      </c>
      <c r="Y22" s="278">
        <f t="shared" si="18"/>
        <v>9468.899999999998</v>
      </c>
      <c r="Z22" s="278">
        <f t="shared" si="18"/>
        <v>12014.190000000002</v>
      </c>
      <c r="AA22" s="278">
        <f t="shared" si="18"/>
        <v>156376.19</v>
      </c>
      <c r="AB22" s="278">
        <f t="shared" si="18"/>
        <v>55131.81</v>
      </c>
      <c r="AC22" s="278">
        <f t="shared" si="18"/>
        <v>0</v>
      </c>
      <c r="AD22" s="278">
        <f t="shared" si="18"/>
        <v>0</v>
      </c>
      <c r="AE22" s="278">
        <f t="shared" si="18"/>
        <v>1143.12</v>
      </c>
      <c r="AF22" s="278">
        <f t="shared" si="18"/>
        <v>531301.2799999999</v>
      </c>
      <c r="AG22" s="278">
        <f t="shared" si="18"/>
        <v>637216.152</v>
      </c>
      <c r="AH22" s="278">
        <f t="shared" si="18"/>
        <v>0</v>
      </c>
      <c r="AI22" s="278">
        <f t="shared" si="18"/>
        <v>0</v>
      </c>
      <c r="AJ22" s="278">
        <f t="shared" si="18"/>
        <v>121280.01600000002</v>
      </c>
      <c r="AK22" s="278">
        <f t="shared" si="18"/>
        <v>42448.1448</v>
      </c>
      <c r="AL22" s="278">
        <f t="shared" si="18"/>
        <v>12671.087999999996</v>
      </c>
      <c r="AM22" s="278">
        <f t="shared" si="18"/>
        <v>63355.439999999995</v>
      </c>
      <c r="AN22" s="278">
        <f t="shared" si="18"/>
        <v>13304.642399999997</v>
      </c>
      <c r="AO22" s="278">
        <f t="shared" si="18"/>
        <v>127977.98879999999</v>
      </c>
      <c r="AP22" s="278">
        <f t="shared" si="18"/>
        <v>65256.1032</v>
      </c>
      <c r="AQ22" s="278">
        <f t="shared" si="18"/>
        <v>47516.57999999999</v>
      </c>
      <c r="AR22" s="278">
        <f t="shared" si="18"/>
        <v>47516.57999999999</v>
      </c>
      <c r="AS22" s="278">
        <f t="shared" si="18"/>
        <v>36431.448</v>
      </c>
      <c r="AT22" s="278">
        <f t="shared" si="18"/>
        <v>4935.599999999999</v>
      </c>
      <c r="AU22" s="278">
        <f t="shared" si="18"/>
        <v>38600</v>
      </c>
      <c r="AV22" s="278">
        <f t="shared" si="18"/>
        <v>5096</v>
      </c>
      <c r="AW22" s="278">
        <f t="shared" si="18"/>
        <v>1944</v>
      </c>
      <c r="AX22" s="278">
        <f t="shared" si="18"/>
        <v>73942.21000000002</v>
      </c>
      <c r="AY22" s="278">
        <f t="shared" si="18"/>
        <v>0</v>
      </c>
      <c r="AZ22" s="278">
        <f t="shared" si="18"/>
        <v>0</v>
      </c>
      <c r="BA22" s="278">
        <f t="shared" si="18"/>
        <v>0</v>
      </c>
      <c r="BB22" s="278">
        <f t="shared" si="18"/>
        <v>0</v>
      </c>
      <c r="BC22" s="278">
        <f t="shared" si="18"/>
        <v>580995.8252</v>
      </c>
      <c r="BD22" s="278">
        <f t="shared" si="18"/>
        <v>85747.272</v>
      </c>
      <c r="BE22" s="278">
        <f t="shared" si="18"/>
        <v>666743.0972</v>
      </c>
      <c r="BF22" s="278">
        <f>SUM(BF10:BF21)</f>
        <v>91753.07080000007</v>
      </c>
      <c r="BG22" s="278">
        <f>SUM(BG10:BG21)</f>
        <v>-20284.95000000001</v>
      </c>
    </row>
    <row r="23" spans="1:59" s="16" customFormat="1" ht="13.5" thickBot="1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1"/>
      <c r="BF23" s="280"/>
      <c r="BG23" s="282"/>
    </row>
    <row r="24" spans="1:59" s="16" customFormat="1" ht="13.5" thickBot="1">
      <c r="A24" s="18" t="s">
        <v>52</v>
      </c>
      <c r="B24" s="280"/>
      <c r="C24" s="283">
        <f aca="true" t="shared" si="19" ref="C24:BG24">C22+C8</f>
        <v>1775248.731</v>
      </c>
      <c r="D24" s="283">
        <f t="shared" si="19"/>
        <v>388234.80630205</v>
      </c>
      <c r="E24" s="283">
        <f t="shared" si="19"/>
        <v>104558.89</v>
      </c>
      <c r="F24" s="283">
        <f t="shared" si="19"/>
        <v>21671.85</v>
      </c>
      <c r="G24" s="283">
        <f t="shared" si="19"/>
        <v>332402.12000000005</v>
      </c>
      <c r="H24" s="283">
        <f t="shared" si="19"/>
        <v>1034</v>
      </c>
      <c r="I24" s="283">
        <f t="shared" si="19"/>
        <v>141545.09999999998</v>
      </c>
      <c r="J24" s="283">
        <f t="shared" si="19"/>
        <v>29341.61</v>
      </c>
      <c r="K24" s="283">
        <f t="shared" si="19"/>
        <v>235575.08000000002</v>
      </c>
      <c r="L24" s="283">
        <f t="shared" si="19"/>
        <v>48846.17</v>
      </c>
      <c r="M24" s="283">
        <f t="shared" si="19"/>
        <v>501692.16000000003</v>
      </c>
      <c r="N24" s="283">
        <f t="shared" si="19"/>
        <v>71130.26</v>
      </c>
      <c r="O24" s="283">
        <f t="shared" si="19"/>
        <v>140149.84</v>
      </c>
      <c r="P24" s="283">
        <f t="shared" si="19"/>
        <v>17528.840000000004</v>
      </c>
      <c r="Q24" s="283">
        <f t="shared" si="19"/>
        <v>0</v>
      </c>
      <c r="R24" s="283">
        <f t="shared" si="19"/>
        <v>0</v>
      </c>
      <c r="S24" s="283">
        <f t="shared" si="19"/>
        <v>1200</v>
      </c>
      <c r="T24" s="283">
        <f t="shared" si="19"/>
        <v>0</v>
      </c>
      <c r="U24" s="283">
        <f t="shared" si="19"/>
        <v>1457123.19</v>
      </c>
      <c r="V24" s="283">
        <f t="shared" si="19"/>
        <v>189535.33000000002</v>
      </c>
      <c r="W24" s="283">
        <f t="shared" si="19"/>
        <v>106630.18000000001</v>
      </c>
      <c r="X24" s="283">
        <f t="shared" si="19"/>
        <v>289510.51</v>
      </c>
      <c r="Y24" s="283">
        <f t="shared" si="19"/>
        <v>143370.93000000002</v>
      </c>
      <c r="Z24" s="283">
        <f t="shared" si="19"/>
        <v>234901.26</v>
      </c>
      <c r="AA24" s="283">
        <f t="shared" si="19"/>
        <v>480606.85000000003</v>
      </c>
      <c r="AB24" s="283">
        <f t="shared" si="19"/>
        <v>134280.01</v>
      </c>
      <c r="AC24" s="283">
        <f t="shared" si="19"/>
        <v>0</v>
      </c>
      <c r="AD24" s="283">
        <f t="shared" si="19"/>
        <v>0</v>
      </c>
      <c r="AE24" s="283">
        <f t="shared" si="19"/>
        <v>1143.12</v>
      </c>
      <c r="AF24" s="283">
        <f t="shared" si="19"/>
        <v>1390442.8599999999</v>
      </c>
      <c r="AG24" s="283">
        <f t="shared" si="19"/>
        <v>1968212.9963020498</v>
      </c>
      <c r="AH24" s="283">
        <f t="shared" si="19"/>
        <v>0</v>
      </c>
      <c r="AI24" s="283">
        <f t="shared" si="19"/>
        <v>0</v>
      </c>
      <c r="AJ24" s="283" t="e">
        <f t="shared" si="19"/>
        <v>#REF!</v>
      </c>
      <c r="AK24" s="283">
        <f t="shared" si="19"/>
        <v>126745.4448</v>
      </c>
      <c r="AL24" s="283">
        <f t="shared" si="19"/>
        <v>40918.620284</v>
      </c>
      <c r="AM24" s="283">
        <f t="shared" si="19"/>
        <v>203286.79772922597</v>
      </c>
      <c r="AN24" s="283">
        <f t="shared" si="19"/>
        <v>13304.642399999997</v>
      </c>
      <c r="AO24" s="283">
        <f t="shared" si="19"/>
        <v>267555.6828950228</v>
      </c>
      <c r="AP24" s="283">
        <f t="shared" si="19"/>
        <v>377493.767981957</v>
      </c>
      <c r="AQ24" s="283">
        <f t="shared" si="19"/>
        <v>47516.57999999999</v>
      </c>
      <c r="AR24" s="283">
        <f t="shared" si="19"/>
        <v>47516.57999999999</v>
      </c>
      <c r="AS24" s="283">
        <f t="shared" si="19"/>
        <v>36431.448</v>
      </c>
      <c r="AT24" s="283">
        <f t="shared" si="19"/>
        <v>12339</v>
      </c>
      <c r="AU24" s="283">
        <f t="shared" si="19"/>
        <v>255546.41</v>
      </c>
      <c r="AV24" s="283">
        <f t="shared" si="19"/>
        <v>5096</v>
      </c>
      <c r="AW24" s="283">
        <f t="shared" si="19"/>
        <v>219693.28660000002</v>
      </c>
      <c r="AX24" s="283">
        <f t="shared" si="19"/>
        <v>185470.1666</v>
      </c>
      <c r="AY24" s="283">
        <f t="shared" si="19"/>
        <v>64504.442</v>
      </c>
      <c r="AZ24" s="283">
        <f t="shared" si="19"/>
        <v>0</v>
      </c>
      <c r="BA24" s="283">
        <f t="shared" si="19"/>
        <v>0</v>
      </c>
      <c r="BB24" s="283">
        <f t="shared" si="19"/>
        <v>0</v>
      </c>
      <c r="BC24" s="283">
        <f t="shared" si="19"/>
        <v>1903418.8692902057</v>
      </c>
      <c r="BD24" s="283">
        <f t="shared" si="19"/>
        <v>155460.33818420797</v>
      </c>
      <c r="BE24" s="284">
        <f>BE22+BE8-20791.12</f>
        <v>2038088.0874744137</v>
      </c>
      <c r="BF24" s="283">
        <f t="shared" si="19"/>
        <v>164149.1041476363</v>
      </c>
      <c r="BG24" s="285">
        <f t="shared" si="19"/>
        <v>-66680.33000000003</v>
      </c>
    </row>
    <row r="25" spans="1:59" ht="12.75">
      <c r="A25" s="5" t="s">
        <v>130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6"/>
      <c r="BF25" s="223"/>
      <c r="BG25" s="224"/>
    </row>
    <row r="26" spans="1:59" ht="12.75">
      <c r="A26" s="227" t="s">
        <v>43</v>
      </c>
      <c r="B26" s="191">
        <v>5278.82</v>
      </c>
      <c r="C26" s="140">
        <f aca="true" t="shared" si="20" ref="C26:C31">B26*8.55</f>
        <v>45133.911</v>
      </c>
      <c r="D26" s="523">
        <v>412.08</v>
      </c>
      <c r="E26" s="249"/>
      <c r="F26" s="249"/>
      <c r="G26" s="249">
        <v>28001.11</v>
      </c>
      <c r="H26" s="249">
        <v>103.4</v>
      </c>
      <c r="I26" s="249"/>
      <c r="J26" s="249"/>
      <c r="K26" s="249"/>
      <c r="L26" s="249"/>
      <c r="M26" s="249">
        <v>13599.03</v>
      </c>
      <c r="N26" s="249">
        <v>50.2</v>
      </c>
      <c r="O26" s="249">
        <v>4717.82</v>
      </c>
      <c r="P26" s="249">
        <v>17.4</v>
      </c>
      <c r="Q26" s="249"/>
      <c r="R26" s="249"/>
      <c r="S26" s="255">
        <v>100</v>
      </c>
      <c r="T26" s="275"/>
      <c r="U26" s="270">
        <f aca="true" t="shared" si="21" ref="U26:V31">E26+G26+I26+K26+M26+O26+Q26+S26</f>
        <v>46417.96</v>
      </c>
      <c r="V26" s="271">
        <f t="shared" si="21"/>
        <v>171.00000000000003</v>
      </c>
      <c r="W26" s="249">
        <v>0</v>
      </c>
      <c r="X26" s="249">
        <v>24097.31</v>
      </c>
      <c r="Y26" s="249">
        <v>0</v>
      </c>
      <c r="Z26" s="249">
        <v>0</v>
      </c>
      <c r="AA26" s="249">
        <v>11703.59</v>
      </c>
      <c r="AB26" s="249">
        <v>4060.91</v>
      </c>
      <c r="AC26" s="249"/>
      <c r="AD26" s="249"/>
      <c r="AE26" s="255">
        <v>112.39</v>
      </c>
      <c r="AF26" s="256">
        <f aca="true" t="shared" si="22" ref="AF26:AF31">SUM(W26:AE26)</f>
        <v>39974.2</v>
      </c>
      <c r="AG26" s="262">
        <f aca="true" t="shared" si="23" ref="AG26:AG37">D26+V26+AF26</f>
        <v>40557.28</v>
      </c>
      <c r="AH26" s="241">
        <f aca="true" t="shared" si="24" ref="AH26:AI37">AC26</f>
        <v>0</v>
      </c>
      <c r="AI26" s="241">
        <f t="shared" si="24"/>
        <v>0</v>
      </c>
      <c r="AJ26" s="242">
        <f>'[15]Т01'!$J$33+'[15]Т01'!$J$46+'[15]Т01'!$J$120+'[15]Т01'!$J$137+'[15]Т01'!$J$157+'[15]Т01'!$J$222</f>
        <v>12759.23</v>
      </c>
      <c r="AK26" s="199">
        <f aca="true" t="shared" si="25" ref="AK26:AK31">0.67*B26</f>
        <v>3536.8094</v>
      </c>
      <c r="AL26" s="199">
        <f aca="true" t="shared" si="26" ref="AL26:AL37">B26*0.2</f>
        <v>1055.764</v>
      </c>
      <c r="AM26" s="199">
        <f aca="true" t="shared" si="27" ref="AM26:AM37">B26*1</f>
        <v>5278.82</v>
      </c>
      <c r="AN26" s="199">
        <f aca="true" t="shared" si="28" ref="AN26:AN37">B26*0.21</f>
        <v>1108.5521999999999</v>
      </c>
      <c r="AO26" s="199">
        <f aca="true" t="shared" si="29" ref="AO26:AO37">2.02*B26</f>
        <v>10663.2164</v>
      </c>
      <c r="AP26" s="199">
        <f aca="true" t="shared" si="30" ref="AP26:AP37">B26*1.03</f>
        <v>5437.1846</v>
      </c>
      <c r="AQ26" s="199">
        <f aca="true" t="shared" si="31" ref="AQ26:AQ37">B26*0.75</f>
        <v>3959.115</v>
      </c>
      <c r="AR26" s="199">
        <f aca="true" t="shared" si="32" ref="AR26:AR37">B26*0.75</f>
        <v>3959.115</v>
      </c>
      <c r="AS26" s="272">
        <f>B26*1.15</f>
        <v>6070.642999999999</v>
      </c>
      <c r="AT26" s="313">
        <f>0.45*1371</f>
        <v>616.95</v>
      </c>
      <c r="AU26" s="524">
        <v>6240</v>
      </c>
      <c r="AV26" s="244"/>
      <c r="AX26" s="244">
        <f>548</f>
        <v>548</v>
      </c>
      <c r="AY26" s="244"/>
      <c r="AZ26" s="244"/>
      <c r="BA26" s="99"/>
      <c r="BB26" s="243"/>
      <c r="BC26" s="314">
        <f>SUM(AK26:BB26)</f>
        <v>48474.169599999994</v>
      </c>
      <c r="BD26" s="319">
        <f>'[15]Т01'!$S$33+'[15]Т01'!$S$46+'[15]Т01'!$S$120+'[15]Т01'!$S$137+'[15]Т01'!$S$157+'[15]Т01'!$S$222</f>
        <v>7120.606</v>
      </c>
      <c r="BE26" s="205">
        <f>BC26+BD26</f>
        <v>55594.77559999999</v>
      </c>
      <c r="BF26" s="205">
        <f>AG26+AJ26-BE26</f>
        <v>-2278.265599999999</v>
      </c>
      <c r="BG26" s="205">
        <f>AF26-U26</f>
        <v>-6443.760000000002</v>
      </c>
    </row>
    <row r="27" spans="1:59" ht="12.75">
      <c r="A27" s="227" t="s">
        <v>44</v>
      </c>
      <c r="B27" s="191">
        <v>5278.82</v>
      </c>
      <c r="C27" s="140">
        <f t="shared" si="20"/>
        <v>45133.911</v>
      </c>
      <c r="D27" s="523">
        <v>412.08</v>
      </c>
      <c r="E27" s="257"/>
      <c r="F27" s="257"/>
      <c r="G27" s="257">
        <v>28018.3</v>
      </c>
      <c r="H27" s="257">
        <v>103.4</v>
      </c>
      <c r="I27" s="257"/>
      <c r="J27" s="257"/>
      <c r="K27" s="257"/>
      <c r="L27" s="257"/>
      <c r="M27" s="257">
        <v>13607.48</v>
      </c>
      <c r="N27" s="257">
        <v>50.2</v>
      </c>
      <c r="O27" s="257">
        <v>4720.82</v>
      </c>
      <c r="P27" s="257">
        <v>17.4</v>
      </c>
      <c r="Q27" s="257"/>
      <c r="R27" s="257"/>
      <c r="S27" s="258">
        <v>100</v>
      </c>
      <c r="T27" s="275"/>
      <c r="U27" s="270">
        <f t="shared" si="21"/>
        <v>46446.6</v>
      </c>
      <c r="V27" s="271">
        <f t="shared" si="21"/>
        <v>171.00000000000003</v>
      </c>
      <c r="W27" s="257">
        <v>0</v>
      </c>
      <c r="X27" s="257">
        <v>21946.05</v>
      </c>
      <c r="Y27" s="257">
        <v>0</v>
      </c>
      <c r="Z27" s="257">
        <v>0</v>
      </c>
      <c r="AA27" s="257">
        <v>10657.93</v>
      </c>
      <c r="AB27" s="257">
        <v>3697.15</v>
      </c>
      <c r="AC27" s="257"/>
      <c r="AD27" s="257"/>
      <c r="AE27" s="258">
        <v>119.03</v>
      </c>
      <c r="AF27" s="256">
        <f t="shared" si="22"/>
        <v>36420.159999999996</v>
      </c>
      <c r="AG27" s="262">
        <f t="shared" si="23"/>
        <v>37003.24</v>
      </c>
      <c r="AH27" s="241">
        <f t="shared" si="24"/>
        <v>0</v>
      </c>
      <c r="AI27" s="241">
        <f t="shared" si="24"/>
        <v>0</v>
      </c>
      <c r="AJ27" s="242">
        <f>'[15]Т01'!$J$33+'[15]Т01'!$J$46+'[15]Т01'!$J$120+'[15]Т01'!$J$137+'[15]Т01'!$J$157+'[15]Т01'!$J$222</f>
        <v>12759.23</v>
      </c>
      <c r="AK27" s="194">
        <f t="shared" si="25"/>
        <v>3536.8094</v>
      </c>
      <c r="AL27" s="199">
        <f t="shared" si="26"/>
        <v>1055.764</v>
      </c>
      <c r="AM27" s="199">
        <f t="shared" si="27"/>
        <v>5278.82</v>
      </c>
      <c r="AN27" s="199">
        <f t="shared" si="28"/>
        <v>1108.5521999999999</v>
      </c>
      <c r="AO27" s="199">
        <f t="shared" si="29"/>
        <v>10663.2164</v>
      </c>
      <c r="AP27" s="199">
        <f t="shared" si="30"/>
        <v>5437.1846</v>
      </c>
      <c r="AQ27" s="199">
        <f t="shared" si="31"/>
        <v>3959.115</v>
      </c>
      <c r="AR27" s="199">
        <f t="shared" si="32"/>
        <v>3959.115</v>
      </c>
      <c r="AS27" s="272">
        <f>B27*1.15</f>
        <v>6070.642999999999</v>
      </c>
      <c r="AT27" s="313">
        <f>0.45*1371</f>
        <v>616.95</v>
      </c>
      <c r="AU27" s="524"/>
      <c r="AV27" s="244"/>
      <c r="AW27" s="533">
        <v>99000</v>
      </c>
      <c r="AX27" s="244">
        <f>10000</f>
        <v>10000</v>
      </c>
      <c r="AY27" s="244"/>
      <c r="AZ27" s="244"/>
      <c r="BA27" s="99"/>
      <c r="BB27" s="243"/>
      <c r="BC27" s="192">
        <f>SUM(AK27:BB27)</f>
        <v>150686.1696</v>
      </c>
      <c r="BD27" s="319">
        <f>'[15]Т01'!$S$33+'[15]Т01'!$S$46+'[15]Т01'!$S$120+'[15]Т01'!$S$137+'[15]Т01'!$S$157+'[15]Т01'!$S$222</f>
        <v>7120.606</v>
      </c>
      <c r="BE27" s="205">
        <f aca="true" t="shared" si="33" ref="BE27:BE37">BC27+BD27</f>
        <v>157806.7756</v>
      </c>
      <c r="BF27" s="205">
        <f aca="true" t="shared" si="34" ref="BF27:BF37">AG27+AJ27-BE27</f>
        <v>-108044.30559999999</v>
      </c>
      <c r="BG27" s="205">
        <f aca="true" t="shared" si="35" ref="BG27:BG37">AF27-U27</f>
        <v>-10026.440000000002</v>
      </c>
    </row>
    <row r="28" spans="1:59" ht="12.75">
      <c r="A28" s="227" t="s">
        <v>45</v>
      </c>
      <c r="B28" s="191">
        <v>5278.82</v>
      </c>
      <c r="C28" s="140">
        <f t="shared" si="20"/>
        <v>45133.911</v>
      </c>
      <c r="D28" s="523">
        <v>412.08</v>
      </c>
      <c r="E28" s="257"/>
      <c r="F28" s="257"/>
      <c r="G28" s="257">
        <v>28024.87</v>
      </c>
      <c r="H28" s="257">
        <v>103.4</v>
      </c>
      <c r="I28" s="257"/>
      <c r="J28" s="257"/>
      <c r="K28" s="257"/>
      <c r="L28" s="257"/>
      <c r="M28" s="257">
        <v>13610.69</v>
      </c>
      <c r="N28" s="257">
        <v>50.2</v>
      </c>
      <c r="O28" s="257">
        <v>4721.97</v>
      </c>
      <c r="P28" s="257">
        <v>17.4</v>
      </c>
      <c r="Q28" s="257"/>
      <c r="R28" s="257"/>
      <c r="S28" s="258">
        <v>100</v>
      </c>
      <c r="T28" s="275"/>
      <c r="U28" s="270">
        <f t="shared" si="21"/>
        <v>46457.53</v>
      </c>
      <c r="V28" s="271">
        <f t="shared" si="21"/>
        <v>171.00000000000003</v>
      </c>
      <c r="W28" s="249">
        <v>0</v>
      </c>
      <c r="X28" s="249">
        <v>32933.17</v>
      </c>
      <c r="Y28" s="249">
        <v>0</v>
      </c>
      <c r="Z28" s="249">
        <v>0</v>
      </c>
      <c r="AA28" s="249">
        <v>13961.37</v>
      </c>
      <c r="AB28" s="249">
        <v>4710.07</v>
      </c>
      <c r="AC28" s="249"/>
      <c r="AD28" s="249"/>
      <c r="AE28" s="255">
        <v>119</v>
      </c>
      <c r="AF28" s="256">
        <f t="shared" si="22"/>
        <v>51723.61</v>
      </c>
      <c r="AG28" s="262">
        <f t="shared" si="23"/>
        <v>52306.69</v>
      </c>
      <c r="AH28" s="241">
        <f t="shared" si="24"/>
        <v>0</v>
      </c>
      <c r="AI28" s="241">
        <f t="shared" si="24"/>
        <v>0</v>
      </c>
      <c r="AJ28" s="242">
        <f>'[15]Т03'!$J$32+'[15]Т03'!$J$44+'[15]Т03'!$J$121+'[15]Т03'!$J$138+'[15]Т03'!$J$158+'[15]Т03'!$J$223</f>
        <v>13359.23</v>
      </c>
      <c r="AK28" s="194">
        <f t="shared" si="25"/>
        <v>3536.8094</v>
      </c>
      <c r="AL28" s="199">
        <f t="shared" si="26"/>
        <v>1055.764</v>
      </c>
      <c r="AM28" s="199">
        <f t="shared" si="27"/>
        <v>5278.82</v>
      </c>
      <c r="AN28" s="199">
        <f t="shared" si="28"/>
        <v>1108.5521999999999</v>
      </c>
      <c r="AO28" s="199">
        <f t="shared" si="29"/>
        <v>10663.2164</v>
      </c>
      <c r="AP28" s="199">
        <f t="shared" si="30"/>
        <v>5437.1846</v>
      </c>
      <c r="AQ28" s="199">
        <f t="shared" si="31"/>
        <v>3959.115</v>
      </c>
      <c r="AR28" s="199">
        <f t="shared" si="32"/>
        <v>3959.115</v>
      </c>
      <c r="AS28" s="272">
        <f>B28*1.15</f>
        <v>6070.642999999999</v>
      </c>
      <c r="AT28" s="313">
        <f>0.45*1371</f>
        <v>616.95</v>
      </c>
      <c r="AU28" s="524">
        <v>21028</v>
      </c>
      <c r="AV28" s="244">
        <v>232.63</v>
      </c>
      <c r="AW28" s="244">
        <f>277.47+390</f>
        <v>667.47</v>
      </c>
      <c r="AX28" s="244">
        <f>5529+112.33</f>
        <v>5641.33</v>
      </c>
      <c r="AY28" s="244"/>
      <c r="AZ28" s="244"/>
      <c r="BA28" s="99"/>
      <c r="BB28" s="243"/>
      <c r="BC28" s="314">
        <f>SUM(AK28:BB28)</f>
        <v>69255.59959999999</v>
      </c>
      <c r="BD28" s="319">
        <f>'[15]Т03'!$S$32+'[15]Т03'!$S$44+'[15]Т03'!$S$121+'[15]Т03'!$S$138+'[15]Т03'!$S$158+'[15]Т03'!$S$223</f>
        <v>7270.606</v>
      </c>
      <c r="BE28" s="205">
        <f t="shared" si="33"/>
        <v>76526.20559999999</v>
      </c>
      <c r="BF28" s="205">
        <f t="shared" si="34"/>
        <v>-10860.285599999988</v>
      </c>
      <c r="BG28" s="205">
        <f t="shared" si="35"/>
        <v>5266.080000000002</v>
      </c>
    </row>
    <row r="29" spans="1:59" ht="12.75">
      <c r="A29" s="227" t="s">
        <v>46</v>
      </c>
      <c r="B29" s="191">
        <v>5278.82</v>
      </c>
      <c r="C29" s="140">
        <f t="shared" si="20"/>
        <v>45133.911</v>
      </c>
      <c r="D29" s="523">
        <v>412.08</v>
      </c>
      <c r="E29" s="257"/>
      <c r="F29" s="257"/>
      <c r="G29" s="257">
        <v>28011.68</v>
      </c>
      <c r="H29" s="257">
        <v>103.4</v>
      </c>
      <c r="I29" s="257"/>
      <c r="J29" s="257"/>
      <c r="K29" s="257"/>
      <c r="L29" s="257"/>
      <c r="M29" s="257">
        <v>13064.23</v>
      </c>
      <c r="N29" s="257">
        <v>50.2</v>
      </c>
      <c r="O29" s="257">
        <v>4719.65</v>
      </c>
      <c r="P29" s="257">
        <v>17.4</v>
      </c>
      <c r="Q29" s="257"/>
      <c r="R29" s="257"/>
      <c r="S29" s="258">
        <v>100</v>
      </c>
      <c r="T29" s="275"/>
      <c r="U29" s="270">
        <f t="shared" si="21"/>
        <v>45895.560000000005</v>
      </c>
      <c r="V29" s="271">
        <f t="shared" si="21"/>
        <v>171.00000000000003</v>
      </c>
      <c r="W29" s="273">
        <v>0</v>
      </c>
      <c r="X29" s="273">
        <v>29230.83</v>
      </c>
      <c r="Y29" s="273">
        <v>0</v>
      </c>
      <c r="Z29" s="273">
        <v>0</v>
      </c>
      <c r="AA29" s="273">
        <v>12221.03</v>
      </c>
      <c r="AB29" s="273">
        <v>4239.18</v>
      </c>
      <c r="AC29" s="273"/>
      <c r="AD29" s="273"/>
      <c r="AE29" s="274">
        <v>119</v>
      </c>
      <c r="AF29" s="256">
        <f t="shared" si="22"/>
        <v>45810.04</v>
      </c>
      <c r="AG29" s="262">
        <f t="shared" si="23"/>
        <v>46393.12</v>
      </c>
      <c r="AH29" s="241">
        <f t="shared" si="24"/>
        <v>0</v>
      </c>
      <c r="AI29" s="241">
        <f t="shared" si="24"/>
        <v>0</v>
      </c>
      <c r="AJ29" s="242">
        <f>'[15]Т04'!$J$32+'[15]Т04'!$J$44+'[15]Т04'!$J$121+'[15]Т04'!$J$138+'[15]Т04'!$J$158+'[15]Т04'!$J$223</f>
        <v>12959.23</v>
      </c>
      <c r="AK29" s="194">
        <f t="shared" si="25"/>
        <v>3536.8094</v>
      </c>
      <c r="AL29" s="199">
        <f t="shared" si="26"/>
        <v>1055.764</v>
      </c>
      <c r="AM29" s="199">
        <f t="shared" si="27"/>
        <v>5278.82</v>
      </c>
      <c r="AN29" s="199">
        <f t="shared" si="28"/>
        <v>1108.5521999999999</v>
      </c>
      <c r="AO29" s="199">
        <f t="shared" si="29"/>
        <v>10663.2164</v>
      </c>
      <c r="AP29" s="199">
        <f t="shared" si="30"/>
        <v>5437.1846</v>
      </c>
      <c r="AQ29" s="199">
        <f t="shared" si="31"/>
        <v>3959.115</v>
      </c>
      <c r="AR29" s="199">
        <f t="shared" si="32"/>
        <v>3959.115</v>
      </c>
      <c r="AS29" s="272"/>
      <c r="AT29" s="313">
        <f>0.45*1371</f>
        <v>616.95</v>
      </c>
      <c r="AU29" s="524">
        <v>25927</v>
      </c>
      <c r="AV29" s="244"/>
      <c r="AW29" s="244">
        <v>495</v>
      </c>
      <c r="AX29" s="244">
        <f>7130+17.1+562.5+457.8</f>
        <v>8167.400000000001</v>
      </c>
      <c r="AY29" s="244"/>
      <c r="AZ29" s="244"/>
      <c r="BA29" s="99"/>
      <c r="BB29" s="243"/>
      <c r="BC29" s="314">
        <f>SUM(AK29:BB29)</f>
        <v>70204.92659999999</v>
      </c>
      <c r="BD29" s="319">
        <f>'[15]Т04'!$S$32+'[15]Т04'!$S$44+'[15]Т04'!$S$121+'[15]Т04'!$S$138+'[15]Т04'!$S$158+'[15]Т04'!$S$223</f>
        <v>7170.606</v>
      </c>
      <c r="BE29" s="205">
        <f t="shared" si="33"/>
        <v>77375.53259999999</v>
      </c>
      <c r="BF29" s="205">
        <f t="shared" si="34"/>
        <v>-18023.182599999986</v>
      </c>
      <c r="BG29" s="205">
        <f t="shared" si="35"/>
        <v>-85.52000000000407</v>
      </c>
    </row>
    <row r="30" spans="1:59" ht="12.75">
      <c r="A30" s="227" t="s">
        <v>47</v>
      </c>
      <c r="B30" s="191">
        <v>5278.82</v>
      </c>
      <c r="C30" s="140">
        <f t="shared" si="20"/>
        <v>45133.911</v>
      </c>
      <c r="D30" s="523">
        <v>412.08</v>
      </c>
      <c r="E30" s="257"/>
      <c r="F30" s="257"/>
      <c r="G30" s="257">
        <v>28000.25</v>
      </c>
      <c r="H30" s="257">
        <v>103.4</v>
      </c>
      <c r="I30" s="257"/>
      <c r="J30" s="257"/>
      <c r="K30" s="257"/>
      <c r="L30" s="257"/>
      <c r="M30" s="257">
        <v>13598.61</v>
      </c>
      <c r="N30" s="257">
        <v>50.2</v>
      </c>
      <c r="O30" s="257">
        <v>4717.65</v>
      </c>
      <c r="P30" s="257">
        <v>17.4</v>
      </c>
      <c r="Q30" s="257"/>
      <c r="R30" s="257"/>
      <c r="S30" s="258">
        <v>100</v>
      </c>
      <c r="T30" s="275"/>
      <c r="U30" s="270">
        <f t="shared" si="21"/>
        <v>46416.51</v>
      </c>
      <c r="V30" s="271">
        <f t="shared" si="21"/>
        <v>171.00000000000003</v>
      </c>
      <c r="W30" s="273">
        <v>0</v>
      </c>
      <c r="X30" s="273">
        <v>34866.91</v>
      </c>
      <c r="Y30" s="273">
        <v>0</v>
      </c>
      <c r="Z30" s="273">
        <v>0</v>
      </c>
      <c r="AA30" s="273">
        <v>12716.85</v>
      </c>
      <c r="AB30" s="273">
        <v>4363.18</v>
      </c>
      <c r="AC30" s="273"/>
      <c r="AD30" s="273"/>
      <c r="AE30" s="273">
        <v>107.27</v>
      </c>
      <c r="AF30" s="256">
        <f t="shared" si="22"/>
        <v>52054.21</v>
      </c>
      <c r="AG30" s="262">
        <f t="shared" si="23"/>
        <v>52637.29</v>
      </c>
      <c r="AH30" s="241">
        <f t="shared" si="24"/>
        <v>0</v>
      </c>
      <c r="AI30" s="241">
        <f t="shared" si="24"/>
        <v>0</v>
      </c>
      <c r="AJ30" s="242">
        <f>'[15]Т05'!$J$31+'[15]Т05'!$J$43+'[15]Т05'!$J$121+'[15]Т05'!$J$138+'[15]Т05'!$J$158+'[15]Т05'!$J$229</f>
        <v>12959.23</v>
      </c>
      <c r="AK30" s="194">
        <f t="shared" si="25"/>
        <v>3536.8094</v>
      </c>
      <c r="AL30" s="199">
        <f t="shared" si="26"/>
        <v>1055.764</v>
      </c>
      <c r="AM30" s="199">
        <f t="shared" si="27"/>
        <v>5278.82</v>
      </c>
      <c r="AN30" s="199">
        <f t="shared" si="28"/>
        <v>1108.5521999999999</v>
      </c>
      <c r="AO30" s="199">
        <f t="shared" si="29"/>
        <v>10663.2164</v>
      </c>
      <c r="AP30" s="199">
        <f t="shared" si="30"/>
        <v>5437.1846</v>
      </c>
      <c r="AQ30" s="199">
        <f t="shared" si="31"/>
        <v>3959.115</v>
      </c>
      <c r="AR30" s="199">
        <f t="shared" si="32"/>
        <v>3959.115</v>
      </c>
      <c r="AS30" s="272"/>
      <c r="AT30" s="313">
        <f>0.45*1371</f>
        <v>616.95</v>
      </c>
      <c r="AU30" s="524"/>
      <c r="AV30" s="244"/>
      <c r="AW30" s="244"/>
      <c r="AX30" s="244">
        <f>25.65</f>
        <v>25.65</v>
      </c>
      <c r="AY30" s="244"/>
      <c r="AZ30" s="244"/>
      <c r="BA30" s="99"/>
      <c r="BB30" s="243"/>
      <c r="BC30" s="314">
        <f>SUM(AK30:BB30)</f>
        <v>35641.1766</v>
      </c>
      <c r="BD30" s="319">
        <f>'[15]Т05'!$S$31+'[15]Т05'!$S$43+'[15]Т05'!$S$121+'[15]Т05'!$S$138+'[15]Т05'!$S$158+'[15]Т05'!$S$229</f>
        <v>7170.606</v>
      </c>
      <c r="BE30" s="205">
        <f t="shared" si="33"/>
        <v>42811.7826</v>
      </c>
      <c r="BF30" s="205">
        <f t="shared" si="34"/>
        <v>22784.737400000005</v>
      </c>
      <c r="BG30" s="205">
        <f t="shared" si="35"/>
        <v>5637.699999999997</v>
      </c>
    </row>
    <row r="31" spans="1:59" ht="12.75">
      <c r="A31" s="227" t="s">
        <v>48</v>
      </c>
      <c r="B31" s="191">
        <v>5278.82</v>
      </c>
      <c r="C31" s="140">
        <f t="shared" si="20"/>
        <v>45133.911</v>
      </c>
      <c r="D31" s="523">
        <v>412.08</v>
      </c>
      <c r="E31" s="257"/>
      <c r="F31" s="257"/>
      <c r="G31" s="257">
        <v>27998.77</v>
      </c>
      <c r="H31" s="257">
        <v>103.4</v>
      </c>
      <c r="I31" s="257"/>
      <c r="J31" s="257"/>
      <c r="K31" s="257"/>
      <c r="L31" s="257"/>
      <c r="M31" s="257">
        <v>13597.87</v>
      </c>
      <c r="N31" s="257">
        <v>50.21</v>
      </c>
      <c r="O31" s="257">
        <v>4717.37</v>
      </c>
      <c r="P31" s="257">
        <v>17.41</v>
      </c>
      <c r="Q31" s="257"/>
      <c r="R31" s="257"/>
      <c r="S31" s="258">
        <v>100</v>
      </c>
      <c r="T31" s="275"/>
      <c r="U31" s="270">
        <f t="shared" si="21"/>
        <v>46414.01</v>
      </c>
      <c r="V31" s="271">
        <f t="shared" si="21"/>
        <v>171.02</v>
      </c>
      <c r="W31" s="273"/>
      <c r="X31" s="525">
        <v>25599.5</v>
      </c>
      <c r="Y31" s="273"/>
      <c r="Z31" s="273"/>
      <c r="AA31" s="525">
        <v>10290.92</v>
      </c>
      <c r="AB31" s="525">
        <v>3570.02</v>
      </c>
      <c r="AC31" s="273"/>
      <c r="AD31" s="525"/>
      <c r="AE31" s="526">
        <v>107.27</v>
      </c>
      <c r="AF31" s="256">
        <f t="shared" si="22"/>
        <v>39567.70999999999</v>
      </c>
      <c r="AG31" s="262">
        <f t="shared" si="23"/>
        <v>40150.80999999999</v>
      </c>
      <c r="AH31" s="241">
        <f t="shared" si="24"/>
        <v>0</v>
      </c>
      <c r="AI31" s="241">
        <f t="shared" si="24"/>
        <v>0</v>
      </c>
      <c r="AJ31" s="242">
        <f>'[15]Т06'!$J$31+'[15]Т06'!$J$43+'[15]Т06'!$J$121+'[15]Т06'!$J$138+'[15]Т06'!$J$164+'[15]Т06'!$J$260</f>
        <v>12959.23</v>
      </c>
      <c r="AK31" s="194">
        <f t="shared" si="25"/>
        <v>3536.8094</v>
      </c>
      <c r="AL31" s="199">
        <f t="shared" si="26"/>
        <v>1055.764</v>
      </c>
      <c r="AM31" s="199">
        <f t="shared" si="27"/>
        <v>5278.82</v>
      </c>
      <c r="AN31" s="199">
        <f t="shared" si="28"/>
        <v>1108.5521999999999</v>
      </c>
      <c r="AO31" s="199">
        <f t="shared" si="29"/>
        <v>10663.2164</v>
      </c>
      <c r="AP31" s="199">
        <f t="shared" si="30"/>
        <v>5437.1846</v>
      </c>
      <c r="AQ31" s="199">
        <f t="shared" si="31"/>
        <v>3959.115</v>
      </c>
      <c r="AR31" s="199">
        <f t="shared" si="32"/>
        <v>3959.115</v>
      </c>
      <c r="AS31" s="272"/>
      <c r="AT31" s="313">
        <f>0.45*1371</f>
        <v>616.95</v>
      </c>
      <c r="AU31" s="524"/>
      <c r="AV31" s="244"/>
      <c r="AW31" s="244">
        <v>396</v>
      </c>
      <c r="AX31" s="244">
        <f>2414.29</f>
        <v>2414.29</v>
      </c>
      <c r="AY31" s="244"/>
      <c r="AZ31" s="244"/>
      <c r="BA31" s="99"/>
      <c r="BB31" s="243"/>
      <c r="BC31" s="314">
        <f>SUM(AK31:BB31)</f>
        <v>38425.8166</v>
      </c>
      <c r="BD31" s="319">
        <f>'[15]Т06'!$S$31+'[15]Т06'!$S$43+'[15]Т06'!$S$121+'[15]Т06'!$S$138+'[15]Т06'!$S$164+'[15]Т06'!$S$260</f>
        <v>7170.606</v>
      </c>
      <c r="BE31" s="205">
        <f t="shared" si="33"/>
        <v>45596.4226</v>
      </c>
      <c r="BF31" s="205">
        <f t="shared" si="34"/>
        <v>7513.6173999999955</v>
      </c>
      <c r="BG31" s="205">
        <f t="shared" si="35"/>
        <v>-6846.30000000001</v>
      </c>
    </row>
    <row r="32" spans="1:59" ht="12.75">
      <c r="A32" s="227" t="s">
        <v>49</v>
      </c>
      <c r="B32" s="191">
        <v>5278.82</v>
      </c>
      <c r="C32" s="140">
        <f aca="true" t="shared" si="36" ref="C32:C37">B32*9.51</f>
        <v>50201.578199999996</v>
      </c>
      <c r="D32" s="523">
        <v>551.46</v>
      </c>
      <c r="E32" s="257"/>
      <c r="F32" s="257"/>
      <c r="G32" s="257">
        <v>51512.06</v>
      </c>
      <c r="H32" s="257">
        <v>190.2</v>
      </c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>
        <v>100</v>
      </c>
      <c r="T32" s="275"/>
      <c r="U32" s="270">
        <f aca="true" t="shared" si="37" ref="U32:V37">G32+M32+O32+Q32+S32</f>
        <v>51612.06</v>
      </c>
      <c r="V32" s="527">
        <f t="shared" si="37"/>
        <v>190.2</v>
      </c>
      <c r="W32" s="273"/>
      <c r="X32" s="249">
        <v>29508.35</v>
      </c>
      <c r="Y32" s="273"/>
      <c r="Z32" s="273"/>
      <c r="AA32" s="249">
        <v>14121.29</v>
      </c>
      <c r="AB32" s="249">
        <v>4899.26</v>
      </c>
      <c r="AC32" s="273"/>
      <c r="AD32" s="249"/>
      <c r="AE32" s="255">
        <v>108.62</v>
      </c>
      <c r="AF32" s="256">
        <f aca="true" t="shared" si="38" ref="AF32:AF37">SUM(X32:AE32)</f>
        <v>48637.520000000004</v>
      </c>
      <c r="AG32" s="262">
        <f t="shared" si="23"/>
        <v>49379.18000000001</v>
      </c>
      <c r="AH32" s="528">
        <v>0</v>
      </c>
      <c r="AI32" s="241">
        <f t="shared" si="24"/>
        <v>0</v>
      </c>
      <c r="AJ32" s="242">
        <f>'[15]Т07'!$J$31+'[15]Т07'!$J$43+'[15]Т07'!$J$123+'[15]Т07'!$J$140+'[15]Т07'!$J$166+'[15]Т07'!$J$262</f>
        <v>12959.23</v>
      </c>
      <c r="AK32" s="199">
        <f aca="true" t="shared" si="39" ref="AK32:AK37">0.75*B32</f>
        <v>3959.115</v>
      </c>
      <c r="AL32" s="199">
        <f t="shared" si="26"/>
        <v>1055.764</v>
      </c>
      <c r="AM32" s="199">
        <f t="shared" si="27"/>
        <v>5278.82</v>
      </c>
      <c r="AN32" s="199">
        <f t="shared" si="28"/>
        <v>1108.5521999999999</v>
      </c>
      <c r="AO32" s="199">
        <f t="shared" si="29"/>
        <v>10663.2164</v>
      </c>
      <c r="AP32" s="199">
        <f t="shared" si="30"/>
        <v>5437.1846</v>
      </c>
      <c r="AQ32" s="199">
        <f t="shared" si="31"/>
        <v>3959.115</v>
      </c>
      <c r="AR32" s="199">
        <f t="shared" si="32"/>
        <v>3959.115</v>
      </c>
      <c r="AS32" s="272"/>
      <c r="AT32" s="313">
        <f>0.45*1371</f>
        <v>616.95</v>
      </c>
      <c r="AU32" s="524">
        <v>20502</v>
      </c>
      <c r="AV32" s="244"/>
      <c r="AW32" s="244">
        <v>2348</v>
      </c>
      <c r="AX32" s="244">
        <f>3462+41.65</f>
        <v>3503.65</v>
      </c>
      <c r="AY32" s="244"/>
      <c r="AZ32" s="244"/>
      <c r="BA32" s="99"/>
      <c r="BB32" s="243"/>
      <c r="BC32" s="314">
        <f>SUM(AK32:BB32)</f>
        <v>62391.4822</v>
      </c>
      <c r="BD32" s="319">
        <f>'[15]Т07'!$S$31+'[15]Т07'!$S$43+'[15]Т07'!$S$123+'[15]Т07'!$S$140+'[15]Т07'!$S$166+'[15]Т07'!$S$262</f>
        <v>7170.606</v>
      </c>
      <c r="BE32" s="205">
        <f t="shared" si="33"/>
        <v>69562.0882</v>
      </c>
      <c r="BF32" s="205">
        <f t="shared" si="34"/>
        <v>-7223.678199999995</v>
      </c>
      <c r="BG32" s="205">
        <f t="shared" si="35"/>
        <v>-2974.5399999999936</v>
      </c>
    </row>
    <row r="33" spans="1:59" ht="12.75">
      <c r="A33" s="227" t="s">
        <v>50</v>
      </c>
      <c r="B33" s="191">
        <v>5278.82</v>
      </c>
      <c r="C33" s="140">
        <f t="shared" si="36"/>
        <v>50201.578199999996</v>
      </c>
      <c r="D33" s="523"/>
      <c r="E33" s="257"/>
      <c r="F33" s="257"/>
      <c r="G33" s="257">
        <v>51510.64</v>
      </c>
      <c r="H33" s="257">
        <v>190.2</v>
      </c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8">
        <v>100</v>
      </c>
      <c r="T33" s="275"/>
      <c r="U33" s="270">
        <f t="shared" si="37"/>
        <v>51610.64</v>
      </c>
      <c r="V33" s="527">
        <f t="shared" si="37"/>
        <v>190.2</v>
      </c>
      <c r="W33" s="273"/>
      <c r="X33" s="249">
        <v>45559.39</v>
      </c>
      <c r="Y33" s="273"/>
      <c r="Z33" s="273"/>
      <c r="AA33" s="249">
        <v>2361.14</v>
      </c>
      <c r="AB33" s="249">
        <v>819.71</v>
      </c>
      <c r="AC33" s="273"/>
      <c r="AD33" s="249"/>
      <c r="AE33" s="255">
        <v>95.1</v>
      </c>
      <c r="AF33" s="256">
        <f t="shared" si="38"/>
        <v>48835.34</v>
      </c>
      <c r="AG33" s="262">
        <f t="shared" si="23"/>
        <v>49025.53999999999</v>
      </c>
      <c r="AH33" s="528">
        <v>0</v>
      </c>
      <c r="AI33" s="241">
        <f t="shared" si="24"/>
        <v>0</v>
      </c>
      <c r="AJ33" s="242">
        <f>'[15]Т08'!$J$31+'[15]Т08'!$J$43+'[15]Т08'!$J$123+'[15]Т08'!$J$140+'[15]Т08'!$J$166+'[15]Т08'!$J$262+'[15]Т08'!$J$294</f>
        <v>15359.23</v>
      </c>
      <c r="AK33" s="199">
        <f t="shared" si="39"/>
        <v>3959.115</v>
      </c>
      <c r="AL33" s="199">
        <f t="shared" si="26"/>
        <v>1055.764</v>
      </c>
      <c r="AM33" s="199">
        <f t="shared" si="27"/>
        <v>5278.82</v>
      </c>
      <c r="AN33" s="199">
        <f t="shared" si="28"/>
        <v>1108.5521999999999</v>
      </c>
      <c r="AO33" s="199">
        <f t="shared" si="29"/>
        <v>10663.2164</v>
      </c>
      <c r="AP33" s="199">
        <f t="shared" si="30"/>
        <v>5437.1846</v>
      </c>
      <c r="AQ33" s="199">
        <f t="shared" si="31"/>
        <v>3959.115</v>
      </c>
      <c r="AR33" s="199">
        <f t="shared" si="32"/>
        <v>3959.115</v>
      </c>
      <c r="AS33" s="272"/>
      <c r="AT33" s="313">
        <f>0.45*1371</f>
        <v>616.95</v>
      </c>
      <c r="AU33" s="524"/>
      <c r="AV33" s="244"/>
      <c r="AW33" s="244"/>
      <c r="AX33" s="244">
        <f>62.44</f>
        <v>62.44</v>
      </c>
      <c r="AY33" s="244"/>
      <c r="AZ33" s="244"/>
      <c r="BA33" s="99"/>
      <c r="BB33" s="243"/>
      <c r="BC33" s="314">
        <f>SUM(AK33:BB33)</f>
        <v>36100.2722</v>
      </c>
      <c r="BD33" s="319">
        <f>'[15]Т08'!$S$31+'[15]Т08'!$S$43+'[15]Т08'!$S$123+'[15]Т08'!$S$140+'[15]Т08'!$S$166+'[15]Т08'!$S$262+'[15]Т08'!$S$294</f>
        <v>7770.606</v>
      </c>
      <c r="BE33" s="205">
        <f t="shared" si="33"/>
        <v>43870.8782</v>
      </c>
      <c r="BF33" s="205">
        <f t="shared" si="34"/>
        <v>20513.89179999999</v>
      </c>
      <c r="BG33" s="205">
        <f t="shared" si="35"/>
        <v>-2775.300000000003</v>
      </c>
    </row>
    <row r="34" spans="1:59" ht="12.75">
      <c r="A34" s="227" t="s">
        <v>51</v>
      </c>
      <c r="B34" s="191">
        <v>5278.82</v>
      </c>
      <c r="C34" s="140">
        <f t="shared" si="36"/>
        <v>50201.578199999996</v>
      </c>
      <c r="D34" s="523"/>
      <c r="E34" s="257"/>
      <c r="F34" s="257"/>
      <c r="G34" s="257">
        <v>51505.93</v>
      </c>
      <c r="H34" s="257">
        <v>190.2</v>
      </c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8">
        <v>100</v>
      </c>
      <c r="T34" s="275"/>
      <c r="U34" s="270">
        <f t="shared" si="37"/>
        <v>51605.93</v>
      </c>
      <c r="V34" s="527">
        <f t="shared" si="37"/>
        <v>190.2</v>
      </c>
      <c r="W34" s="273"/>
      <c r="X34" s="249">
        <v>48032</v>
      </c>
      <c r="Y34" s="273"/>
      <c r="Z34" s="273"/>
      <c r="AA34" s="249">
        <v>1111.71</v>
      </c>
      <c r="AB34" s="249">
        <v>386.3</v>
      </c>
      <c r="AC34" s="273"/>
      <c r="AD34" s="249"/>
      <c r="AE34" s="255">
        <v>107.97</v>
      </c>
      <c r="AF34" s="256">
        <f t="shared" si="38"/>
        <v>49637.98</v>
      </c>
      <c r="AG34" s="262">
        <f t="shared" si="23"/>
        <v>49828.18</v>
      </c>
      <c r="AH34" s="528">
        <v>0</v>
      </c>
      <c r="AI34" s="241">
        <f t="shared" si="24"/>
        <v>0</v>
      </c>
      <c r="AJ34" s="242">
        <f>'[15]Т09'!$J$31+'[15]Т09'!$J$43+'[15]Т09'!$J$122+'[15]Т09'!$J$139+'[15]Т09'!$J$169+'[15]Т09'!$J$262+'[15]Т09'!$J$294</f>
        <v>13759.23</v>
      </c>
      <c r="AK34" s="199">
        <f t="shared" si="39"/>
        <v>3959.115</v>
      </c>
      <c r="AL34" s="199">
        <f t="shared" si="26"/>
        <v>1055.764</v>
      </c>
      <c r="AM34" s="199">
        <f t="shared" si="27"/>
        <v>5278.82</v>
      </c>
      <c r="AN34" s="199">
        <f t="shared" si="28"/>
        <v>1108.5521999999999</v>
      </c>
      <c r="AO34" s="199">
        <f t="shared" si="29"/>
        <v>10663.2164</v>
      </c>
      <c r="AP34" s="199">
        <f t="shared" si="30"/>
        <v>5437.1846</v>
      </c>
      <c r="AQ34" s="199">
        <f t="shared" si="31"/>
        <v>3959.115</v>
      </c>
      <c r="AR34" s="199">
        <f t="shared" si="32"/>
        <v>3959.115</v>
      </c>
      <c r="AS34" s="272"/>
      <c r="AT34" s="313">
        <f>0.45*1371</f>
        <v>616.95</v>
      </c>
      <c r="AU34" s="524">
        <v>4964</v>
      </c>
      <c r="AV34" s="244"/>
      <c r="AW34" s="244"/>
      <c r="AX34" s="244">
        <f>1841+506.825</f>
        <v>2347.825</v>
      </c>
      <c r="AY34" s="244"/>
      <c r="AZ34" s="244"/>
      <c r="BA34" s="99"/>
      <c r="BB34" s="243"/>
      <c r="BC34" s="314">
        <f>SUM(AK34:BB34)</f>
        <v>43349.657199999994</v>
      </c>
      <c r="BD34" s="319">
        <f>'[15]Т09'!$S$31+'[15]Т09'!$S$43+'[15]Т09'!$S$122+'[15]Т09'!$S$139+'[15]Т09'!$S$169+'[15]Т09'!$S$262+'[15]Т09'!$S$294</f>
        <v>7370.606</v>
      </c>
      <c r="BE34" s="205">
        <f t="shared" si="33"/>
        <v>50720.263199999994</v>
      </c>
      <c r="BF34" s="205">
        <f t="shared" si="34"/>
        <v>12867.14680000001</v>
      </c>
      <c r="BG34" s="205">
        <f t="shared" si="35"/>
        <v>-1967.949999999997</v>
      </c>
    </row>
    <row r="35" spans="1:59" ht="12.75">
      <c r="A35" s="227" t="s">
        <v>39</v>
      </c>
      <c r="B35" s="191">
        <v>5278.82</v>
      </c>
      <c r="C35" s="140">
        <f t="shared" si="36"/>
        <v>50201.578199999996</v>
      </c>
      <c r="D35" s="523"/>
      <c r="E35" s="257"/>
      <c r="F35" s="257"/>
      <c r="G35" s="257">
        <v>51503.44</v>
      </c>
      <c r="H35" s="257">
        <v>190.2</v>
      </c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8">
        <v>100</v>
      </c>
      <c r="T35" s="275"/>
      <c r="U35" s="270">
        <f t="shared" si="37"/>
        <v>51603.44</v>
      </c>
      <c r="V35" s="527">
        <f t="shared" si="37"/>
        <v>190.2</v>
      </c>
      <c r="W35" s="273"/>
      <c r="X35" s="249">
        <v>63379.57</v>
      </c>
      <c r="Y35" s="273"/>
      <c r="Z35" s="273"/>
      <c r="AA35" s="249">
        <v>2301.3</v>
      </c>
      <c r="AB35" s="249">
        <v>883.35</v>
      </c>
      <c r="AC35" s="273"/>
      <c r="AD35" s="249"/>
      <c r="AE35" s="255">
        <v>109.86</v>
      </c>
      <c r="AF35" s="256">
        <f t="shared" si="38"/>
        <v>66674.08</v>
      </c>
      <c r="AG35" s="262">
        <f t="shared" si="23"/>
        <v>66864.28</v>
      </c>
      <c r="AH35" s="528">
        <v>0</v>
      </c>
      <c r="AI35" s="241">
        <f t="shared" si="24"/>
        <v>0</v>
      </c>
      <c r="AJ35" s="242">
        <f>'[15]Т10'!$J$31+'[15]Т10'!$J$43+'[15]Т10'!$J$121+'[15]Т10'!$J$138+'[15]Т10'!$J$168+'[15]Т10'!$J$261+'[15]Т10'!$J$293</f>
        <v>13759.23</v>
      </c>
      <c r="AK35" s="199">
        <f t="shared" si="39"/>
        <v>3959.115</v>
      </c>
      <c r="AL35" s="199">
        <f t="shared" si="26"/>
        <v>1055.764</v>
      </c>
      <c r="AM35" s="199">
        <f t="shared" si="27"/>
        <v>5278.82</v>
      </c>
      <c r="AN35" s="199">
        <f t="shared" si="28"/>
        <v>1108.5521999999999</v>
      </c>
      <c r="AO35" s="199">
        <f t="shared" si="29"/>
        <v>10663.2164</v>
      </c>
      <c r="AP35" s="199">
        <f t="shared" si="30"/>
        <v>5437.1846</v>
      </c>
      <c r="AQ35" s="199">
        <f t="shared" si="31"/>
        <v>3959.115</v>
      </c>
      <c r="AR35" s="199">
        <f t="shared" si="32"/>
        <v>3959.115</v>
      </c>
      <c r="AS35" s="272">
        <f>B35*1.15</f>
        <v>6070.642999999999</v>
      </c>
      <c r="AT35" s="313">
        <f>0.45*1371</f>
        <v>616.95</v>
      </c>
      <c r="AU35" s="529"/>
      <c r="AV35" s="244"/>
      <c r="AW35" s="244"/>
      <c r="AX35" s="530">
        <f>8+18+40.5+288+35+27+36+1169.9207</f>
        <v>1622.4207</v>
      </c>
      <c r="AY35" s="530"/>
      <c r="AZ35" s="530"/>
      <c r="BA35" s="99"/>
      <c r="BB35" s="243"/>
      <c r="BC35" s="314">
        <f>SUM(AK35:BB35)</f>
        <v>43730.895899999996</v>
      </c>
      <c r="BD35" s="319">
        <f>'[15]Т10'!$S$31+'[15]Т10'!$S$43+'[15]Т10'!$S$121+'[15]Т10'!$S$138+'[15]Т10'!$S$261+'[15]Т10'!$S$168+'[15]Т10'!$S$293</f>
        <v>7370.606</v>
      </c>
      <c r="BE35" s="205">
        <f t="shared" si="33"/>
        <v>51101.501899999996</v>
      </c>
      <c r="BF35" s="205">
        <f t="shared" si="34"/>
        <v>29522.0081</v>
      </c>
      <c r="BG35" s="205">
        <f t="shared" si="35"/>
        <v>15070.64</v>
      </c>
    </row>
    <row r="36" spans="1:59" ht="12.75">
      <c r="A36" s="227" t="s">
        <v>40</v>
      </c>
      <c r="B36" s="531">
        <v>5277.02</v>
      </c>
      <c r="C36" s="140">
        <f t="shared" si="36"/>
        <v>50184.4602</v>
      </c>
      <c r="D36" s="523"/>
      <c r="E36" s="257"/>
      <c r="F36" s="257"/>
      <c r="G36" s="249">
        <v>51346.36</v>
      </c>
      <c r="H36" s="249">
        <v>190.2</v>
      </c>
      <c r="I36" s="257"/>
      <c r="J36" s="257"/>
      <c r="K36" s="257"/>
      <c r="L36" s="257"/>
      <c r="M36" s="249"/>
      <c r="N36" s="249"/>
      <c r="O36" s="249"/>
      <c r="P36" s="249"/>
      <c r="Q36" s="249"/>
      <c r="R36" s="249"/>
      <c r="S36" s="255">
        <v>100</v>
      </c>
      <c r="T36" s="275"/>
      <c r="U36" s="270">
        <f t="shared" si="37"/>
        <v>51446.36</v>
      </c>
      <c r="V36" s="527">
        <f t="shared" si="37"/>
        <v>190.2</v>
      </c>
      <c r="W36" s="273"/>
      <c r="X36" s="249">
        <v>52085.74</v>
      </c>
      <c r="Y36" s="273"/>
      <c r="Z36" s="273"/>
      <c r="AA36" s="249">
        <v>1723.99</v>
      </c>
      <c r="AB36" s="249">
        <v>513.1</v>
      </c>
      <c r="AC36" s="273"/>
      <c r="AD36" s="249"/>
      <c r="AE36" s="255">
        <v>28.84</v>
      </c>
      <c r="AF36" s="256">
        <f t="shared" si="38"/>
        <v>54351.66999999999</v>
      </c>
      <c r="AG36" s="262">
        <f t="shared" si="23"/>
        <v>54541.86999999999</v>
      </c>
      <c r="AH36" s="528">
        <v>0</v>
      </c>
      <c r="AI36" s="241">
        <f t="shared" si="24"/>
        <v>0</v>
      </c>
      <c r="AJ36" s="242">
        <f>'[15]Т11'!$J$31+'[15]Т11'!$J$43+'[15]Т11'!$J$121+'[15]Т11'!$J$138+'[15]Т11'!$J$170+'[15]Т11'!$J$263+'[15]Т11'!$J$295</f>
        <v>13759.23</v>
      </c>
      <c r="AK36" s="199">
        <f t="shared" si="39"/>
        <v>3957.7650000000003</v>
      </c>
      <c r="AL36" s="199">
        <f t="shared" si="26"/>
        <v>1055.4040000000002</v>
      </c>
      <c r="AM36" s="199">
        <f t="shared" si="27"/>
        <v>5277.02</v>
      </c>
      <c r="AN36" s="199">
        <f t="shared" si="28"/>
        <v>1108.1742000000002</v>
      </c>
      <c r="AO36" s="199">
        <f t="shared" si="29"/>
        <v>10659.5804</v>
      </c>
      <c r="AP36" s="199">
        <f t="shared" si="30"/>
        <v>5435.3306</v>
      </c>
      <c r="AQ36" s="199">
        <f t="shared" si="31"/>
        <v>3957.7650000000003</v>
      </c>
      <c r="AR36" s="199">
        <f t="shared" si="32"/>
        <v>3957.7650000000003</v>
      </c>
      <c r="AS36" s="272">
        <f>B36*1.15</f>
        <v>6068.573</v>
      </c>
      <c r="AT36" s="313">
        <f>0.45*1371</f>
        <v>616.95</v>
      </c>
      <c r="AU36" s="524">
        <v>15474</v>
      </c>
      <c r="AV36" s="244"/>
      <c r="AW36" s="244"/>
      <c r="AX36" s="244">
        <f>4064</f>
        <v>4064</v>
      </c>
      <c r="AY36" s="244"/>
      <c r="AZ36" s="244"/>
      <c r="BA36" s="99"/>
      <c r="BB36" s="243"/>
      <c r="BC36" s="314">
        <f>SUM(AK36:BB36)</f>
        <v>61632.3272</v>
      </c>
      <c r="BD36" s="319">
        <f>'[15]Т11'!$S$31+'[15]Т11'!$S$43+'[15]Т11'!$S$121+'[15]Т11'!$S$138+'[15]Т11'!$S$170+'[15]Т11'!$S$263+'[15]Т11'!$S$295</f>
        <v>7370.606</v>
      </c>
      <c r="BE36" s="205">
        <f t="shared" si="33"/>
        <v>69002.9332</v>
      </c>
      <c r="BF36" s="205">
        <f t="shared" si="34"/>
        <v>-701.8332000000082</v>
      </c>
      <c r="BG36" s="205">
        <f t="shared" si="35"/>
        <v>2905.3099999999904</v>
      </c>
    </row>
    <row r="37" spans="1:59" ht="13.5" thickBot="1">
      <c r="A37" s="227" t="s">
        <v>41</v>
      </c>
      <c r="B37" s="532">
        <v>5277.02</v>
      </c>
      <c r="C37" s="140">
        <f t="shared" si="36"/>
        <v>50184.4602</v>
      </c>
      <c r="D37" s="523"/>
      <c r="E37" s="249"/>
      <c r="F37" s="249"/>
      <c r="G37" s="249">
        <v>51491.39</v>
      </c>
      <c r="H37" s="249">
        <v>190.2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55">
        <v>100</v>
      </c>
      <c r="T37" s="275"/>
      <c r="U37" s="270">
        <f t="shared" si="37"/>
        <v>51591.39</v>
      </c>
      <c r="V37" s="527">
        <f t="shared" si="37"/>
        <v>190.2</v>
      </c>
      <c r="W37" s="273"/>
      <c r="X37" s="249">
        <v>62891.98</v>
      </c>
      <c r="Y37" s="249"/>
      <c r="Z37" s="249"/>
      <c r="AA37" s="249">
        <v>51.35</v>
      </c>
      <c r="AB37" s="249">
        <v>176.93</v>
      </c>
      <c r="AC37" s="249"/>
      <c r="AD37" s="249"/>
      <c r="AE37" s="255">
        <v>88.64</v>
      </c>
      <c r="AF37" s="256">
        <f t="shared" si="38"/>
        <v>63208.9</v>
      </c>
      <c r="AG37" s="262">
        <f t="shared" si="23"/>
        <v>63399.1</v>
      </c>
      <c r="AH37" s="528">
        <v>0</v>
      </c>
      <c r="AI37" s="241">
        <f t="shared" si="24"/>
        <v>0</v>
      </c>
      <c r="AJ37" s="242">
        <f>'[15]Т12'!$J$31+'[15]Т12'!$J$43+'[15]Т12'!$J$121+'[15]Т12'!$J$138+'[15]Т12'!$J$173+'[15]Т12'!$J$266+'[15]Т12'!$J$298</f>
        <v>13759.23</v>
      </c>
      <c r="AK37" s="199">
        <f t="shared" si="39"/>
        <v>3957.7650000000003</v>
      </c>
      <c r="AL37" s="199">
        <f t="shared" si="26"/>
        <v>1055.4040000000002</v>
      </c>
      <c r="AM37" s="199">
        <f t="shared" si="27"/>
        <v>5277.02</v>
      </c>
      <c r="AN37" s="199">
        <f t="shared" si="28"/>
        <v>1108.1742000000002</v>
      </c>
      <c r="AO37" s="199">
        <f t="shared" si="29"/>
        <v>10659.5804</v>
      </c>
      <c r="AP37" s="199">
        <f t="shared" si="30"/>
        <v>5435.3306</v>
      </c>
      <c r="AQ37" s="199">
        <f t="shared" si="31"/>
        <v>3957.7650000000003</v>
      </c>
      <c r="AR37" s="199">
        <f t="shared" si="32"/>
        <v>3957.7650000000003</v>
      </c>
      <c r="AS37" s="272">
        <f>B37*1.15</f>
        <v>6068.573</v>
      </c>
      <c r="AT37" s="313">
        <f>0.45*1371</f>
        <v>616.95</v>
      </c>
      <c r="AU37" s="524">
        <v>10055</v>
      </c>
      <c r="AV37" s="244"/>
      <c r="AW37" s="244"/>
      <c r="AX37" s="244">
        <f>356</f>
        <v>356</v>
      </c>
      <c r="AY37" s="244"/>
      <c r="AZ37" s="244"/>
      <c r="BA37" s="99"/>
      <c r="BB37" s="243"/>
      <c r="BC37" s="314">
        <f>SUM(AK37:BB37)</f>
        <v>52505.3272</v>
      </c>
      <c r="BD37" s="319">
        <f>'[15]Т12'!$S$31+'[15]Т12'!$S$43+'[15]Т12'!$S$121+'[15]Т12'!$S$138+'[15]Т12'!$S$173+'[15]Т12'!$S$266+'[15]Т12'!$S$298</f>
        <v>7370.606</v>
      </c>
      <c r="BE37" s="205">
        <f t="shared" si="33"/>
        <v>59875.9332</v>
      </c>
      <c r="BF37" s="205">
        <f t="shared" si="34"/>
        <v>17282.396800000002</v>
      </c>
      <c r="BG37" s="205">
        <f t="shared" si="35"/>
        <v>11617.510000000002</v>
      </c>
    </row>
    <row r="38" spans="1:59" s="16" customFormat="1" ht="13.5" thickBot="1">
      <c r="A38" s="276" t="s">
        <v>3</v>
      </c>
      <c r="B38" s="277"/>
      <c r="C38" s="278">
        <f aca="true" t="shared" si="40" ref="C38:AX38">SUM(C26:C37)</f>
        <v>571978.6991999999</v>
      </c>
      <c r="D38" s="278">
        <f t="shared" si="40"/>
        <v>3023.94</v>
      </c>
      <c r="E38" s="278">
        <f t="shared" si="40"/>
        <v>0</v>
      </c>
      <c r="F38" s="278">
        <f t="shared" si="40"/>
        <v>0</v>
      </c>
      <c r="G38" s="278">
        <f t="shared" si="40"/>
        <v>476924.8</v>
      </c>
      <c r="H38" s="278">
        <f t="shared" si="40"/>
        <v>1761.6000000000001</v>
      </c>
      <c r="I38" s="278">
        <f t="shared" si="40"/>
        <v>0</v>
      </c>
      <c r="J38" s="278">
        <f t="shared" si="40"/>
        <v>0</v>
      </c>
      <c r="K38" s="278">
        <f t="shared" si="40"/>
        <v>0</v>
      </c>
      <c r="L38" s="278">
        <f t="shared" si="40"/>
        <v>0</v>
      </c>
      <c r="M38" s="278">
        <f t="shared" si="40"/>
        <v>81077.91</v>
      </c>
      <c r="N38" s="278">
        <f t="shared" si="40"/>
        <v>301.21</v>
      </c>
      <c r="O38" s="278">
        <f t="shared" si="40"/>
        <v>28315.280000000002</v>
      </c>
      <c r="P38" s="278">
        <f t="shared" si="40"/>
        <v>104.41</v>
      </c>
      <c r="Q38" s="278">
        <f t="shared" si="40"/>
        <v>0</v>
      </c>
      <c r="R38" s="278">
        <f t="shared" si="40"/>
        <v>0</v>
      </c>
      <c r="S38" s="278">
        <f t="shared" si="40"/>
        <v>1200</v>
      </c>
      <c r="T38" s="278">
        <f t="shared" si="40"/>
        <v>0</v>
      </c>
      <c r="U38" s="278">
        <f t="shared" si="40"/>
        <v>587517.99</v>
      </c>
      <c r="V38" s="278">
        <f t="shared" si="40"/>
        <v>2167.2200000000003</v>
      </c>
      <c r="W38" s="278">
        <f t="shared" si="40"/>
        <v>0</v>
      </c>
      <c r="X38" s="278">
        <f t="shared" si="40"/>
        <v>470130.8</v>
      </c>
      <c r="Y38" s="278">
        <f t="shared" si="40"/>
        <v>0</v>
      </c>
      <c r="Z38" s="278">
        <f t="shared" si="40"/>
        <v>0</v>
      </c>
      <c r="AA38" s="278">
        <f t="shared" si="40"/>
        <v>93222.47000000003</v>
      </c>
      <c r="AB38" s="278">
        <f t="shared" si="40"/>
        <v>32319.159999999993</v>
      </c>
      <c r="AC38" s="278">
        <f t="shared" si="40"/>
        <v>0</v>
      </c>
      <c r="AD38" s="278">
        <f t="shared" si="40"/>
        <v>0</v>
      </c>
      <c r="AE38" s="278">
        <f t="shared" si="40"/>
        <v>1222.99</v>
      </c>
      <c r="AF38" s="278">
        <f t="shared" si="40"/>
        <v>596895.4199999999</v>
      </c>
      <c r="AG38" s="278">
        <f t="shared" si="40"/>
        <v>602086.58</v>
      </c>
      <c r="AH38" s="278">
        <f t="shared" si="40"/>
        <v>0</v>
      </c>
      <c r="AI38" s="278">
        <f t="shared" si="40"/>
        <v>0</v>
      </c>
      <c r="AJ38" s="278">
        <f t="shared" si="40"/>
        <v>161110.76</v>
      </c>
      <c r="AK38" s="278">
        <f t="shared" si="40"/>
        <v>44972.84639999999</v>
      </c>
      <c r="AL38" s="278">
        <f t="shared" si="40"/>
        <v>12668.447999999999</v>
      </c>
      <c r="AM38" s="278">
        <f t="shared" si="40"/>
        <v>63342.240000000005</v>
      </c>
      <c r="AN38" s="278">
        <f t="shared" si="40"/>
        <v>13301.870399999998</v>
      </c>
      <c r="AO38" s="278">
        <f t="shared" si="40"/>
        <v>127951.32480000002</v>
      </c>
      <c r="AP38" s="278">
        <f t="shared" si="40"/>
        <v>65242.5072</v>
      </c>
      <c r="AQ38" s="278">
        <f t="shared" si="40"/>
        <v>47506.679999999986</v>
      </c>
      <c r="AR38" s="278">
        <f t="shared" si="40"/>
        <v>47506.679999999986</v>
      </c>
      <c r="AS38" s="278">
        <f t="shared" si="40"/>
        <v>36419.71799999999</v>
      </c>
      <c r="AT38" s="278">
        <f t="shared" si="40"/>
        <v>7403.399999999999</v>
      </c>
      <c r="AU38" s="278">
        <f t="shared" si="40"/>
        <v>104190</v>
      </c>
      <c r="AV38" s="278">
        <f t="shared" si="40"/>
        <v>232.63</v>
      </c>
      <c r="AW38" s="278">
        <f>SUM(AW27:AW37)</f>
        <v>102906.47</v>
      </c>
      <c r="AX38" s="278">
        <f t="shared" si="40"/>
        <v>38753.0057</v>
      </c>
      <c r="AY38" s="278">
        <f>SUM(BA26:BA37)</f>
        <v>0</v>
      </c>
      <c r="AZ38" s="278">
        <f>SUM(BB26:BB37)</f>
        <v>0</v>
      </c>
      <c r="BA38" s="278">
        <f>SUM(BA26:BA37)</f>
        <v>0</v>
      </c>
      <c r="BB38" s="278">
        <f>SUM(BB26:BB37)</f>
        <v>0</v>
      </c>
      <c r="BC38" s="278">
        <f>SUM(BC26:BC37)</f>
        <v>712397.8204999999</v>
      </c>
      <c r="BD38" s="278">
        <f>SUM(BD26:BD37)</f>
        <v>87447.272</v>
      </c>
      <c r="BE38" s="278">
        <f>SUM(BE26:BE37)</f>
        <v>799845.0925</v>
      </c>
      <c r="BF38" s="278">
        <f>SUM(BF26:BF37)</f>
        <v>-36647.75249999995</v>
      </c>
      <c r="BG38" s="278">
        <f>SUM(BG26:BG37)</f>
        <v>9377.429999999978</v>
      </c>
    </row>
    <row r="39" spans="1:59" s="16" customFormat="1" ht="13.5" thickBot="1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1"/>
      <c r="BF39" s="280"/>
      <c r="BG39" s="282"/>
    </row>
    <row r="40" spans="1:59" s="16" customFormat="1" ht="13.5" thickBot="1">
      <c r="A40" s="18" t="s">
        <v>52</v>
      </c>
      <c r="B40" s="280"/>
      <c r="C40" s="283">
        <f aca="true" t="shared" si="41" ref="C40:BD40">C38+C24</f>
        <v>2347227.4302</v>
      </c>
      <c r="D40" s="283">
        <f t="shared" si="41"/>
        <v>391258.74630205</v>
      </c>
      <c r="E40" s="283">
        <f t="shared" si="41"/>
        <v>104558.89</v>
      </c>
      <c r="F40" s="283">
        <f t="shared" si="41"/>
        <v>21671.85</v>
      </c>
      <c r="G40" s="283">
        <f t="shared" si="41"/>
        <v>809326.92</v>
      </c>
      <c r="H40" s="283">
        <f t="shared" si="41"/>
        <v>2795.6000000000004</v>
      </c>
      <c r="I40" s="283">
        <f t="shared" si="41"/>
        <v>141545.09999999998</v>
      </c>
      <c r="J40" s="283">
        <f t="shared" si="41"/>
        <v>29341.61</v>
      </c>
      <c r="K40" s="283">
        <f t="shared" si="41"/>
        <v>235575.08000000002</v>
      </c>
      <c r="L40" s="283">
        <f t="shared" si="41"/>
        <v>48846.17</v>
      </c>
      <c r="M40" s="283">
        <f t="shared" si="41"/>
        <v>582770.0700000001</v>
      </c>
      <c r="N40" s="283">
        <f t="shared" si="41"/>
        <v>71431.47</v>
      </c>
      <c r="O40" s="283">
        <f t="shared" si="41"/>
        <v>168465.12</v>
      </c>
      <c r="P40" s="283">
        <f t="shared" si="41"/>
        <v>17633.250000000004</v>
      </c>
      <c r="Q40" s="283">
        <f t="shared" si="41"/>
        <v>0</v>
      </c>
      <c r="R40" s="283">
        <f t="shared" si="41"/>
        <v>0</v>
      </c>
      <c r="S40" s="283">
        <f t="shared" si="41"/>
        <v>2400</v>
      </c>
      <c r="T40" s="283">
        <f t="shared" si="41"/>
        <v>0</v>
      </c>
      <c r="U40" s="283">
        <f t="shared" si="41"/>
        <v>2044641.18</v>
      </c>
      <c r="V40" s="283">
        <f t="shared" si="41"/>
        <v>191702.55000000002</v>
      </c>
      <c r="W40" s="283">
        <f t="shared" si="41"/>
        <v>106630.18000000001</v>
      </c>
      <c r="X40" s="283">
        <f t="shared" si="41"/>
        <v>759641.31</v>
      </c>
      <c r="Y40" s="283">
        <f t="shared" si="41"/>
        <v>143370.93000000002</v>
      </c>
      <c r="Z40" s="283">
        <f t="shared" si="41"/>
        <v>234901.26</v>
      </c>
      <c r="AA40" s="283">
        <f t="shared" si="41"/>
        <v>573829.3200000001</v>
      </c>
      <c r="AB40" s="283">
        <f t="shared" si="41"/>
        <v>166599.17</v>
      </c>
      <c r="AC40" s="283">
        <f t="shared" si="41"/>
        <v>0</v>
      </c>
      <c r="AD40" s="283">
        <f t="shared" si="41"/>
        <v>0</v>
      </c>
      <c r="AE40" s="283">
        <f t="shared" si="41"/>
        <v>2366.1099999999997</v>
      </c>
      <c r="AF40" s="283">
        <f t="shared" si="41"/>
        <v>1987338.2799999998</v>
      </c>
      <c r="AG40" s="283">
        <f t="shared" si="41"/>
        <v>2570299.5763020497</v>
      </c>
      <c r="AH40" s="283">
        <f t="shared" si="41"/>
        <v>0</v>
      </c>
      <c r="AI40" s="283">
        <f t="shared" si="41"/>
        <v>0</v>
      </c>
      <c r="AJ40" s="283" t="e">
        <f t="shared" si="41"/>
        <v>#REF!</v>
      </c>
      <c r="AK40" s="283">
        <f t="shared" si="41"/>
        <v>171718.29119999998</v>
      </c>
      <c r="AL40" s="283">
        <f t="shared" si="41"/>
        <v>53587.06828399999</v>
      </c>
      <c r="AM40" s="283">
        <f t="shared" si="41"/>
        <v>266629.037729226</v>
      </c>
      <c r="AN40" s="283">
        <f t="shared" si="41"/>
        <v>26606.512799999997</v>
      </c>
      <c r="AO40" s="283">
        <f t="shared" si="41"/>
        <v>395507.0076950228</v>
      </c>
      <c r="AP40" s="283">
        <f t="shared" si="41"/>
        <v>442736.275181957</v>
      </c>
      <c r="AQ40" s="283">
        <f t="shared" si="41"/>
        <v>95023.25999999998</v>
      </c>
      <c r="AR40" s="283">
        <f t="shared" si="41"/>
        <v>95023.25999999998</v>
      </c>
      <c r="AS40" s="283">
        <f t="shared" si="41"/>
        <v>72851.166</v>
      </c>
      <c r="AT40" s="283">
        <f t="shared" si="41"/>
        <v>19742.399999999998</v>
      </c>
      <c r="AU40" s="283">
        <f t="shared" si="41"/>
        <v>359736.41000000003</v>
      </c>
      <c r="AV40" s="283">
        <f t="shared" si="41"/>
        <v>5328.63</v>
      </c>
      <c r="AW40" s="283">
        <f t="shared" si="41"/>
        <v>322599.7566</v>
      </c>
      <c r="AX40" s="283">
        <f t="shared" si="41"/>
        <v>224223.1723</v>
      </c>
      <c r="AY40" s="283">
        <f t="shared" si="41"/>
        <v>64504.442</v>
      </c>
      <c r="AZ40" s="283">
        <f t="shared" si="41"/>
        <v>0</v>
      </c>
      <c r="BA40" s="283">
        <f t="shared" si="41"/>
        <v>0</v>
      </c>
      <c r="BB40" s="283">
        <f t="shared" si="41"/>
        <v>0</v>
      </c>
      <c r="BC40" s="283">
        <f t="shared" si="41"/>
        <v>2615816.6897902056</v>
      </c>
      <c r="BD40" s="283">
        <f t="shared" si="41"/>
        <v>242907.61018420797</v>
      </c>
      <c r="BE40" s="284">
        <f>BE38+BE24-20791.12</f>
        <v>2817142.0599744134</v>
      </c>
      <c r="BF40" s="283">
        <f>BF38+BF24</f>
        <v>127501.35164763636</v>
      </c>
      <c r="BG40" s="285">
        <f>BG38+BG24</f>
        <v>-57302.90000000005</v>
      </c>
    </row>
    <row r="43" spans="49:50" ht="12.75">
      <c r="AW43" s="215">
        <v>99000</v>
      </c>
      <c r="AX43" s="304" t="s">
        <v>131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D10">
      <selection activeCell="I14" sqref="I14"/>
    </sheetView>
  </sheetViews>
  <sheetFormatPr defaultColWidth="9.00390625" defaultRowHeight="12.75"/>
  <cols>
    <col min="1" max="1" width="10.25390625" style="215" customWidth="1"/>
    <col min="2" max="2" width="10.375" style="215" customWidth="1"/>
    <col min="3" max="3" width="12.00390625" style="215" customWidth="1"/>
    <col min="4" max="4" width="10.75390625" style="215" customWidth="1"/>
    <col min="5" max="5" width="11.625" style="215" customWidth="1"/>
    <col min="6" max="6" width="9.875" style="215" customWidth="1"/>
    <col min="7" max="7" width="12.75390625" style="215" customWidth="1"/>
    <col min="8" max="9" width="11.375" style="215" customWidth="1"/>
    <col min="10" max="10" width="11.00390625" style="215" customWidth="1"/>
    <col min="11" max="11" width="9.875" style="215" customWidth="1"/>
    <col min="12" max="12" width="12.00390625" style="215" customWidth="1"/>
    <col min="13" max="13" width="10.125" style="215" customWidth="1"/>
    <col min="14" max="14" width="11.375" style="215" customWidth="1"/>
    <col min="15" max="15" width="12.625" style="215" customWidth="1"/>
    <col min="16" max="16" width="10.375" style="215" customWidth="1"/>
    <col min="17" max="17" width="10.75390625" style="215" customWidth="1"/>
    <col min="18" max="16384" width="9.125" style="215" customWidth="1"/>
  </cols>
  <sheetData>
    <row r="1" spans="2:9" ht="20.25" customHeight="1">
      <c r="B1" s="502" t="s">
        <v>53</v>
      </c>
      <c r="C1" s="502"/>
      <c r="D1" s="502"/>
      <c r="E1" s="502"/>
      <c r="F1" s="502"/>
      <c r="G1" s="502"/>
      <c r="H1" s="502"/>
      <c r="I1" s="20"/>
    </row>
    <row r="2" spans="2:12" ht="21" customHeight="1">
      <c r="B2" s="502" t="s">
        <v>54</v>
      </c>
      <c r="C2" s="502"/>
      <c r="D2" s="502"/>
      <c r="E2" s="502"/>
      <c r="F2" s="502"/>
      <c r="G2" s="502"/>
      <c r="H2" s="502"/>
      <c r="I2" s="20"/>
      <c r="K2" s="214"/>
      <c r="L2" s="214"/>
    </row>
    <row r="5" spans="1:14" ht="12.75">
      <c r="A5" s="444" t="s">
        <v>126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6" spans="1:14" ht="12.75">
      <c r="A6" s="423" t="s">
        <v>118</v>
      </c>
      <c r="B6" s="423"/>
      <c r="C6" s="423"/>
      <c r="D6" s="423"/>
      <c r="E6" s="423"/>
      <c r="F6" s="423"/>
      <c r="G6" s="423"/>
      <c r="H6" s="73"/>
      <c r="I6" s="73"/>
      <c r="J6" s="73"/>
      <c r="K6" s="73"/>
      <c r="L6" s="73"/>
      <c r="M6" s="73"/>
      <c r="N6" s="73"/>
    </row>
    <row r="7" spans="1:15" ht="13.5" thickBot="1">
      <c r="A7" s="503" t="s">
        <v>89</v>
      </c>
      <c r="B7" s="503"/>
      <c r="C7" s="503"/>
      <c r="D7" s="503"/>
      <c r="E7" s="503">
        <v>8.55</v>
      </c>
      <c r="F7" s="503"/>
      <c r="J7" s="286"/>
      <c r="K7" s="286"/>
      <c r="L7" s="286"/>
      <c r="M7" s="286"/>
      <c r="N7" s="286"/>
      <c r="O7" s="286"/>
    </row>
    <row r="8" spans="1:17" ht="12.75" customHeight="1">
      <c r="A8" s="454" t="s">
        <v>55</v>
      </c>
      <c r="B8" s="414" t="s">
        <v>0</v>
      </c>
      <c r="C8" s="417" t="s">
        <v>127</v>
      </c>
      <c r="D8" s="420" t="s">
        <v>2</v>
      </c>
      <c r="E8" s="434" t="s">
        <v>57</v>
      </c>
      <c r="F8" s="357"/>
      <c r="G8" s="498" t="s">
        <v>119</v>
      </c>
      <c r="H8" s="499"/>
      <c r="I8" s="515" t="s">
        <v>120</v>
      </c>
      <c r="J8" s="518" t="s">
        <v>8</v>
      </c>
      <c r="K8" s="519"/>
      <c r="L8" s="519"/>
      <c r="M8" s="519"/>
      <c r="N8" s="519"/>
      <c r="O8" s="520"/>
      <c r="P8" s="504" t="s">
        <v>58</v>
      </c>
      <c r="Q8" s="504" t="s">
        <v>10</v>
      </c>
    </row>
    <row r="9" spans="1:17" ht="12.75">
      <c r="A9" s="455"/>
      <c r="B9" s="415"/>
      <c r="C9" s="418"/>
      <c r="D9" s="421"/>
      <c r="E9" s="435"/>
      <c r="F9" s="436"/>
      <c r="G9" s="500"/>
      <c r="H9" s="501"/>
      <c r="I9" s="516"/>
      <c r="J9" s="521"/>
      <c r="K9" s="522"/>
      <c r="L9" s="522"/>
      <c r="M9" s="522"/>
      <c r="N9" s="522"/>
      <c r="O9" s="410"/>
      <c r="P9" s="505"/>
      <c r="Q9" s="505"/>
    </row>
    <row r="10" spans="1:17" ht="26.25" customHeight="1">
      <c r="A10" s="455"/>
      <c r="B10" s="415"/>
      <c r="C10" s="418"/>
      <c r="D10" s="421"/>
      <c r="E10" s="451" t="s">
        <v>59</v>
      </c>
      <c r="F10" s="379"/>
      <c r="G10" s="287" t="s">
        <v>60</v>
      </c>
      <c r="H10" s="507" t="s">
        <v>5</v>
      </c>
      <c r="I10" s="516"/>
      <c r="J10" s="442" t="s">
        <v>61</v>
      </c>
      <c r="K10" s="432" t="s">
        <v>121</v>
      </c>
      <c r="L10" s="432" t="s">
        <v>62</v>
      </c>
      <c r="M10" s="432" t="s">
        <v>35</v>
      </c>
      <c r="N10" s="433" t="s">
        <v>122</v>
      </c>
      <c r="O10" s="508" t="s">
        <v>37</v>
      </c>
      <c r="P10" s="505"/>
      <c r="Q10" s="505"/>
    </row>
    <row r="11" spans="1:17" ht="66.75" customHeight="1" thickBot="1">
      <c r="A11" s="456"/>
      <c r="B11" s="416"/>
      <c r="C11" s="419"/>
      <c r="D11" s="422"/>
      <c r="E11" s="50" t="s">
        <v>64</v>
      </c>
      <c r="F11" s="53" t="s">
        <v>19</v>
      </c>
      <c r="G11" s="190" t="s">
        <v>123</v>
      </c>
      <c r="H11" s="508"/>
      <c r="I11" s="517"/>
      <c r="J11" s="443"/>
      <c r="K11" s="433"/>
      <c r="L11" s="433"/>
      <c r="M11" s="433"/>
      <c r="N11" s="511"/>
      <c r="O11" s="512"/>
      <c r="P11" s="506"/>
      <c r="Q11" s="506"/>
    </row>
    <row r="12" spans="1:17" ht="13.5" thickBot="1">
      <c r="A12" s="51">
        <v>1</v>
      </c>
      <c r="B12" s="52">
        <v>2</v>
      </c>
      <c r="C12" s="51">
        <v>3</v>
      </c>
      <c r="D12" s="52">
        <v>4</v>
      </c>
      <c r="E12" s="76">
        <v>5</v>
      </c>
      <c r="F12" s="75">
        <v>6</v>
      </c>
      <c r="G12" s="76">
        <v>7</v>
      </c>
      <c r="H12" s="75">
        <v>8</v>
      </c>
      <c r="I12" s="74">
        <v>9</v>
      </c>
      <c r="J12" s="76">
        <v>10</v>
      </c>
      <c r="K12" s="75">
        <v>11</v>
      </c>
      <c r="L12" s="74">
        <v>12</v>
      </c>
      <c r="M12" s="51">
        <v>13</v>
      </c>
      <c r="N12" s="76">
        <v>14</v>
      </c>
      <c r="O12" s="75">
        <v>15</v>
      </c>
      <c r="P12" s="74">
        <v>16</v>
      </c>
      <c r="Q12" s="75">
        <v>17</v>
      </c>
    </row>
    <row r="13" spans="1:17" ht="13.5" thickBot="1">
      <c r="A13" s="513" t="s">
        <v>94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288"/>
      <c r="P13" s="289"/>
      <c r="Q13" s="289"/>
    </row>
    <row r="14" spans="1:19" s="16" customFormat="1" ht="13.5" thickBot="1">
      <c r="A14" s="63" t="s">
        <v>52</v>
      </c>
      <c r="B14" s="33"/>
      <c r="C14" s="34">
        <f>'2011 полн'!C8</f>
        <v>1233559.719</v>
      </c>
      <c r="D14" s="34">
        <f>'2011 полн'!D8</f>
        <v>284080.13430205</v>
      </c>
      <c r="E14" s="34">
        <f>'2011 полн'!U8</f>
        <v>905536.96</v>
      </c>
      <c r="F14" s="34">
        <f>'2011 полн'!V8</f>
        <v>187775.13</v>
      </c>
      <c r="G14" s="34">
        <f>'2011 полн'!AF8</f>
        <v>859141.5800000001</v>
      </c>
      <c r="H14" s="34">
        <f>'2011 полн'!AG8</f>
        <v>1330996.8443020498</v>
      </c>
      <c r="I14" s="34" t="e">
        <f>'2011 полн'!AJ8</f>
        <v>#REF!</v>
      </c>
      <c r="J14" s="34">
        <f>'2011 полн'!AK8</f>
        <v>84297.29999999999</v>
      </c>
      <c r="K14" s="34">
        <f>'2011 полн'!AL8</f>
        <v>28247.532284</v>
      </c>
      <c r="L14" s="34">
        <f>'2011 полн'!AM8+'2011 полн'!AO8+'2011 полн'!AP8+'2011 полн'!AT8+'2011 полн'!AS8+'2011 полн'!AX8+'2011 полн'!AY8+22591.8</f>
        <v>797774.3152062059</v>
      </c>
      <c r="M14" s="34">
        <f>'2011 полн'!AU8+'2011 полн'!AV8+'2011 полн'!AW8</f>
        <v>434695.6966</v>
      </c>
      <c r="N14" s="34">
        <f>'2011 полн'!BD8</f>
        <v>69713.06618420797</v>
      </c>
      <c r="O14" s="34">
        <f>SUM(J14:N14)</f>
        <v>1414727.910274414</v>
      </c>
      <c r="P14" s="34">
        <f>'2011 полн'!BF8</f>
        <v>72396.03334763623</v>
      </c>
      <c r="Q14" s="34">
        <f>'2011 полн'!BG8</f>
        <v>-46395.38000000002</v>
      </c>
      <c r="R14" s="57"/>
      <c r="S14" s="56"/>
    </row>
    <row r="15" spans="1:19" ht="12.75">
      <c r="A15" s="7" t="s">
        <v>117</v>
      </c>
      <c r="B15" s="290"/>
      <c r="C15" s="35"/>
      <c r="D15" s="36"/>
      <c r="E15" s="291"/>
      <c r="F15" s="292"/>
      <c r="G15" s="293"/>
      <c r="H15" s="292"/>
      <c r="I15" s="294"/>
      <c r="J15" s="293"/>
      <c r="K15" s="295"/>
      <c r="L15" s="295"/>
      <c r="M15" s="296"/>
      <c r="N15" s="297"/>
      <c r="O15" s="298"/>
      <c r="P15" s="299"/>
      <c r="Q15" s="299"/>
      <c r="R15" s="214"/>
      <c r="S15" s="214"/>
    </row>
    <row r="16" spans="1:19" ht="12.75">
      <c r="A16" s="227" t="s">
        <v>43</v>
      </c>
      <c r="B16" s="300">
        <f>'2011 полн'!B10</f>
        <v>5282.42</v>
      </c>
      <c r="C16" s="23">
        <f>'2011 полн'!C10</f>
        <v>45164.691000000006</v>
      </c>
      <c r="D16" s="24">
        <f>'2011 полн'!D10</f>
        <v>438.294</v>
      </c>
      <c r="E16" s="295">
        <f>'2011 полн'!U10</f>
        <v>46070.40000000001</v>
      </c>
      <c r="F16" s="295">
        <f>'2011 полн'!V10</f>
        <v>67.6</v>
      </c>
      <c r="G16" s="301">
        <f>'2011 полн'!AF10</f>
        <v>31899.940000000002</v>
      </c>
      <c r="H16" s="301">
        <f>'2011 полн'!AG10</f>
        <v>32405.834000000003</v>
      </c>
      <c r="I16" s="301">
        <f>'2011 полн'!AJ10</f>
        <v>10353.635999999999</v>
      </c>
      <c r="J16" s="301">
        <f>'2011 полн'!AK10</f>
        <v>3539.2214000000004</v>
      </c>
      <c r="K16" s="295">
        <f>'2011 полн'!AL10</f>
        <v>1056.4840000000002</v>
      </c>
      <c r="L16" s="295">
        <f>'2011 полн'!AM10+'2011 полн'!AN10+'2011 полн'!AO10+'2011 полн'!AP10+'2011 полн'!AQ10+'2011 полн'!AR10+'2011 полн'!AS10+'2011 полн'!AT10+'2011 полн'!AX10</f>
        <v>61414.782199999994</v>
      </c>
      <c r="M16" s="296">
        <f>'2011 полн'!AV10+'2011 полн'!AW10+'2011 полн'!AX10+'2011 полн'!AU10</f>
        <v>28814.260000000002</v>
      </c>
      <c r="N16" s="302">
        <f>'2011 полн'!BD10</f>
        <v>7370.562</v>
      </c>
      <c r="O16" s="298">
        <f>SUM(J16:N16)</f>
        <v>102195.30960000001</v>
      </c>
      <c r="P16" s="299">
        <f>'2011 полн'!BF10</f>
        <v>-34522.5796</v>
      </c>
      <c r="Q16" s="299">
        <f>'2011 полн'!BG10</f>
        <v>-14170.460000000006</v>
      </c>
      <c r="R16" s="214"/>
      <c r="S16" s="214"/>
    </row>
    <row r="17" spans="1:19" ht="12.75">
      <c r="A17" s="227" t="s">
        <v>44</v>
      </c>
      <c r="B17" s="300">
        <f>'2011 полн'!B11</f>
        <v>5280.32</v>
      </c>
      <c r="C17" s="23">
        <f>'2011 полн'!C11</f>
        <v>45146.736000000004</v>
      </c>
      <c r="D17" s="24">
        <f>'2011 полн'!D11</f>
        <v>438.294</v>
      </c>
      <c r="E17" s="295">
        <f>'2011 полн'!U11</f>
        <v>45015.65</v>
      </c>
      <c r="F17" s="295">
        <f>'2011 полн'!V11</f>
        <v>0</v>
      </c>
      <c r="G17" s="301">
        <f>'2011 полн'!AF11</f>
        <v>42295.94</v>
      </c>
      <c r="H17" s="301">
        <f>'2011 полн'!AG11</f>
        <v>42734.234000000004</v>
      </c>
      <c r="I17" s="301">
        <f>'2011 полн'!AJ11</f>
        <v>9659.7</v>
      </c>
      <c r="J17" s="301">
        <f>'2011 полн'!AK11</f>
        <v>3537.8144</v>
      </c>
      <c r="K17" s="295">
        <f>'2011 полн'!AL11</f>
        <v>1056.064</v>
      </c>
      <c r="L17" s="295">
        <f>'2011 полн'!AM11+'2011 полн'!AN11+'2011 полн'!AO11+'2011 полн'!AP11+'2011 полн'!AQ11+'2011 полн'!AR11+'2011 полн'!AS11+'2011 полн'!AT11+'2011 полн'!AX11</f>
        <v>38597.851200000005</v>
      </c>
      <c r="M17" s="296">
        <f>'2011 полн'!AV11+'2011 полн'!AW11+'2011 полн'!AX11+'2011 полн'!AU11</f>
        <v>13412.84</v>
      </c>
      <c r="N17" s="302">
        <f>'2011 полн'!BD11</f>
        <v>6870.65</v>
      </c>
      <c r="O17" s="298">
        <f aca="true" t="shared" si="0" ref="O17:O27">SUM(J17:N17)</f>
        <v>63475.219600000004</v>
      </c>
      <c r="P17" s="299">
        <f>'2011 полн'!BF11</f>
        <v>-8970.4456</v>
      </c>
      <c r="Q17" s="299">
        <f>'2011 полн'!BG11</f>
        <v>-2719.709999999999</v>
      </c>
      <c r="R17" s="214"/>
      <c r="S17" s="214"/>
    </row>
    <row r="18" spans="1:19" ht="12.75">
      <c r="A18" s="227" t="s">
        <v>45</v>
      </c>
      <c r="B18" s="300">
        <f>'2011 полн'!B12</f>
        <v>5279.32</v>
      </c>
      <c r="C18" s="23">
        <f>'2011 полн'!C12</f>
        <v>45138.186</v>
      </c>
      <c r="D18" s="24">
        <f>'2011 полн'!D12</f>
        <v>438.294</v>
      </c>
      <c r="E18" s="295">
        <f>'2011 полн'!U12</f>
        <v>46167.509999999995</v>
      </c>
      <c r="F18" s="295">
        <f>'2011 полн'!V12</f>
        <v>171.00000000000003</v>
      </c>
      <c r="G18" s="301">
        <f>'2011 полн'!AF12</f>
        <v>44803.7</v>
      </c>
      <c r="H18" s="301">
        <f>'2011 полн'!AG12</f>
        <v>45412.994</v>
      </c>
      <c r="I18" s="301">
        <f>'2011 полн'!AJ12</f>
        <v>10006.668</v>
      </c>
      <c r="J18" s="301">
        <f>'2011 полн'!AK12</f>
        <v>3537.1444</v>
      </c>
      <c r="K18" s="295">
        <f>'2011 полн'!AL12</f>
        <v>1055.864</v>
      </c>
      <c r="L18" s="295">
        <f>'2011 полн'!AM12+'2011 полн'!AN12+'2011 полн'!AO12+'2011 полн'!AP12+'2011 полн'!AQ12+'2011 полн'!AR12+'2011 полн'!AS12+'2011 полн'!AT12+'2011 полн'!AX12</f>
        <v>36778.5812</v>
      </c>
      <c r="M18" s="296">
        <f>'2011 полн'!AV12+'2011 полн'!AW12+'2011 полн'!AX12+'2011 полн'!AU12</f>
        <v>9634.48</v>
      </c>
      <c r="N18" s="302">
        <f>'2011 полн'!BD12</f>
        <v>7120.606</v>
      </c>
      <c r="O18" s="298">
        <f t="shared" si="0"/>
        <v>58126.6756</v>
      </c>
      <c r="P18" s="299">
        <f>'2011 полн'!BF12</f>
        <v>-2408.5336000000025</v>
      </c>
      <c r="Q18" s="299">
        <f>'2011 полн'!BG12</f>
        <v>-1363.8099999999977</v>
      </c>
      <c r="R18" s="214"/>
      <c r="S18" s="214"/>
    </row>
    <row r="19" spans="1:19" ht="12.75">
      <c r="A19" s="227" t="s">
        <v>46</v>
      </c>
      <c r="B19" s="300">
        <f>'2011 полн'!B13</f>
        <v>5279.32</v>
      </c>
      <c r="C19" s="23">
        <f>'2011 полн'!C13</f>
        <v>45138.186</v>
      </c>
      <c r="D19" s="24">
        <f>'2011 полн'!D13</f>
        <v>438.294</v>
      </c>
      <c r="E19" s="295">
        <f>'2011 полн'!U13</f>
        <v>45786.08</v>
      </c>
      <c r="F19" s="295">
        <f>'2011 полн'!V13</f>
        <v>171.00000000000003</v>
      </c>
      <c r="G19" s="301">
        <f>'2011 полн'!AF13</f>
        <v>42198.67</v>
      </c>
      <c r="H19" s="301">
        <f>'2011 полн'!AG13</f>
        <v>42807.964</v>
      </c>
      <c r="I19" s="301">
        <f>'2011 полн'!AJ13</f>
        <v>10006.668</v>
      </c>
      <c r="J19" s="301">
        <f>'2011 полн'!AK13</f>
        <v>3537.1444</v>
      </c>
      <c r="K19" s="295">
        <f>'2011 полн'!AL13</f>
        <v>1055.864</v>
      </c>
      <c r="L19" s="295">
        <f>'2011 полн'!AM13+'2011 полн'!AN13+'2011 полн'!AO13+'2011 полн'!AP13+'2011 полн'!AQ13+'2011 полн'!AR13+'2011 полн'!AS13+'2011 полн'!AT13+'2011 полн'!AX13</f>
        <v>53507.8832</v>
      </c>
      <c r="M19" s="296">
        <f>'2011 полн'!AV13+'2011 полн'!AW13+'2011 полн'!AX13+'2011 полн'!AU13</f>
        <v>25803</v>
      </c>
      <c r="N19" s="302">
        <f>'2011 полн'!BD13</f>
        <v>7120.606</v>
      </c>
      <c r="O19" s="298">
        <f t="shared" si="0"/>
        <v>91024.4976</v>
      </c>
      <c r="P19" s="299">
        <f>'2011 полн'!BF13</f>
        <v>-15110.865600000005</v>
      </c>
      <c r="Q19" s="299">
        <f>'2011 полн'!BG13</f>
        <v>-3587.4100000000035</v>
      </c>
      <c r="R19" s="214"/>
      <c r="S19" s="214"/>
    </row>
    <row r="20" spans="1:19" ht="12.75">
      <c r="A20" s="227" t="s">
        <v>47</v>
      </c>
      <c r="B20" s="300">
        <f>'2011 полн'!B14</f>
        <v>5279.32</v>
      </c>
      <c r="C20" s="23">
        <f>'2011 полн'!C14</f>
        <v>45138.186</v>
      </c>
      <c r="D20" s="24">
        <f>'2011 полн'!D14</f>
        <v>438.294</v>
      </c>
      <c r="E20" s="295">
        <f>'2011 полн'!U14</f>
        <v>45795.689999999995</v>
      </c>
      <c r="F20" s="295">
        <f>'2011 полн'!V14</f>
        <v>153.60000000000002</v>
      </c>
      <c r="G20" s="301">
        <f>'2011 полн'!AF14</f>
        <v>47882.719999999994</v>
      </c>
      <c r="H20" s="301">
        <f>'2011 полн'!AG14</f>
        <v>48474.613999999994</v>
      </c>
      <c r="I20" s="301">
        <f>'2011 полн'!AJ14</f>
        <v>10006.668</v>
      </c>
      <c r="J20" s="301">
        <f>'2011 полн'!AK14</f>
        <v>3537.1444</v>
      </c>
      <c r="K20" s="295">
        <f>'2011 полн'!AL14</f>
        <v>1055.864</v>
      </c>
      <c r="L20" s="295">
        <f>'2011 полн'!AM14+'2011 полн'!AN14+'2011 полн'!AO14+'2011 полн'!AP14+'2011 полн'!AQ14+'2011 полн'!AR14+'2011 полн'!AS14+'2011 полн'!AT14+'2011 полн'!AX14</f>
        <v>31034.333199999997</v>
      </c>
      <c r="M20" s="296">
        <f>'2011 полн'!AV14+'2011 полн'!AW14+'2011 полн'!AX14+'2011 полн'!AU14</f>
        <v>8.5</v>
      </c>
      <c r="N20" s="302">
        <f>'2011 полн'!BD14</f>
        <v>7120.606</v>
      </c>
      <c r="O20" s="298">
        <f t="shared" si="0"/>
        <v>42756.4476</v>
      </c>
      <c r="P20" s="299">
        <f>'2011 полн'!BF14</f>
        <v>15733.3344</v>
      </c>
      <c r="Q20" s="299">
        <f>'2011 полн'!BG14</f>
        <v>2087.029999999999</v>
      </c>
      <c r="R20" s="214"/>
      <c r="S20" s="214"/>
    </row>
    <row r="21" spans="1:19" ht="12.75">
      <c r="A21" s="227" t="s">
        <v>48</v>
      </c>
      <c r="B21" s="300">
        <f>'2011 полн'!B15</f>
        <v>5279.32</v>
      </c>
      <c r="C21" s="23">
        <f>'2011 полн'!C15</f>
        <v>45138.186</v>
      </c>
      <c r="D21" s="24">
        <f>'2011 полн'!D15</f>
        <v>438.294</v>
      </c>
      <c r="E21" s="295">
        <f>'2011 полн'!U15</f>
        <v>45699.99</v>
      </c>
      <c r="F21" s="295">
        <f>'2011 полн'!V15</f>
        <v>171.00000000000003</v>
      </c>
      <c r="G21" s="301">
        <f>'2011 полн'!AF15</f>
        <v>39764.69</v>
      </c>
      <c r="H21" s="301">
        <f>'2011 полн'!AG15</f>
        <v>40373.984000000004</v>
      </c>
      <c r="I21" s="301">
        <f>'2011 полн'!AJ15</f>
        <v>10006.668</v>
      </c>
      <c r="J21" s="301">
        <f>'2011 полн'!AK15</f>
        <v>3537.1444</v>
      </c>
      <c r="K21" s="295">
        <f>'2011 полн'!AL15</f>
        <v>1055.864</v>
      </c>
      <c r="L21" s="295">
        <f>'2011 полн'!AM15+'2011 полн'!AN15+'2011 полн'!AO15+'2011 полн'!AP15+'2011 полн'!AQ15+'2011 полн'!AR15+'2011 полн'!AS15+'2011 полн'!AT15+'2011 полн'!AX15</f>
        <v>46525.833199999994</v>
      </c>
      <c r="M21" s="296">
        <f>'2011 полн'!AV15+'2011 полн'!AW15+'2011 полн'!AX15+'2011 полн'!AU15</f>
        <v>15500</v>
      </c>
      <c r="N21" s="302">
        <f>'2011 полн'!BD15</f>
        <v>7120.606</v>
      </c>
      <c r="O21" s="298">
        <f t="shared" si="0"/>
        <v>73739.44759999998</v>
      </c>
      <c r="P21" s="299">
        <f>'2011 полн'!BF15</f>
        <v>-7858.79559999999</v>
      </c>
      <c r="Q21" s="299">
        <f>'2011 полн'!BG15</f>
        <v>-5935.299999999996</v>
      </c>
      <c r="R21" s="214"/>
      <c r="S21" s="214"/>
    </row>
    <row r="22" spans="1:17" ht="12.75">
      <c r="A22" s="227" t="s">
        <v>49</v>
      </c>
      <c r="B22" s="300">
        <f>'2011 полн'!B16</f>
        <v>5279.32</v>
      </c>
      <c r="C22" s="23">
        <f>'2011 полн'!C16</f>
        <v>45138.186</v>
      </c>
      <c r="D22" s="24">
        <f>'2011 полн'!D16</f>
        <v>438.294</v>
      </c>
      <c r="E22" s="295">
        <f>'2011 полн'!U16</f>
        <v>45675.36</v>
      </c>
      <c r="F22" s="295">
        <f>'2011 полн'!V16</f>
        <v>171.00000000000003</v>
      </c>
      <c r="G22" s="301">
        <f>'2011 полн'!AF16</f>
        <v>51449.71</v>
      </c>
      <c r="H22" s="301">
        <f>'2011 полн'!AG16</f>
        <v>52059.004</v>
      </c>
      <c r="I22" s="301">
        <f>'2011 полн'!AJ16</f>
        <v>10006.668</v>
      </c>
      <c r="J22" s="301">
        <f>'2011 полн'!AK16</f>
        <v>3537.1444</v>
      </c>
      <c r="K22" s="295">
        <f>'2011 полн'!AL16</f>
        <v>1055.864</v>
      </c>
      <c r="L22" s="295">
        <f>'2011 полн'!AM16+'2011 полн'!AN16+'2011 полн'!AO16+'2011 полн'!AP16+'2011 полн'!AQ16+'2011 полн'!AR16+'2011 полн'!AS16+'2011 полн'!AT16+'2011 полн'!AX16</f>
        <v>31159.8232</v>
      </c>
      <c r="M22" s="296">
        <f>'2011 полн'!AV16+'2011 полн'!AW16+'2011 полн'!AX16+'2011 полн'!AU16</f>
        <v>1552.99</v>
      </c>
      <c r="N22" s="302">
        <f>'2011 полн'!BD16</f>
        <v>7120.606</v>
      </c>
      <c r="O22" s="298">
        <f t="shared" si="0"/>
        <v>44426.427599999995</v>
      </c>
      <c r="P22" s="299">
        <f>'2011 полн'!BF16</f>
        <v>17773.23440000001</v>
      </c>
      <c r="Q22" s="299">
        <f>'2011 полн'!BG16</f>
        <v>5774.3499999999985</v>
      </c>
    </row>
    <row r="23" spans="1:17" ht="12.75">
      <c r="A23" s="227" t="s">
        <v>50</v>
      </c>
      <c r="B23" s="300">
        <f>'2011 полн'!B17</f>
        <v>5279.32</v>
      </c>
      <c r="C23" s="23">
        <f>'2011 полн'!C17</f>
        <v>45138.186</v>
      </c>
      <c r="D23" s="24">
        <f>'2011 полн'!D17</f>
        <v>438.294</v>
      </c>
      <c r="E23" s="295">
        <f>'2011 полн'!U17</f>
        <v>45688.18</v>
      </c>
      <c r="F23" s="295">
        <f>'2011 полн'!V17</f>
        <v>171.00000000000003</v>
      </c>
      <c r="G23" s="301">
        <f>'2011 полн'!AF17</f>
        <v>46795.8</v>
      </c>
      <c r="H23" s="301">
        <f>'2011 полн'!AG17</f>
        <v>47405.094000000005</v>
      </c>
      <c r="I23" s="301">
        <f>'2011 полн'!AJ17</f>
        <v>10006.668</v>
      </c>
      <c r="J23" s="301">
        <f>'2011 полн'!AK17</f>
        <v>3537.1444</v>
      </c>
      <c r="K23" s="295">
        <f>'2011 полн'!AL17</f>
        <v>1055.864</v>
      </c>
      <c r="L23" s="295">
        <f>'2011 полн'!AM17+'2011 полн'!AN17+'2011 полн'!AO17+'2011 полн'!AP17+'2011 полн'!AQ17+'2011 полн'!AR17+'2011 полн'!AS17+'2011 полн'!AT17+'2011 полн'!AX17</f>
        <v>35172.4332</v>
      </c>
      <c r="M23" s="296">
        <f>'2011 полн'!AV17+'2011 полн'!AW17+'2011 полн'!AX17+'2011 полн'!AU17</f>
        <v>4146.6</v>
      </c>
      <c r="N23" s="302">
        <f>'2011 полн'!BD17</f>
        <v>7120.606</v>
      </c>
      <c r="O23" s="298">
        <f t="shared" si="0"/>
        <v>51032.6476</v>
      </c>
      <c r="P23" s="299">
        <f>'2011 полн'!BF17</f>
        <v>10525.714400000012</v>
      </c>
      <c r="Q23" s="299">
        <f>'2011 полн'!BG17</f>
        <v>1107.6200000000026</v>
      </c>
    </row>
    <row r="24" spans="1:17" ht="12.75">
      <c r="A24" s="227" t="s">
        <v>51</v>
      </c>
      <c r="B24" s="300">
        <f>'2011 полн'!B18</f>
        <v>5279.32</v>
      </c>
      <c r="C24" s="23">
        <f>'2011 полн'!C18</f>
        <v>45138.186</v>
      </c>
      <c r="D24" s="24">
        <f>'2011 полн'!D18</f>
        <v>412.08</v>
      </c>
      <c r="E24" s="295">
        <f>'2011 полн'!U18</f>
        <v>46559.06</v>
      </c>
      <c r="F24" s="295">
        <f>'2011 полн'!V18</f>
        <v>0</v>
      </c>
      <c r="G24" s="301">
        <f>'2011 полн'!AF18</f>
        <v>43817</v>
      </c>
      <c r="H24" s="301">
        <f>'2011 полн'!AG18</f>
        <v>44229.08</v>
      </c>
      <c r="I24" s="301">
        <f>'2011 полн'!AJ18</f>
        <v>10006.668</v>
      </c>
      <c r="J24" s="301">
        <f>'2011 полн'!AK18</f>
        <v>3537.1444</v>
      </c>
      <c r="K24" s="295">
        <f>'2011 полн'!AL18</f>
        <v>1055.864</v>
      </c>
      <c r="L24" s="295">
        <f>'2011 полн'!AM18+'2011 полн'!AN18+'2011 полн'!AO18+'2011 полн'!AP18+'2011 полн'!AQ18+'2011 полн'!AR18+'2011 полн'!AS18+'2011 полн'!AT18+'2011 полн'!AX18</f>
        <v>31984.043199999996</v>
      </c>
      <c r="M24" s="296">
        <f>'2011 полн'!AV18+'2011 полн'!AW18+'2011 полн'!AX18+'2011 полн'!AU18</f>
        <v>2431.21</v>
      </c>
      <c r="N24" s="302">
        <f>'2011 полн'!BD18</f>
        <v>7120.606</v>
      </c>
      <c r="O24" s="298">
        <f t="shared" si="0"/>
        <v>46128.8676</v>
      </c>
      <c r="P24" s="299">
        <f>'2011 полн'!BF18</f>
        <v>9065.090400000008</v>
      </c>
      <c r="Q24" s="299">
        <f>'2011 полн'!BG18</f>
        <v>-2742.0599999999977</v>
      </c>
    </row>
    <row r="25" spans="1:17" ht="12.75">
      <c r="A25" s="227" t="s">
        <v>39</v>
      </c>
      <c r="B25" s="300">
        <f>'2011 полн'!B19</f>
        <v>5279.32</v>
      </c>
      <c r="C25" s="23">
        <f>'2011 полн'!C19</f>
        <v>45138.186</v>
      </c>
      <c r="D25" s="24">
        <f>'2011 полн'!D19</f>
        <v>412.08</v>
      </c>
      <c r="E25" s="295">
        <f>'2011 полн'!U19</f>
        <v>46232.770000000004</v>
      </c>
      <c r="F25" s="295">
        <f>'2011 полн'!V19</f>
        <v>327.46</v>
      </c>
      <c r="G25" s="301">
        <f>'2011 полн'!AF19</f>
        <v>47046.92</v>
      </c>
      <c r="H25" s="301">
        <f>'2011 полн'!AG19</f>
        <v>47786.46</v>
      </c>
      <c r="I25" s="301">
        <f>'2011 полн'!AJ19</f>
        <v>10006.668</v>
      </c>
      <c r="J25" s="301">
        <f>'2011 полн'!AK19</f>
        <v>3537.1444</v>
      </c>
      <c r="K25" s="295">
        <f>'2011 полн'!AL19</f>
        <v>1055.864</v>
      </c>
      <c r="L25" s="295">
        <f>'2011 полн'!AM19+'2011 полн'!AN19+'2011 полн'!AO19+'2011 полн'!AP19+'2011 полн'!AQ19+'2011 полн'!AR19+'2011 полн'!AS19+'2011 полн'!AT19+'2011 полн'!AX19</f>
        <v>38502.381199999996</v>
      </c>
      <c r="M25" s="296">
        <f>'2011 полн'!AV19+'2011 полн'!AW19+'2011 полн'!AX19+'2011 полн'!AU19</f>
        <v>2220.33</v>
      </c>
      <c r="N25" s="302">
        <f>'2011 полн'!BD19</f>
        <v>7120.606</v>
      </c>
      <c r="O25" s="298">
        <f t="shared" si="0"/>
        <v>52436.3256</v>
      </c>
      <c r="P25" s="299">
        <f>'2011 полн'!BF19</f>
        <v>6762.132400000002</v>
      </c>
      <c r="Q25" s="299">
        <f>'2011 полн'!BG19</f>
        <v>814.1499999999942</v>
      </c>
    </row>
    <row r="26" spans="1:17" ht="12.75">
      <c r="A26" s="227" t="s">
        <v>40</v>
      </c>
      <c r="B26" s="300">
        <f>'2011 полн'!B20</f>
        <v>5279.32</v>
      </c>
      <c r="C26" s="23">
        <f>'2011 полн'!C20</f>
        <v>45138.186</v>
      </c>
      <c r="D26" s="24">
        <f>'2011 полн'!D20</f>
        <v>412.08</v>
      </c>
      <c r="E26" s="295">
        <f>'2011 полн'!U20</f>
        <v>46404.93000000001</v>
      </c>
      <c r="F26" s="295">
        <f>'2011 полн'!V20</f>
        <v>171.00000000000003</v>
      </c>
      <c r="G26" s="301">
        <f>'2011 полн'!AF20</f>
        <v>41107.11</v>
      </c>
      <c r="H26" s="301">
        <f>'2011 полн'!AG20</f>
        <v>41690.19</v>
      </c>
      <c r="I26" s="301">
        <f>'2011 полн'!AJ20</f>
        <v>10006.668</v>
      </c>
      <c r="J26" s="301">
        <f>'2011 полн'!AK20</f>
        <v>3537.1444</v>
      </c>
      <c r="K26" s="295">
        <f>'2011 полн'!AL20</f>
        <v>1055.864</v>
      </c>
      <c r="L26" s="295">
        <f>'2011 полн'!AM20+'2011 полн'!AN20+'2011 полн'!AO20+'2011 полн'!AP20+'2011 полн'!AQ20+'2011 полн'!AR20+'2011 полн'!AS20+'2011 полн'!AT20+'2011 полн'!AX20</f>
        <v>38417.051199999994</v>
      </c>
      <c r="M26" s="296">
        <f>'2011 полн'!AV20+'2011 полн'!AW20+'2011 полн'!AX20+'2011 полн'!AU20</f>
        <v>13940</v>
      </c>
      <c r="N26" s="302">
        <f>'2011 полн'!BD20</f>
        <v>7120.606</v>
      </c>
      <c r="O26" s="298">
        <f t="shared" si="0"/>
        <v>64070.66559999999</v>
      </c>
      <c r="P26" s="299">
        <f>'2011 полн'!BF20</f>
        <v>-11053.807599999993</v>
      </c>
      <c r="Q26" s="299">
        <f>'2011 полн'!BG20</f>
        <v>-5297.820000000007</v>
      </c>
    </row>
    <row r="27" spans="1:17" ht="13.5" thickBot="1">
      <c r="A27" s="303" t="s">
        <v>41</v>
      </c>
      <c r="B27" s="300">
        <f>'2011 полн'!B21</f>
        <v>5278.82</v>
      </c>
      <c r="C27" s="23">
        <f>'2011 полн'!C21</f>
        <v>45133.911</v>
      </c>
      <c r="D27" s="24">
        <f>'2011 полн'!D21</f>
        <v>99412.08</v>
      </c>
      <c r="E27" s="295">
        <f>'2011 полн'!U21</f>
        <v>46490.61</v>
      </c>
      <c r="F27" s="295">
        <f>'2011 полн'!V21</f>
        <v>185.54</v>
      </c>
      <c r="G27" s="301">
        <f>'2011 полн'!AF21</f>
        <v>52239.08</v>
      </c>
      <c r="H27" s="301">
        <f>'2011 полн'!AG21</f>
        <v>151836.7</v>
      </c>
      <c r="I27" s="301">
        <f>'2011 полн'!AJ21</f>
        <v>11206.668</v>
      </c>
      <c r="J27" s="301">
        <f>'2011 полн'!AK21</f>
        <v>3536.8094</v>
      </c>
      <c r="K27" s="295">
        <f>'2011 полн'!AL21</f>
        <v>1055.764</v>
      </c>
      <c r="L27" s="295">
        <f>'2011 полн'!AM21+'2011 полн'!AN21+'2011 полн'!AO21+'2011 полн'!AP21+'2011 полн'!AQ21+'2011 полн'!AR21+'2011 полн'!AS21+'2011 полн'!AT21+'2011 полн'!AX21</f>
        <v>37141.59619999999</v>
      </c>
      <c r="M27" s="296">
        <f>'2011 полн'!AV21+'2011 полн'!AW21+'2011 полн'!AX21+'2011 полн'!AU21</f>
        <v>2118</v>
      </c>
      <c r="N27" s="302">
        <f>'2011 полн'!BE21</f>
        <v>51224.77559999999</v>
      </c>
      <c r="O27" s="298">
        <f t="shared" si="0"/>
        <v>95076.94519999999</v>
      </c>
      <c r="P27" s="299">
        <f>'2011 полн'!BF21</f>
        <v>111818.59240000002</v>
      </c>
      <c r="Q27" s="299">
        <f>'2011 полн'!BG21</f>
        <v>5748.470000000001</v>
      </c>
    </row>
    <row r="28" spans="1:19" s="16" customFormat="1" ht="13.5" thickBot="1">
      <c r="A28" s="29" t="s">
        <v>3</v>
      </c>
      <c r="B28" s="30"/>
      <c r="C28" s="60">
        <f aca="true" t="shared" si="1" ref="C28:P28">SUM(C16:C27)</f>
        <v>541689.0119999999</v>
      </c>
      <c r="D28" s="60">
        <f t="shared" si="1"/>
        <v>104154.672</v>
      </c>
      <c r="E28" s="60">
        <f t="shared" si="1"/>
        <v>551586.23</v>
      </c>
      <c r="F28" s="60">
        <f t="shared" si="1"/>
        <v>1760.2</v>
      </c>
      <c r="G28" s="60">
        <f t="shared" si="1"/>
        <v>531301.2799999999</v>
      </c>
      <c r="H28" s="60">
        <f t="shared" si="1"/>
        <v>637216.152</v>
      </c>
      <c r="I28" s="60">
        <f t="shared" si="1"/>
        <v>121280.01600000002</v>
      </c>
      <c r="J28" s="60">
        <f t="shared" si="1"/>
        <v>42448.1448</v>
      </c>
      <c r="K28" s="60">
        <f t="shared" si="1"/>
        <v>12671.087999999996</v>
      </c>
      <c r="L28" s="60">
        <f t="shared" si="1"/>
        <v>480236.5923999999</v>
      </c>
      <c r="M28" s="60">
        <f t="shared" si="1"/>
        <v>119582.21000000002</v>
      </c>
      <c r="N28" s="60">
        <f t="shared" si="1"/>
        <v>129551.44159999999</v>
      </c>
      <c r="O28" s="60">
        <f t="shared" si="1"/>
        <v>784489.4767999998</v>
      </c>
      <c r="P28" s="60">
        <f t="shared" si="1"/>
        <v>91753.07080000007</v>
      </c>
      <c r="Q28" s="60">
        <f>SUM(Q16:Q27)</f>
        <v>-20284.95000000001</v>
      </c>
      <c r="R28" s="56"/>
      <c r="S28" s="56"/>
    </row>
    <row r="29" spans="1:17" ht="13.5" thickBot="1">
      <c r="A29" s="513" t="s">
        <v>65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288"/>
      <c r="P29" s="289"/>
      <c r="Q29" s="289"/>
    </row>
    <row r="30" spans="1:19" s="16" customFormat="1" ht="13.5" thickBot="1">
      <c r="A30" s="63" t="s">
        <v>52</v>
      </c>
      <c r="B30" s="33"/>
      <c r="C30" s="34">
        <f aca="true" t="shared" si="2" ref="C30:Q30">C28+C14</f>
        <v>1775248.731</v>
      </c>
      <c r="D30" s="34">
        <f t="shared" si="2"/>
        <v>388234.80630205</v>
      </c>
      <c r="E30" s="34">
        <f t="shared" si="2"/>
        <v>1457123.19</v>
      </c>
      <c r="F30" s="34">
        <f t="shared" si="2"/>
        <v>189535.33000000002</v>
      </c>
      <c r="G30" s="34">
        <f>G28+G14</f>
        <v>1390442.8599999999</v>
      </c>
      <c r="H30" s="34">
        <f>H28+H14</f>
        <v>1968212.9963020498</v>
      </c>
      <c r="I30" s="34" t="e">
        <f>I28+I14</f>
        <v>#REF!</v>
      </c>
      <c r="J30" s="34">
        <f>J28+J14</f>
        <v>126745.4448</v>
      </c>
      <c r="K30" s="34">
        <f t="shared" si="2"/>
        <v>40918.620284</v>
      </c>
      <c r="L30" s="34">
        <f t="shared" si="2"/>
        <v>1278010.907606206</v>
      </c>
      <c r="M30" s="34">
        <f t="shared" si="2"/>
        <v>554277.9066000001</v>
      </c>
      <c r="N30" s="34">
        <f t="shared" si="2"/>
        <v>199264.50778420796</v>
      </c>
      <c r="O30" s="34">
        <f t="shared" si="2"/>
        <v>2199217.3870744137</v>
      </c>
      <c r="P30" s="34">
        <f t="shared" si="2"/>
        <v>164149.1041476363</v>
      </c>
      <c r="Q30" s="34">
        <f t="shared" si="2"/>
        <v>-66680.33000000003</v>
      </c>
      <c r="R30" s="57"/>
      <c r="S30" s="56"/>
    </row>
    <row r="32" spans="1:4" ht="12.75">
      <c r="A32" s="16" t="s">
        <v>69</v>
      </c>
      <c r="D32" s="304" t="s">
        <v>124</v>
      </c>
    </row>
    <row r="33" spans="1:4" ht="12.75">
      <c r="A33" s="225" t="s">
        <v>70</v>
      </c>
      <c r="B33" s="225" t="s">
        <v>71</v>
      </c>
      <c r="C33" s="509" t="s">
        <v>72</v>
      </c>
      <c r="D33" s="510"/>
    </row>
    <row r="34" spans="1:4" ht="12.75">
      <c r="A34" s="305">
        <v>442889.05</v>
      </c>
      <c r="B34" s="306">
        <v>293582.1</v>
      </c>
      <c r="C34" s="307">
        <f>A34-B34</f>
        <v>149306.95</v>
      </c>
      <c r="D34" s="308"/>
    </row>
    <row r="35" ht="12.75">
      <c r="A35" s="40"/>
    </row>
    <row r="36" spans="1:7" ht="12.75">
      <c r="A36" s="215" t="s">
        <v>66</v>
      </c>
      <c r="G36" s="215" t="s">
        <v>67</v>
      </c>
    </row>
    <row r="37" ht="12.75">
      <c r="A37" s="214"/>
    </row>
    <row r="38" ht="12.75">
      <c r="A38" s="215" t="s">
        <v>125</v>
      </c>
    </row>
    <row r="39" ht="12.75">
      <c r="A39" s="215" t="s">
        <v>68</v>
      </c>
    </row>
  </sheetData>
  <sheetProtection/>
  <mergeCells count="27">
    <mergeCell ref="C33:D33"/>
    <mergeCell ref="N10:N11"/>
    <mergeCell ref="O10:O11"/>
    <mergeCell ref="A13:N13"/>
    <mergeCell ref="A29:N29"/>
    <mergeCell ref="I8:I11"/>
    <mergeCell ref="J8:O9"/>
    <mergeCell ref="A8:A11"/>
    <mergeCell ref="B8:B11"/>
    <mergeCell ref="C8:C11"/>
    <mergeCell ref="P8:P11"/>
    <mergeCell ref="Q8:Q11"/>
    <mergeCell ref="E10:F10"/>
    <mergeCell ref="H10:H11"/>
    <mergeCell ref="J10:J11"/>
    <mergeCell ref="K10:K11"/>
    <mergeCell ref="L10:L11"/>
    <mergeCell ref="M10:M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4">
      <selection activeCell="J46" sqref="J46:N46"/>
    </sheetView>
  </sheetViews>
  <sheetFormatPr defaultColWidth="9.00390625" defaultRowHeight="12.75"/>
  <cols>
    <col min="1" max="1" width="10.25390625" style="215" customWidth="1"/>
    <col min="2" max="2" width="10.125" style="215" customWidth="1"/>
    <col min="3" max="3" width="11.625" style="215" customWidth="1"/>
    <col min="4" max="4" width="10.25390625" style="215" customWidth="1"/>
    <col min="5" max="5" width="11.375" style="215" customWidth="1"/>
    <col min="6" max="6" width="9.875" style="215" customWidth="1"/>
    <col min="7" max="7" width="11.375" style="215" customWidth="1"/>
    <col min="8" max="8" width="11.625" style="215" customWidth="1"/>
    <col min="9" max="9" width="10.875" style="215" customWidth="1"/>
    <col min="10" max="10" width="9.875" style="215" customWidth="1"/>
    <col min="11" max="11" width="9.125" style="215" customWidth="1"/>
    <col min="12" max="12" width="11.375" style="215" customWidth="1"/>
    <col min="13" max="13" width="9.875" style="215" customWidth="1"/>
    <col min="14" max="14" width="10.00390625" style="215" customWidth="1"/>
    <col min="15" max="15" width="11.625" style="215" customWidth="1"/>
    <col min="16" max="16" width="10.375" style="215" customWidth="1"/>
    <col min="17" max="17" width="10.75390625" style="215" customWidth="1"/>
    <col min="18" max="18" width="15.875" style="215" hidden="1" customWidth="1"/>
    <col min="19" max="16384" width="9.125" style="215" customWidth="1"/>
  </cols>
  <sheetData>
    <row r="1" spans="2:9" ht="20.25" customHeight="1">
      <c r="B1" s="502" t="s">
        <v>53</v>
      </c>
      <c r="C1" s="502"/>
      <c r="D1" s="502"/>
      <c r="E1" s="502"/>
      <c r="F1" s="502"/>
      <c r="G1" s="502"/>
      <c r="H1" s="502"/>
      <c r="I1" s="20"/>
    </row>
    <row r="2" spans="2:12" ht="21" customHeight="1">
      <c r="B2" s="502" t="s">
        <v>54</v>
      </c>
      <c r="C2" s="502"/>
      <c r="D2" s="502"/>
      <c r="E2" s="502"/>
      <c r="F2" s="502"/>
      <c r="G2" s="502"/>
      <c r="H2" s="502"/>
      <c r="I2" s="20"/>
      <c r="K2" s="214"/>
      <c r="L2" s="214"/>
    </row>
    <row r="5" spans="1:14" ht="12.75">
      <c r="A5" s="444" t="s">
        <v>126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</row>
    <row r="6" spans="1:14" ht="12.75">
      <c r="A6" s="423" t="s">
        <v>132</v>
      </c>
      <c r="B6" s="423"/>
      <c r="C6" s="423"/>
      <c r="D6" s="423"/>
      <c r="E6" s="423"/>
      <c r="F6" s="423"/>
      <c r="G6" s="423"/>
      <c r="H6" s="73"/>
      <c r="I6" s="73"/>
      <c r="J6" s="73"/>
      <c r="K6" s="73"/>
      <c r="L6" s="73"/>
      <c r="M6" s="73"/>
      <c r="N6" s="73"/>
    </row>
    <row r="7" spans="1:15" ht="13.5" thickBot="1">
      <c r="A7" s="503" t="s">
        <v>89</v>
      </c>
      <c r="B7" s="503"/>
      <c r="C7" s="503"/>
      <c r="D7" s="503"/>
      <c r="E7" s="503">
        <v>9.51</v>
      </c>
      <c r="F7" s="503"/>
      <c r="J7" s="286"/>
      <c r="K7" s="286"/>
      <c r="L7" s="286"/>
      <c r="M7" s="286"/>
      <c r="N7" s="286"/>
      <c r="O7" s="286"/>
    </row>
    <row r="8" spans="1:18" ht="12.75" customHeight="1">
      <c r="A8" s="454" t="s">
        <v>55</v>
      </c>
      <c r="B8" s="414" t="s">
        <v>0</v>
      </c>
      <c r="C8" s="417" t="s">
        <v>133</v>
      </c>
      <c r="D8" s="420" t="s">
        <v>2</v>
      </c>
      <c r="E8" s="434" t="s">
        <v>57</v>
      </c>
      <c r="F8" s="357"/>
      <c r="G8" s="498" t="s">
        <v>119</v>
      </c>
      <c r="H8" s="499"/>
      <c r="I8" s="515" t="s">
        <v>120</v>
      </c>
      <c r="J8" s="518" t="s">
        <v>8</v>
      </c>
      <c r="K8" s="519"/>
      <c r="L8" s="519"/>
      <c r="M8" s="519"/>
      <c r="N8" s="519"/>
      <c r="O8" s="520"/>
      <c r="P8" s="504" t="s">
        <v>58</v>
      </c>
      <c r="Q8" s="504" t="s">
        <v>10</v>
      </c>
      <c r="R8" s="504" t="s">
        <v>128</v>
      </c>
    </row>
    <row r="9" spans="1:18" ht="12.75">
      <c r="A9" s="455"/>
      <c r="B9" s="415"/>
      <c r="C9" s="418"/>
      <c r="D9" s="421"/>
      <c r="E9" s="435"/>
      <c r="F9" s="436"/>
      <c r="G9" s="500"/>
      <c r="H9" s="501"/>
      <c r="I9" s="516"/>
      <c r="J9" s="521"/>
      <c r="K9" s="522"/>
      <c r="L9" s="522"/>
      <c r="M9" s="522"/>
      <c r="N9" s="522"/>
      <c r="O9" s="410"/>
      <c r="P9" s="505"/>
      <c r="Q9" s="505"/>
      <c r="R9" s="505"/>
    </row>
    <row r="10" spans="1:18" ht="26.25" customHeight="1">
      <c r="A10" s="455"/>
      <c r="B10" s="415"/>
      <c r="C10" s="418"/>
      <c r="D10" s="421"/>
      <c r="E10" s="451" t="s">
        <v>59</v>
      </c>
      <c r="F10" s="379"/>
      <c r="G10" s="287" t="s">
        <v>60</v>
      </c>
      <c r="H10" s="507" t="s">
        <v>5</v>
      </c>
      <c r="I10" s="516"/>
      <c r="J10" s="442" t="s">
        <v>61</v>
      </c>
      <c r="K10" s="432" t="s">
        <v>121</v>
      </c>
      <c r="L10" s="432" t="s">
        <v>62</v>
      </c>
      <c r="M10" s="432" t="s">
        <v>35</v>
      </c>
      <c r="N10" s="433" t="s">
        <v>122</v>
      </c>
      <c r="O10" s="508" t="s">
        <v>37</v>
      </c>
      <c r="P10" s="505"/>
      <c r="Q10" s="505"/>
      <c r="R10" s="505"/>
    </row>
    <row r="11" spans="1:18" ht="66.75" customHeight="1" thickBot="1">
      <c r="A11" s="456"/>
      <c r="B11" s="416"/>
      <c r="C11" s="419"/>
      <c r="D11" s="422"/>
      <c r="E11" s="50" t="s">
        <v>64</v>
      </c>
      <c r="F11" s="53" t="s">
        <v>19</v>
      </c>
      <c r="G11" s="190" t="s">
        <v>123</v>
      </c>
      <c r="H11" s="508"/>
      <c r="I11" s="517"/>
      <c r="J11" s="443"/>
      <c r="K11" s="433"/>
      <c r="L11" s="433"/>
      <c r="M11" s="433"/>
      <c r="N11" s="511"/>
      <c r="O11" s="512"/>
      <c r="P11" s="506"/>
      <c r="Q11" s="506"/>
      <c r="R11" s="506"/>
    </row>
    <row r="12" spans="1:18" ht="13.5" thickBot="1">
      <c r="A12" s="51">
        <v>1</v>
      </c>
      <c r="B12" s="52">
        <v>2</v>
      </c>
      <c r="C12" s="51">
        <v>3</v>
      </c>
      <c r="D12" s="52">
        <v>4</v>
      </c>
      <c r="E12" s="76">
        <v>5</v>
      </c>
      <c r="F12" s="75">
        <v>6</v>
      </c>
      <c r="G12" s="76">
        <v>7</v>
      </c>
      <c r="H12" s="75">
        <v>8</v>
      </c>
      <c r="I12" s="74">
        <v>9</v>
      </c>
      <c r="J12" s="76">
        <v>10</v>
      </c>
      <c r="K12" s="75">
        <v>11</v>
      </c>
      <c r="L12" s="74">
        <v>12</v>
      </c>
      <c r="M12" s="51">
        <v>13</v>
      </c>
      <c r="N12" s="76">
        <v>14</v>
      </c>
      <c r="O12" s="75">
        <v>15</v>
      </c>
      <c r="P12" s="74">
        <v>16</v>
      </c>
      <c r="Q12" s="75">
        <v>17</v>
      </c>
      <c r="R12" s="75">
        <v>18</v>
      </c>
    </row>
    <row r="13" spans="1:18" ht="13.5" thickBot="1">
      <c r="A13" s="513" t="s">
        <v>94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288"/>
      <c r="P13" s="289"/>
      <c r="Q13" s="289"/>
      <c r="R13" s="321"/>
    </row>
    <row r="14" spans="1:19" s="16" customFormat="1" ht="13.5" hidden="1" thickBot="1">
      <c r="A14" s="63" t="s">
        <v>52</v>
      </c>
      <c r="B14" s="33"/>
      <c r="C14" s="34">
        <f>'2011 полн'!C8</f>
        <v>1233559.719</v>
      </c>
      <c r="D14" s="34">
        <f>'2011 полн'!D8</f>
        <v>284080.13430205</v>
      </c>
      <c r="E14" s="34">
        <f>'2011 полн'!U8</f>
        <v>905536.96</v>
      </c>
      <c r="F14" s="34">
        <f>'2011 полн'!V8</f>
        <v>187775.13</v>
      </c>
      <c r="G14" s="34">
        <f>'2011 полн'!AF8</f>
        <v>859141.5800000001</v>
      </c>
      <c r="H14" s="34">
        <f>'2011 полн'!AG8</f>
        <v>1330996.8443020498</v>
      </c>
      <c r="I14" s="34">
        <f>Лист1!BC44</f>
        <v>69713.06618420797</v>
      </c>
      <c r="J14" s="34">
        <f>'2011 полн'!AK8</f>
        <v>84297.29999999999</v>
      </c>
      <c r="K14" s="34">
        <f>'2011 полн'!AL8</f>
        <v>28247.532284</v>
      </c>
      <c r="L14" s="34">
        <f>'2011 полн'!AM8+'2011 полн'!AO8+'2011 полн'!AP8+'2011 полн'!AT8+'2011 полн'!AS8+'2011 полн'!AX8+'2011 полн'!AY8+22591.8</f>
        <v>797774.3152062059</v>
      </c>
      <c r="M14" s="34">
        <f>'2011 полн'!AU8+'2011 полн'!AV8+'2011 полн'!AW8</f>
        <v>434695.6966</v>
      </c>
      <c r="N14" s="34">
        <f>'2011 полн'!BD8</f>
        <v>69713.06618420797</v>
      </c>
      <c r="O14" s="34">
        <f>SUM(J14:N14)</f>
        <v>1414727.910274414</v>
      </c>
      <c r="P14" s="34">
        <f>'2011 полн'!BF8</f>
        <v>72396.03334763623</v>
      </c>
      <c r="Q14" s="34">
        <f>'2011 полн'!BG8</f>
        <v>-46395.38000000002</v>
      </c>
      <c r="R14" s="61">
        <f>-'[14]Павлов О.В.'!$D$5:$D$19*15</f>
        <v>-11825.460000000001</v>
      </c>
      <c r="S14" s="56"/>
    </row>
    <row r="15" spans="1:19" ht="13.5" hidden="1" thickBot="1">
      <c r="A15" s="51" t="s">
        <v>117</v>
      </c>
      <c r="B15" s="331"/>
      <c r="C15" s="332"/>
      <c r="D15" s="333"/>
      <c r="E15" s="334"/>
      <c r="F15" s="335"/>
      <c r="G15" s="336"/>
      <c r="H15" s="335"/>
      <c r="I15" s="337"/>
      <c r="J15" s="336"/>
      <c r="K15" s="334"/>
      <c r="L15" s="334"/>
      <c r="M15" s="338"/>
      <c r="N15" s="339"/>
      <c r="O15" s="335"/>
      <c r="P15" s="340"/>
      <c r="Q15" s="340"/>
      <c r="R15" s="341"/>
      <c r="S15" s="214"/>
    </row>
    <row r="16" spans="1:19" ht="13.5" hidden="1" thickBot="1">
      <c r="A16" s="326" t="s">
        <v>43</v>
      </c>
      <c r="B16" s="327">
        <f>'2011 полн'!B10</f>
        <v>5282.42</v>
      </c>
      <c r="C16" s="35">
        <f>'2011 полн'!C10</f>
        <v>45164.691000000006</v>
      </c>
      <c r="D16" s="36">
        <f>'2011 полн'!D10</f>
        <v>438.294</v>
      </c>
      <c r="E16" s="291">
        <f>'2011 полн'!U10</f>
        <v>46070.40000000001</v>
      </c>
      <c r="F16" s="291">
        <f>'2011 полн'!V10</f>
        <v>67.6</v>
      </c>
      <c r="G16" s="293">
        <f>'2011 полн'!AF10</f>
        <v>31899.940000000002</v>
      </c>
      <c r="H16" s="293">
        <f>'2011 полн'!AG10</f>
        <v>32405.834000000003</v>
      </c>
      <c r="I16" s="293">
        <f>'2011 полн'!AJ10</f>
        <v>10353.635999999999</v>
      </c>
      <c r="J16" s="293">
        <f>'2011 полн'!AK10</f>
        <v>3539.2214000000004</v>
      </c>
      <c r="K16" s="291">
        <f>'2011 полн'!AL10</f>
        <v>1056.4840000000002</v>
      </c>
      <c r="L16" s="291">
        <f>'2012 полн (2)'!AM10+'2012 полн (2)'!AN10+'2012 полн (2)'!AO10+'2012 полн (2)'!AP10+'2012 полн (2)'!AQ10+'2012 полн (2)'!AR10+'2012 полн (2)'!AS10+'2012 полн (2)'!AT10</f>
        <v>36501.52219999999</v>
      </c>
      <c r="M16" s="328">
        <f>'2012 полн (2)'!AU10+'2012 полн (2)'!AV10+'2012 полн (2)'!AW10+'2012 полн (2)'!AX10</f>
        <v>28814.260000000002</v>
      </c>
      <c r="N16" s="329">
        <f>'2011 полн'!BD10</f>
        <v>7370.562</v>
      </c>
      <c r="O16" s="292">
        <f>SUM(J16:N16)</f>
        <v>77282.0496</v>
      </c>
      <c r="P16" s="330">
        <f>'2011 полн'!BF10</f>
        <v>-34522.5796</v>
      </c>
      <c r="Q16" s="330">
        <f>'2011 полн'!BG10</f>
        <v>-14170.460000000006</v>
      </c>
      <c r="R16" s="342">
        <f>-'[14]Павлов О.В.'!$D$5</f>
        <v>-788.364</v>
      </c>
      <c r="S16" s="214"/>
    </row>
    <row r="17" spans="1:19" ht="13.5" hidden="1" thickBot="1">
      <c r="A17" s="227" t="s">
        <v>44</v>
      </c>
      <c r="B17" s="300">
        <f>'2011 полн'!B11</f>
        <v>5280.32</v>
      </c>
      <c r="C17" s="23">
        <f>'2011 полн'!C11</f>
        <v>45146.736000000004</v>
      </c>
      <c r="D17" s="24">
        <f>'2011 полн'!D11</f>
        <v>438.294</v>
      </c>
      <c r="E17" s="295">
        <f>'2011 полн'!U11</f>
        <v>45015.65</v>
      </c>
      <c r="F17" s="295">
        <f>'2011 полн'!V11</f>
        <v>0</v>
      </c>
      <c r="G17" s="301">
        <f>'2011 полн'!AF11</f>
        <v>42295.94</v>
      </c>
      <c r="H17" s="301">
        <f>'2011 полн'!AG11</f>
        <v>42734.234000000004</v>
      </c>
      <c r="I17" s="301">
        <f>'2011 полн'!AJ11</f>
        <v>9659.7</v>
      </c>
      <c r="J17" s="301">
        <f>'2011 полн'!AK11</f>
        <v>3537.8144</v>
      </c>
      <c r="K17" s="295">
        <f>'2011 полн'!AL11</f>
        <v>1056.064</v>
      </c>
      <c r="L17" s="291">
        <f>'2012 полн (2)'!AM11+'2012 полн (2)'!AN11+'2012 полн (2)'!AO11+'2012 полн (2)'!AP11+'2012 полн (2)'!AQ11+'2012 полн (2)'!AR11+'2012 полн (2)'!AS11+'2012 полн (2)'!AT11</f>
        <v>36487.0112</v>
      </c>
      <c r="M17" s="328">
        <f>'2012 полн (2)'!AU11+'2012 полн (2)'!AV11+'2012 полн (2)'!AW11+'2012 полн (2)'!AX11</f>
        <v>13412.84</v>
      </c>
      <c r="N17" s="302">
        <f>'2011 полн'!BD11</f>
        <v>6870.65</v>
      </c>
      <c r="O17" s="298">
        <f aca="true" t="shared" si="0" ref="O17:O27">SUM(J17:N17)</f>
        <v>61364.37960000001</v>
      </c>
      <c r="P17" s="299">
        <f>'2011 полн'!BF11</f>
        <v>-8970.4456</v>
      </c>
      <c r="Q17" s="299">
        <f>'2011 полн'!BG11</f>
        <v>-2719.709999999999</v>
      </c>
      <c r="R17" s="342">
        <f>-'[14]Павлов О.В.'!$D$5</f>
        <v>-788.364</v>
      </c>
      <c r="S17" s="214"/>
    </row>
    <row r="18" spans="1:19" ht="13.5" hidden="1" thickBot="1">
      <c r="A18" s="227" t="s">
        <v>45</v>
      </c>
      <c r="B18" s="300">
        <f>'2011 полн'!B12</f>
        <v>5279.32</v>
      </c>
      <c r="C18" s="23">
        <f>'2011 полн'!C12</f>
        <v>45138.186</v>
      </c>
      <c r="D18" s="24">
        <f>'2011 полн'!D12</f>
        <v>438.294</v>
      </c>
      <c r="E18" s="295">
        <f>'2011 полн'!U12</f>
        <v>46167.509999999995</v>
      </c>
      <c r="F18" s="295">
        <f>'2011 полн'!V12</f>
        <v>171.00000000000003</v>
      </c>
      <c r="G18" s="301">
        <f>'2011 полн'!AF12</f>
        <v>44803.7</v>
      </c>
      <c r="H18" s="301">
        <f>'2011 полн'!AG12</f>
        <v>45412.994</v>
      </c>
      <c r="I18" s="301">
        <f>'2011 полн'!AJ12</f>
        <v>10006.668</v>
      </c>
      <c r="J18" s="301">
        <f>'2011 полн'!AK12</f>
        <v>3537.1444</v>
      </c>
      <c r="K18" s="295">
        <f>'2011 полн'!AL12</f>
        <v>1055.864</v>
      </c>
      <c r="L18" s="291">
        <f>'2012 полн (2)'!AM12+'2012 полн (2)'!AN12+'2012 полн (2)'!AO12+'2012 полн (2)'!AP12+'2012 полн (2)'!AQ12+'2012 полн (2)'!AR12+'2012 полн (2)'!AS12+'2012 полн (2)'!AT12</f>
        <v>36480.1012</v>
      </c>
      <c r="M18" s="328">
        <f>'2012 полн (2)'!AU12+'2012 полн (2)'!AV12+'2012 полн (2)'!AW12+'2012 полн (2)'!AX12</f>
        <v>9634.48</v>
      </c>
      <c r="N18" s="302">
        <f>'2011 полн'!BD12</f>
        <v>7120.606</v>
      </c>
      <c r="O18" s="298">
        <f t="shared" si="0"/>
        <v>57828.19559999999</v>
      </c>
      <c r="P18" s="299">
        <f>'2011 полн'!BF12</f>
        <v>-2408.5336000000025</v>
      </c>
      <c r="Q18" s="299">
        <f>'2011 полн'!BG12</f>
        <v>-1363.8099999999977</v>
      </c>
      <c r="R18" s="342">
        <f>-'[14]Павлов О.В.'!$D$5</f>
        <v>-788.364</v>
      </c>
      <c r="S18" s="214"/>
    </row>
    <row r="19" spans="1:19" ht="13.5" hidden="1" thickBot="1">
      <c r="A19" s="227" t="s">
        <v>46</v>
      </c>
      <c r="B19" s="300">
        <f>'2011 полн'!B13</f>
        <v>5279.32</v>
      </c>
      <c r="C19" s="23">
        <f>'2011 полн'!C13</f>
        <v>45138.186</v>
      </c>
      <c r="D19" s="24">
        <f>'2011 полн'!D13</f>
        <v>438.294</v>
      </c>
      <c r="E19" s="295">
        <f>'2011 полн'!U13</f>
        <v>45786.08</v>
      </c>
      <c r="F19" s="295">
        <f>'2011 полн'!V13</f>
        <v>171.00000000000003</v>
      </c>
      <c r="G19" s="301">
        <f>'2011 полн'!AF13</f>
        <v>42198.67</v>
      </c>
      <c r="H19" s="301">
        <f>'2011 полн'!AG13</f>
        <v>42807.964</v>
      </c>
      <c r="I19" s="301">
        <f>'2011 полн'!AJ13</f>
        <v>10006.668</v>
      </c>
      <c r="J19" s="301">
        <f>'2011 полн'!AK13</f>
        <v>3537.1444</v>
      </c>
      <c r="K19" s="295">
        <f>'2011 полн'!AL13</f>
        <v>1055.864</v>
      </c>
      <c r="L19" s="291">
        <f>'2012 полн (2)'!AM13+'2012 полн (2)'!AN13+'2012 полн (2)'!AO13+'2012 полн (2)'!AP13+'2012 полн (2)'!AQ13+'2012 полн (2)'!AR13+'2012 полн (2)'!AS13+'2012 полн (2)'!AT13</f>
        <v>30408.883199999997</v>
      </c>
      <c r="M19" s="328">
        <f>'2012 полн (2)'!AU13+'2012 полн (2)'!AV13+'2012 полн (2)'!AW13+'2012 полн (2)'!AX13</f>
        <v>25803</v>
      </c>
      <c r="N19" s="302">
        <f>'2011 полн'!BD13</f>
        <v>7120.606</v>
      </c>
      <c r="O19" s="298">
        <f t="shared" si="0"/>
        <v>67925.4976</v>
      </c>
      <c r="P19" s="299">
        <f>'2011 полн'!BF13</f>
        <v>-15110.865600000005</v>
      </c>
      <c r="Q19" s="299">
        <f>'2011 полн'!BG13</f>
        <v>-3587.4100000000035</v>
      </c>
      <c r="R19" s="342">
        <f>-'[14]Павлов О.В.'!$D$5</f>
        <v>-788.364</v>
      </c>
      <c r="S19" s="214"/>
    </row>
    <row r="20" spans="1:19" ht="13.5" hidden="1" thickBot="1">
      <c r="A20" s="227" t="s">
        <v>47</v>
      </c>
      <c r="B20" s="300">
        <f>'2011 полн'!B14</f>
        <v>5279.32</v>
      </c>
      <c r="C20" s="23">
        <f>'2011 полн'!C14</f>
        <v>45138.186</v>
      </c>
      <c r="D20" s="24">
        <f>'2011 полн'!D14</f>
        <v>438.294</v>
      </c>
      <c r="E20" s="295">
        <f>'2011 полн'!U14</f>
        <v>45795.689999999995</v>
      </c>
      <c r="F20" s="295">
        <f>'2011 полн'!V14</f>
        <v>153.60000000000002</v>
      </c>
      <c r="G20" s="301">
        <f>'2011 полн'!AF14</f>
        <v>47882.719999999994</v>
      </c>
      <c r="H20" s="301">
        <f>'2011 полн'!AG14</f>
        <v>48474.613999999994</v>
      </c>
      <c r="I20" s="301">
        <f>'2011 полн'!AJ14</f>
        <v>10006.668</v>
      </c>
      <c r="J20" s="301">
        <f>'2011 полн'!AK14</f>
        <v>3537.1444</v>
      </c>
      <c r="K20" s="295">
        <f>'2011 полн'!AL14</f>
        <v>1055.864</v>
      </c>
      <c r="L20" s="291">
        <f>'2012 полн (2)'!AM14+'2012 полн (2)'!AN14+'2012 полн (2)'!AO14+'2012 полн (2)'!AP14+'2012 полн (2)'!AQ14+'2012 полн (2)'!AR14+'2012 полн (2)'!AS14+'2012 полн (2)'!AT14</f>
        <v>31025.833199999997</v>
      </c>
      <c r="M20" s="328">
        <f>'2012 полн (2)'!AU14+'2012 полн (2)'!AV14+'2012 полн (2)'!AW14+'2012 полн (2)'!AX14</f>
        <v>8.5</v>
      </c>
      <c r="N20" s="302">
        <f>'2011 полн'!BD14</f>
        <v>7120.606</v>
      </c>
      <c r="O20" s="298">
        <f t="shared" si="0"/>
        <v>42747.9476</v>
      </c>
      <c r="P20" s="299">
        <f>'2011 полн'!BF14</f>
        <v>15733.3344</v>
      </c>
      <c r="Q20" s="299">
        <f>'2011 полн'!BG14</f>
        <v>2087.029999999999</v>
      </c>
      <c r="R20" s="342">
        <f>-'[14]Павлов О.В.'!$D$5</f>
        <v>-788.364</v>
      </c>
      <c r="S20" s="214"/>
    </row>
    <row r="21" spans="1:19" ht="13.5" hidden="1" thickBot="1">
      <c r="A21" s="227" t="s">
        <v>48</v>
      </c>
      <c r="B21" s="300">
        <f>'2011 полн'!B15</f>
        <v>5279.32</v>
      </c>
      <c r="C21" s="23">
        <f>'2011 полн'!C15</f>
        <v>45138.186</v>
      </c>
      <c r="D21" s="24">
        <f>'2011 полн'!D15</f>
        <v>438.294</v>
      </c>
      <c r="E21" s="295">
        <f>'2011 полн'!U15</f>
        <v>45699.99</v>
      </c>
      <c r="F21" s="295">
        <f>'2011 полн'!V15</f>
        <v>171.00000000000003</v>
      </c>
      <c r="G21" s="301">
        <f>'2011 полн'!AF15</f>
        <v>39764.69</v>
      </c>
      <c r="H21" s="301">
        <f>'2011 полн'!AG15</f>
        <v>40373.984000000004</v>
      </c>
      <c r="I21" s="301">
        <f>'2011 полн'!AJ15</f>
        <v>10006.668</v>
      </c>
      <c r="J21" s="301">
        <f>'2011 полн'!AK15</f>
        <v>3537.1444</v>
      </c>
      <c r="K21" s="295">
        <f>'2011 полн'!AL15</f>
        <v>1055.864</v>
      </c>
      <c r="L21" s="291">
        <f>'2012 полн (2)'!AM15+'2012 полн (2)'!AN15+'2012 полн (2)'!AO15+'2012 полн (2)'!AP15+'2012 полн (2)'!AQ15+'2012 полн (2)'!AR15+'2012 полн (2)'!AS15+'2012 полн (2)'!AT15</f>
        <v>31025.833199999997</v>
      </c>
      <c r="M21" s="328">
        <f>'2012 полн (2)'!AU15+'2012 полн (2)'!AV15+'2012 полн (2)'!AW15+'2012 полн (2)'!AX15</f>
        <v>15500</v>
      </c>
      <c r="N21" s="302">
        <f>'2011 полн'!BD15</f>
        <v>7120.606</v>
      </c>
      <c r="O21" s="298">
        <f t="shared" si="0"/>
        <v>58239.4476</v>
      </c>
      <c r="P21" s="299">
        <f>'2011 полн'!BF15</f>
        <v>-7858.79559999999</v>
      </c>
      <c r="Q21" s="299">
        <f>'2011 полн'!BG15</f>
        <v>-5935.299999999996</v>
      </c>
      <c r="R21" s="342">
        <f>-'[14]Павлов О.В.'!$D$5</f>
        <v>-788.364</v>
      </c>
      <c r="S21" s="214"/>
    </row>
    <row r="22" spans="1:18" ht="13.5" hidden="1" thickBot="1">
      <c r="A22" s="227" t="s">
        <v>49</v>
      </c>
      <c r="B22" s="300">
        <f>'2011 полн'!B16</f>
        <v>5279.32</v>
      </c>
      <c r="C22" s="23">
        <f>'2011 полн'!C16</f>
        <v>45138.186</v>
      </c>
      <c r="D22" s="24">
        <f>'2011 полн'!D16</f>
        <v>438.294</v>
      </c>
      <c r="E22" s="295">
        <f>'2011 полн'!U16</f>
        <v>45675.36</v>
      </c>
      <c r="F22" s="295">
        <f>'2011 полн'!V16</f>
        <v>171.00000000000003</v>
      </c>
      <c r="G22" s="301">
        <f>'2011 полн'!AF16</f>
        <v>51449.71</v>
      </c>
      <c r="H22" s="301">
        <f>'2011 полн'!AG16</f>
        <v>52059.004</v>
      </c>
      <c r="I22" s="301">
        <f>'2011 полн'!AJ16</f>
        <v>10006.668</v>
      </c>
      <c r="J22" s="301">
        <f>'2011 полн'!AK16</f>
        <v>3537.1444</v>
      </c>
      <c r="K22" s="295">
        <f>'2011 полн'!AL16</f>
        <v>1055.864</v>
      </c>
      <c r="L22" s="291">
        <f>'2012 полн (2)'!AM16+'2012 полн (2)'!AN16+'2012 полн (2)'!AO16+'2012 полн (2)'!AP16+'2012 полн (2)'!AQ16+'2012 полн (2)'!AR16+'2012 полн (2)'!AS16+'2012 полн (2)'!AT16</f>
        <v>31025.833199999997</v>
      </c>
      <c r="M22" s="328">
        <f>'2012 полн (2)'!AU16+'2012 полн (2)'!AV16+'2012 полн (2)'!AW16+'2012 полн (2)'!AX16</f>
        <v>1552.99</v>
      </c>
      <c r="N22" s="302">
        <f>'2011 полн'!BD16</f>
        <v>7120.606</v>
      </c>
      <c r="O22" s="298">
        <f t="shared" si="0"/>
        <v>44292.4376</v>
      </c>
      <c r="P22" s="299">
        <f>'2011 полн'!BF16</f>
        <v>17773.23440000001</v>
      </c>
      <c r="Q22" s="299">
        <f>'2011 полн'!BG16</f>
        <v>5774.3499999999985</v>
      </c>
      <c r="R22" s="342">
        <f>-'[14]Павлов О.В.'!$D$5</f>
        <v>-788.364</v>
      </c>
    </row>
    <row r="23" spans="1:18" ht="13.5" hidden="1" thickBot="1">
      <c r="A23" s="227" t="s">
        <v>50</v>
      </c>
      <c r="B23" s="300">
        <f>'2011 полн'!B17</f>
        <v>5279.32</v>
      </c>
      <c r="C23" s="23">
        <f>'2011 полн'!C17</f>
        <v>45138.186</v>
      </c>
      <c r="D23" s="24">
        <f>'2011 полн'!D17</f>
        <v>438.294</v>
      </c>
      <c r="E23" s="295">
        <f>'2011 полн'!U17</f>
        <v>45688.18</v>
      </c>
      <c r="F23" s="295">
        <f>'2011 полн'!V17</f>
        <v>171.00000000000003</v>
      </c>
      <c r="G23" s="301">
        <f>'2011 полн'!AF17</f>
        <v>46795.8</v>
      </c>
      <c r="H23" s="301">
        <f>'2011 полн'!AG17</f>
        <v>47405.094000000005</v>
      </c>
      <c r="I23" s="301">
        <f>'2011 полн'!AJ17</f>
        <v>10006.668</v>
      </c>
      <c r="J23" s="301">
        <f>'2011 полн'!AK17</f>
        <v>3537.1444</v>
      </c>
      <c r="K23" s="295">
        <f>'2011 полн'!AL17</f>
        <v>1055.864</v>
      </c>
      <c r="L23" s="291">
        <f>'2012 полн (2)'!AM17+'2012 полн (2)'!AN17+'2012 полн (2)'!AO17+'2012 полн (2)'!AP17+'2012 полн (2)'!AQ17+'2012 полн (2)'!AR17+'2012 полн (2)'!AS17+'2012 полн (2)'!AT17</f>
        <v>31025.833199999997</v>
      </c>
      <c r="M23" s="328">
        <f>'2012 полн (2)'!AU17+'2012 полн (2)'!AV17+'2012 полн (2)'!AW17+'2012 полн (2)'!AX17</f>
        <v>4146.6</v>
      </c>
      <c r="N23" s="302">
        <f>'2011 полн'!BD17</f>
        <v>7120.606</v>
      </c>
      <c r="O23" s="298">
        <f t="shared" si="0"/>
        <v>46886.0476</v>
      </c>
      <c r="P23" s="299">
        <f>'2011 полн'!BF17</f>
        <v>10525.714400000012</v>
      </c>
      <c r="Q23" s="299">
        <f>'2011 полн'!BG17</f>
        <v>1107.6200000000026</v>
      </c>
      <c r="R23" s="342">
        <f>-'[14]Павлов О.В.'!$D$5</f>
        <v>-788.364</v>
      </c>
    </row>
    <row r="24" spans="1:18" ht="13.5" hidden="1" thickBot="1">
      <c r="A24" s="227" t="s">
        <v>51</v>
      </c>
      <c r="B24" s="300">
        <f>'2011 полн'!B18</f>
        <v>5279.32</v>
      </c>
      <c r="C24" s="23">
        <f>'2011 полн'!C18</f>
        <v>45138.186</v>
      </c>
      <c r="D24" s="24">
        <f>'2011 полн'!D18</f>
        <v>412.08</v>
      </c>
      <c r="E24" s="295">
        <f>'2011 полн'!U18</f>
        <v>46559.06</v>
      </c>
      <c r="F24" s="295">
        <f>'2011 полн'!V18</f>
        <v>0</v>
      </c>
      <c r="G24" s="301">
        <f>'2011 полн'!AF18</f>
        <v>43817</v>
      </c>
      <c r="H24" s="301">
        <f>'2011 полн'!AG18</f>
        <v>44229.08</v>
      </c>
      <c r="I24" s="301">
        <f>'2011 полн'!AJ18</f>
        <v>10006.668</v>
      </c>
      <c r="J24" s="301">
        <f>'2011 полн'!AK18</f>
        <v>3537.1444</v>
      </c>
      <c r="K24" s="295">
        <f>'2011 полн'!AL18</f>
        <v>1055.864</v>
      </c>
      <c r="L24" s="291">
        <f>'2012 полн (2)'!AM18+'2012 полн (2)'!AN18+'2012 полн (2)'!AO18+'2012 полн (2)'!AP18+'2012 полн (2)'!AQ18+'2012 полн (2)'!AR18+'2012 полн (2)'!AS18+'2012 полн (2)'!AT18</f>
        <v>31025.833199999997</v>
      </c>
      <c r="M24" s="328">
        <f>'2012 полн (2)'!AU18+'2012 полн (2)'!AV18+'2012 полн (2)'!AW18+'2012 полн (2)'!AX18</f>
        <v>2431.21</v>
      </c>
      <c r="N24" s="302">
        <f>'2011 полн'!BD18</f>
        <v>7120.606</v>
      </c>
      <c r="O24" s="298">
        <f t="shared" si="0"/>
        <v>45170.6576</v>
      </c>
      <c r="P24" s="299">
        <f>'2011 полн'!BF18</f>
        <v>9065.090400000008</v>
      </c>
      <c r="Q24" s="299">
        <f>'2011 полн'!BG18</f>
        <v>-2742.0599999999977</v>
      </c>
      <c r="R24" s="342">
        <f>-'[14]Павлов О.В.'!$D$5</f>
        <v>-788.364</v>
      </c>
    </row>
    <row r="25" spans="1:19" ht="13.5" hidden="1" thickBot="1">
      <c r="A25" s="227" t="s">
        <v>39</v>
      </c>
      <c r="B25" s="300">
        <f>'2011 полн'!B19</f>
        <v>5279.32</v>
      </c>
      <c r="C25" s="23">
        <f>'2011 полн'!C19</f>
        <v>45138.186</v>
      </c>
      <c r="D25" s="24">
        <f>'2011 полн'!D19</f>
        <v>412.08</v>
      </c>
      <c r="E25" s="295">
        <f>'2011 полн'!U19</f>
        <v>46232.770000000004</v>
      </c>
      <c r="F25" s="295">
        <f>'2011 полн'!V19</f>
        <v>327.46</v>
      </c>
      <c r="G25" s="301">
        <f>'2011 полн'!AF19</f>
        <v>47046.92</v>
      </c>
      <c r="H25" s="301">
        <f>'2011 полн'!AG19</f>
        <v>47786.46</v>
      </c>
      <c r="I25" s="301">
        <f>'2011 полн'!AJ19</f>
        <v>10006.668</v>
      </c>
      <c r="J25" s="301">
        <f>'2011 полн'!AK19</f>
        <v>3537.1444</v>
      </c>
      <c r="K25" s="295">
        <f>'2011 полн'!AL19</f>
        <v>1055.864</v>
      </c>
      <c r="L25" s="291">
        <f>'2012 полн (2)'!AM19+'2012 полн (2)'!AN19+'2012 полн (2)'!AO19+'2012 полн (2)'!AP19+'2012 полн (2)'!AQ19+'2012 полн (2)'!AR19+'2012 полн (2)'!AS19+'2012 полн (2)'!AT19</f>
        <v>37097.051199999994</v>
      </c>
      <c r="M25" s="328">
        <f>'2012 полн (2)'!AU19+'2012 полн (2)'!AV19+'2012 полн (2)'!AW19+'2012 полн (2)'!AX19</f>
        <v>2220.33</v>
      </c>
      <c r="N25" s="302">
        <f>'2011 полн'!BD19</f>
        <v>7120.606</v>
      </c>
      <c r="O25" s="298">
        <f t="shared" si="0"/>
        <v>51030.995599999995</v>
      </c>
      <c r="P25" s="299">
        <f>'2011 полн'!BF19</f>
        <v>6762.132400000002</v>
      </c>
      <c r="Q25" s="323">
        <f>'2011 полн'!BG19</f>
        <v>814.1499999999942</v>
      </c>
      <c r="R25" s="342">
        <f>-'[14]Павлов О.В.'!$D$5</f>
        <v>-788.364</v>
      </c>
      <c r="S25" s="320"/>
    </row>
    <row r="26" spans="1:18" ht="13.5" hidden="1" thickBot="1">
      <c r="A26" s="227" t="s">
        <v>40</v>
      </c>
      <c r="B26" s="300">
        <f>'2011 полн'!B20</f>
        <v>5279.32</v>
      </c>
      <c r="C26" s="23">
        <f>'2011 полн'!C20</f>
        <v>45138.186</v>
      </c>
      <c r="D26" s="24">
        <f>'2011 полн'!D20</f>
        <v>412.08</v>
      </c>
      <c r="E26" s="295">
        <f>'2011 полн'!U20</f>
        <v>46404.93000000001</v>
      </c>
      <c r="F26" s="295">
        <f>'2011 полн'!V20</f>
        <v>171.00000000000003</v>
      </c>
      <c r="G26" s="301">
        <f>'2011 полн'!AF20</f>
        <v>41107.11</v>
      </c>
      <c r="H26" s="301">
        <f>'2011 полн'!AG20</f>
        <v>41690.19</v>
      </c>
      <c r="I26" s="301">
        <f>'2011 полн'!AJ20</f>
        <v>10006.668</v>
      </c>
      <c r="J26" s="301">
        <f>'2011 полн'!AK20</f>
        <v>3537.1444</v>
      </c>
      <c r="K26" s="295">
        <f>'2011 полн'!AL20</f>
        <v>1055.864</v>
      </c>
      <c r="L26" s="291">
        <f>'2012 полн (2)'!AM20+'2012 полн (2)'!AN20+'2012 полн (2)'!AO20+'2012 полн (2)'!AP20+'2012 полн (2)'!AQ20+'2012 полн (2)'!AR20+'2012 полн (2)'!AS20+'2012 полн (2)'!AT20</f>
        <v>37097.051199999994</v>
      </c>
      <c r="M26" s="328">
        <f>'2012 полн (2)'!AU20+'2012 полн (2)'!AV20+'2012 полн (2)'!AW20+'2012 полн (2)'!AX20</f>
        <v>13940</v>
      </c>
      <c r="N26" s="302">
        <f>'2011 полн'!BD20</f>
        <v>7120.606</v>
      </c>
      <c r="O26" s="298">
        <f t="shared" si="0"/>
        <v>62750.66559999999</v>
      </c>
      <c r="P26" s="299">
        <f>'2011 полн'!BF20</f>
        <v>-11053.807599999993</v>
      </c>
      <c r="Q26" s="299">
        <f>'2011 полн'!BG20</f>
        <v>-5297.820000000007</v>
      </c>
      <c r="R26" s="342">
        <f>-'[14]Павлов О.В.'!$D$5</f>
        <v>-788.364</v>
      </c>
    </row>
    <row r="27" spans="1:18" ht="13.5" hidden="1" thickBot="1">
      <c r="A27" s="303" t="s">
        <v>41</v>
      </c>
      <c r="B27" s="300">
        <f>'2011 полн'!B21</f>
        <v>5278.82</v>
      </c>
      <c r="C27" s="23">
        <f>'2011 полн'!C21</f>
        <v>45133.911</v>
      </c>
      <c r="D27" s="24">
        <f>'2011 полн'!D21</f>
        <v>99412.08</v>
      </c>
      <c r="E27" s="295">
        <f>'2011 полн'!U21</f>
        <v>46490.61</v>
      </c>
      <c r="F27" s="295">
        <f>'2011 полн'!V21</f>
        <v>185.54</v>
      </c>
      <c r="G27" s="301">
        <f>'2011 полн'!AF21</f>
        <v>52239.08</v>
      </c>
      <c r="H27" s="301">
        <f>'2011 полн'!AG21</f>
        <v>151836.7</v>
      </c>
      <c r="I27" s="301">
        <f>'2011 полн'!AJ21</f>
        <v>11206.668</v>
      </c>
      <c r="J27" s="301">
        <f>'2011 полн'!AK21</f>
        <v>3536.8094</v>
      </c>
      <c r="K27" s="295">
        <f>'2011 полн'!AL21</f>
        <v>1055.764</v>
      </c>
      <c r="L27" s="291">
        <f>'2012 полн (2)'!AM21+'2012 полн (2)'!AN21+'2012 полн (2)'!AO21+'2012 полн (2)'!AP21+'2012 полн (2)'!AQ21+'2012 полн (2)'!AR21+'2012 полн (2)'!AS21+'2012 полн (2)'!AT21</f>
        <v>37093.59619999999</v>
      </c>
      <c r="M27" s="328">
        <f>'2012 полн (2)'!AU21+'2012 полн (2)'!AV21+'2012 полн (2)'!AW21+'2012 полн (2)'!AX21</f>
        <v>2118</v>
      </c>
      <c r="N27" s="302">
        <f>'2011 полн'!BE21</f>
        <v>51224.77559999999</v>
      </c>
      <c r="O27" s="298">
        <f t="shared" si="0"/>
        <v>95028.94519999999</v>
      </c>
      <c r="P27" s="299">
        <f>'2011 полн'!BF21</f>
        <v>111818.59240000002</v>
      </c>
      <c r="Q27" s="325">
        <f>'2011 полн'!BG21</f>
        <v>5748.470000000001</v>
      </c>
      <c r="R27" s="342">
        <f>-'[14]Павлов О.В.'!$D$5</f>
        <v>-788.364</v>
      </c>
    </row>
    <row r="28" spans="1:19" s="16" customFormat="1" ht="13.5" hidden="1" thickBot="1">
      <c r="A28" s="29" t="s">
        <v>3</v>
      </c>
      <c r="B28" s="30"/>
      <c r="C28" s="60">
        <f aca="true" t="shared" si="1" ref="C28:P28">SUM(C16:C27)</f>
        <v>541689.0119999999</v>
      </c>
      <c r="D28" s="60">
        <f t="shared" si="1"/>
        <v>104154.672</v>
      </c>
      <c r="E28" s="60">
        <f t="shared" si="1"/>
        <v>551586.23</v>
      </c>
      <c r="F28" s="60">
        <f t="shared" si="1"/>
        <v>1760.2</v>
      </c>
      <c r="G28" s="60">
        <f t="shared" si="1"/>
        <v>531301.2799999999</v>
      </c>
      <c r="H28" s="60">
        <f t="shared" si="1"/>
        <v>637216.152</v>
      </c>
      <c r="I28" s="60">
        <f t="shared" si="1"/>
        <v>121280.01600000002</v>
      </c>
      <c r="J28" s="60">
        <f t="shared" si="1"/>
        <v>42448.1448</v>
      </c>
      <c r="K28" s="60">
        <f t="shared" si="1"/>
        <v>12671.087999999996</v>
      </c>
      <c r="L28" s="60">
        <f t="shared" si="1"/>
        <v>406294.3823999999</v>
      </c>
      <c r="M28" s="60">
        <f t="shared" si="1"/>
        <v>119582.21000000002</v>
      </c>
      <c r="N28" s="60">
        <f t="shared" si="1"/>
        <v>129551.44159999999</v>
      </c>
      <c r="O28" s="60">
        <f t="shared" si="1"/>
        <v>710547.2667999999</v>
      </c>
      <c r="P28" s="60">
        <f t="shared" si="1"/>
        <v>91753.07080000007</v>
      </c>
      <c r="Q28" s="60">
        <f>SUM(Q16:Q27)</f>
        <v>-20284.95000000001</v>
      </c>
      <c r="R28" s="324">
        <f>SUM(R16:R27)</f>
        <v>-9460.367999999999</v>
      </c>
      <c r="S28" s="56"/>
    </row>
    <row r="29" spans="1:18" ht="13.5" hidden="1" thickBot="1">
      <c r="A29" s="513" t="s">
        <v>65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288"/>
      <c r="P29" s="289"/>
      <c r="Q29" s="289"/>
      <c r="R29" s="322"/>
    </row>
    <row r="30" spans="1:19" s="16" customFormat="1" ht="13.5" thickBot="1">
      <c r="A30" s="63" t="s">
        <v>52</v>
      </c>
      <c r="B30" s="33"/>
      <c r="C30" s="34">
        <f aca="true" t="shared" si="2" ref="C30:Q30">C28+C14</f>
        <v>1775248.731</v>
      </c>
      <c r="D30" s="34">
        <f t="shared" si="2"/>
        <v>388234.80630205</v>
      </c>
      <c r="E30" s="34">
        <f t="shared" si="2"/>
        <v>1457123.19</v>
      </c>
      <c r="F30" s="34">
        <f t="shared" si="2"/>
        <v>189535.33000000002</v>
      </c>
      <c r="G30" s="34">
        <f t="shared" si="2"/>
        <v>1390442.8599999999</v>
      </c>
      <c r="H30" s="34">
        <f t="shared" si="2"/>
        <v>1968212.9963020498</v>
      </c>
      <c r="I30" s="34">
        <f t="shared" si="2"/>
        <v>190993.08218420797</v>
      </c>
      <c r="J30" s="34">
        <f t="shared" si="2"/>
        <v>126745.4448</v>
      </c>
      <c r="K30" s="34">
        <f t="shared" si="2"/>
        <v>40918.620284</v>
      </c>
      <c r="L30" s="34">
        <f t="shared" si="2"/>
        <v>1204068.697606206</v>
      </c>
      <c r="M30" s="34">
        <f t="shared" si="2"/>
        <v>554277.9066000001</v>
      </c>
      <c r="N30" s="34">
        <f t="shared" si="2"/>
        <v>199264.50778420796</v>
      </c>
      <c r="O30" s="34">
        <f t="shared" si="2"/>
        <v>2125275.1770744137</v>
      </c>
      <c r="P30" s="34">
        <f t="shared" si="2"/>
        <v>164149.1041476363</v>
      </c>
      <c r="Q30" s="34">
        <f t="shared" si="2"/>
        <v>-66680.33000000003</v>
      </c>
      <c r="R30" s="61">
        <f>R28+R14</f>
        <v>-21285.828</v>
      </c>
      <c r="S30" s="56"/>
    </row>
    <row r="31" spans="1:19" ht="13.5" thickBot="1">
      <c r="A31" s="51" t="s">
        <v>130</v>
      </c>
      <c r="B31" s="331"/>
      <c r="C31" s="332"/>
      <c r="D31" s="333"/>
      <c r="E31" s="334"/>
      <c r="F31" s="335"/>
      <c r="G31" s="336"/>
      <c r="H31" s="335"/>
      <c r="I31" s="337"/>
      <c r="J31" s="336"/>
      <c r="K31" s="334"/>
      <c r="L31" s="334"/>
      <c r="M31" s="338"/>
      <c r="N31" s="339"/>
      <c r="O31" s="335"/>
      <c r="P31" s="340"/>
      <c r="Q31" s="340"/>
      <c r="R31" s="341"/>
      <c r="S31" s="214"/>
    </row>
    <row r="32" spans="1:19" ht="13.5" thickBot="1">
      <c r="A32" s="326" t="s">
        <v>43</v>
      </c>
      <c r="B32" s="327">
        <f>'2011 полн'!B26</f>
        <v>5278.82</v>
      </c>
      <c r="C32" s="35">
        <f>'2011 полн'!C26</f>
        <v>45133.911</v>
      </c>
      <c r="D32" s="36">
        <f>'2011 полн'!D26</f>
        <v>412.08</v>
      </c>
      <c r="E32" s="291">
        <f>'2011 полн'!U26</f>
        <v>46417.96</v>
      </c>
      <c r="F32" s="291">
        <f>'2011 полн'!V26</f>
        <v>171.00000000000003</v>
      </c>
      <c r="G32" s="293">
        <f>'2011 полн'!AF26</f>
        <v>39974.2</v>
      </c>
      <c r="H32" s="293">
        <f>'2011 полн'!AG26</f>
        <v>40557.28</v>
      </c>
      <c r="I32" s="293">
        <f>'2011 полн'!AJ26</f>
        <v>12759.23</v>
      </c>
      <c r="J32" s="293">
        <f>'2011 полн'!AK26</f>
        <v>3536.8094</v>
      </c>
      <c r="K32" s="291">
        <f>'2011 полн'!AL26</f>
        <v>1055.764</v>
      </c>
      <c r="L32" s="291">
        <f>'2012 полн (2)'!AM26+'2012 полн (2)'!AN26+'2012 полн (2)'!AO26+'2012 полн (2)'!AP26+'2012 полн (2)'!AQ26+'2012 полн (2)'!AR26+'2012 полн (2)'!AS26+'2012 полн (2)'!AT26</f>
        <v>37093.59619999999</v>
      </c>
      <c r="M32" s="328">
        <f>'2012 полн (2)'!AU26+'2012 полн (2)'!AV26+'2012 полн (2)'!AW26+'2012 полн (2)'!AX26</f>
        <v>6788</v>
      </c>
      <c r="N32" s="329">
        <f>'2011 полн'!BD26</f>
        <v>7120.606</v>
      </c>
      <c r="O32" s="292">
        <f>SUM(J32:N32)</f>
        <v>55594.77559999999</v>
      </c>
      <c r="P32" s="330">
        <f>'2011 полн'!BF26</f>
        <v>-2278.265599999999</v>
      </c>
      <c r="Q32" s="330">
        <f>'2011 полн'!BG26</f>
        <v>-6443.760000000002</v>
      </c>
      <c r="R32" s="342">
        <f>-'[14]Павлов О.В.'!$D$5</f>
        <v>-788.364</v>
      </c>
      <c r="S32" s="214"/>
    </row>
    <row r="33" spans="1:19" ht="13.5" thickBot="1">
      <c r="A33" s="227" t="s">
        <v>44</v>
      </c>
      <c r="B33" s="300">
        <f>'2011 полн'!B27</f>
        <v>5278.82</v>
      </c>
      <c r="C33" s="23">
        <f>'2011 полн'!C27</f>
        <v>45133.911</v>
      </c>
      <c r="D33" s="24">
        <f>'2011 полн'!D27</f>
        <v>412.08</v>
      </c>
      <c r="E33" s="295">
        <f>'2011 полн'!U27</f>
        <v>46446.6</v>
      </c>
      <c r="F33" s="295">
        <f>'2011 полн'!V27</f>
        <v>171.00000000000003</v>
      </c>
      <c r="G33" s="301">
        <f>'2011 полн'!AF27</f>
        <v>36420.159999999996</v>
      </c>
      <c r="H33" s="301">
        <f>'2011 полн'!AG27</f>
        <v>37003.24</v>
      </c>
      <c r="I33" s="301">
        <f>'2011 полн'!AJ27</f>
        <v>12759.23</v>
      </c>
      <c r="J33" s="301">
        <f>'2011 полн'!AK27</f>
        <v>3536.8094</v>
      </c>
      <c r="K33" s="295">
        <f>'2011 полн'!AL27</f>
        <v>1055.764</v>
      </c>
      <c r="L33" s="291">
        <f>'2012 полн (2)'!AM27+'2012 полн (2)'!AN27+'2012 полн (2)'!AO27+'2012 полн (2)'!AP27+'2012 полн (2)'!AQ27+'2012 полн (2)'!AR27+'2012 полн (2)'!AS27+'2012 полн (2)'!AT27</f>
        <v>37093.59619999999</v>
      </c>
      <c r="M33" s="328">
        <f>'2012 полн (2)'!AU27+'2012 полн (2)'!AV27+'2012 полн (2)'!AW27+'2012 полн (2)'!AX27</f>
        <v>109000</v>
      </c>
      <c r="N33" s="302">
        <f>'2011 полн'!BD27</f>
        <v>7120.606</v>
      </c>
      <c r="O33" s="298">
        <f aca="true" t="shared" si="3" ref="O33:O43">SUM(J33:N33)</f>
        <v>157806.7756</v>
      </c>
      <c r="P33" s="299">
        <f>'2011 полн'!BF27</f>
        <v>-108044.30559999999</v>
      </c>
      <c r="Q33" s="299">
        <f>'2011 полн'!BG27</f>
        <v>-10026.440000000002</v>
      </c>
      <c r="R33" s="342">
        <f>-'[14]Павлов О.В.'!$D$5</f>
        <v>-788.364</v>
      </c>
      <c r="S33" s="214"/>
    </row>
    <row r="34" spans="1:19" ht="13.5" thickBot="1">
      <c r="A34" s="227" t="s">
        <v>45</v>
      </c>
      <c r="B34" s="300">
        <f>'2011 полн'!B28</f>
        <v>5278.82</v>
      </c>
      <c r="C34" s="23">
        <f>'2011 полн'!C28</f>
        <v>45133.911</v>
      </c>
      <c r="D34" s="24">
        <f>'2011 полн'!D28</f>
        <v>412.08</v>
      </c>
      <c r="E34" s="295">
        <f>'2011 полн'!U28</f>
        <v>46457.53</v>
      </c>
      <c r="F34" s="295">
        <f>'2011 полн'!V28</f>
        <v>171.00000000000003</v>
      </c>
      <c r="G34" s="301">
        <f>'2011 полн'!AF28</f>
        <v>51723.61</v>
      </c>
      <c r="H34" s="301">
        <f>'2011 полн'!AG28</f>
        <v>52306.69</v>
      </c>
      <c r="I34" s="301">
        <f>'2011 полн'!AJ28</f>
        <v>13359.23</v>
      </c>
      <c r="J34" s="301">
        <f>'2011 полн'!AK28</f>
        <v>3536.8094</v>
      </c>
      <c r="K34" s="295">
        <f>'2011 полн'!AL28</f>
        <v>1055.764</v>
      </c>
      <c r="L34" s="291">
        <f>'2012 полн (2)'!AM28+'2012 полн (2)'!AN28+'2012 полн (2)'!AO28+'2012 полн (2)'!AP28+'2012 полн (2)'!AQ28+'2012 полн (2)'!AR28+'2012 полн (2)'!AS28+'2012 полн (2)'!AT28</f>
        <v>37093.59619999999</v>
      </c>
      <c r="M34" s="328">
        <f>'2012 полн (2)'!AU28+'2012 полн (2)'!AV28+'2012 полн (2)'!AW28+'2012 полн (2)'!AX28</f>
        <v>27569.43</v>
      </c>
      <c r="N34" s="302">
        <f>'2011 полн'!BD28</f>
        <v>7270.606</v>
      </c>
      <c r="O34" s="298">
        <f t="shared" si="3"/>
        <v>76526.20559999999</v>
      </c>
      <c r="P34" s="299">
        <f>'2011 полн'!BF28</f>
        <v>-10860.285599999988</v>
      </c>
      <c r="Q34" s="299">
        <f>'2011 полн'!BG28</f>
        <v>5266.080000000002</v>
      </c>
      <c r="R34" s="342">
        <f>-'[14]Павлов О.В.'!$D$5</f>
        <v>-788.364</v>
      </c>
      <c r="S34" s="214"/>
    </row>
    <row r="35" spans="1:19" ht="13.5" thickBot="1">
      <c r="A35" s="227" t="s">
        <v>46</v>
      </c>
      <c r="B35" s="300">
        <f>'2011 полн'!B29</f>
        <v>5278.82</v>
      </c>
      <c r="C35" s="23">
        <f>'2011 полн'!C29</f>
        <v>45133.911</v>
      </c>
      <c r="D35" s="24">
        <f>'2011 полн'!D29</f>
        <v>412.08</v>
      </c>
      <c r="E35" s="295">
        <f>'2011 полн'!U29</f>
        <v>45895.560000000005</v>
      </c>
      <c r="F35" s="295">
        <f>'2011 полн'!V29</f>
        <v>171.00000000000003</v>
      </c>
      <c r="G35" s="301">
        <f>'2011 полн'!AF29</f>
        <v>45810.04</v>
      </c>
      <c r="H35" s="301">
        <f>'2011 полн'!AG29</f>
        <v>46393.12</v>
      </c>
      <c r="I35" s="301">
        <f>'2011 полн'!AJ29</f>
        <v>12959.23</v>
      </c>
      <c r="J35" s="301">
        <f>'2011 полн'!AK29</f>
        <v>3536.8094</v>
      </c>
      <c r="K35" s="295">
        <f>'2011 полн'!AL29</f>
        <v>1055.764</v>
      </c>
      <c r="L35" s="291">
        <f>'2012 полн (2)'!AM29+'2012 полн (2)'!AN29+'2012 полн (2)'!AO29+'2012 полн (2)'!AP29+'2012 полн (2)'!AQ29+'2012 полн (2)'!AR29+'2012 полн (2)'!AS29+'2012 полн (2)'!AT29</f>
        <v>31022.9532</v>
      </c>
      <c r="M35" s="328">
        <f>'2012 полн (2)'!AU29+'2012 полн (2)'!AV29+'2012 полн (2)'!AW29+'2012 полн (2)'!AX29</f>
        <v>34589.4</v>
      </c>
      <c r="N35" s="302">
        <f>'2011 полн'!BD29</f>
        <v>7170.606</v>
      </c>
      <c r="O35" s="298">
        <f t="shared" si="3"/>
        <v>77375.5326</v>
      </c>
      <c r="P35" s="299">
        <f>'2011 полн'!BF29</f>
        <v>-18023.182599999986</v>
      </c>
      <c r="Q35" s="299">
        <f>'2011 полн'!BG29</f>
        <v>-85.52000000000407</v>
      </c>
      <c r="R35" s="342">
        <f>-'[14]Павлов О.В.'!$D$5</f>
        <v>-788.364</v>
      </c>
      <c r="S35" s="214"/>
    </row>
    <row r="36" spans="1:19" ht="13.5" thickBot="1">
      <c r="A36" s="227" t="s">
        <v>47</v>
      </c>
      <c r="B36" s="300">
        <f>'2011 полн'!B30</f>
        <v>5278.82</v>
      </c>
      <c r="C36" s="23">
        <f>'2011 полн'!C30</f>
        <v>45133.911</v>
      </c>
      <c r="D36" s="24">
        <f>'2011 полн'!D30</f>
        <v>412.08</v>
      </c>
      <c r="E36" s="295">
        <f>'2011 полн'!U30</f>
        <v>46416.51</v>
      </c>
      <c r="F36" s="295">
        <f>'2011 полн'!V30</f>
        <v>171.00000000000003</v>
      </c>
      <c r="G36" s="301">
        <f>'2011 полн'!AF30</f>
        <v>52054.21</v>
      </c>
      <c r="H36" s="301">
        <f>'2011 полн'!AG30</f>
        <v>52637.29</v>
      </c>
      <c r="I36" s="301">
        <f>'2011 полн'!AJ30</f>
        <v>12959.23</v>
      </c>
      <c r="J36" s="301">
        <f>'2011 полн'!AK30</f>
        <v>3536.8094</v>
      </c>
      <c r="K36" s="295">
        <f>'2011 полн'!AL30</f>
        <v>1055.764</v>
      </c>
      <c r="L36" s="291">
        <f>'2012 полн (2)'!AM30+'2012 полн (2)'!AN30+'2012 полн (2)'!AO30+'2012 полн (2)'!AP30+'2012 полн (2)'!AQ30+'2012 полн (2)'!AR30+'2012 полн (2)'!AS30+'2012 полн (2)'!AT30</f>
        <v>31022.9532</v>
      </c>
      <c r="M36" s="328">
        <f>'2012 полн (2)'!AU30+'2012 полн (2)'!AV30+'2012 полн (2)'!AW30+'2012 полн (2)'!AX30</f>
        <v>25.65</v>
      </c>
      <c r="N36" s="302">
        <f>'2011 полн'!BD30</f>
        <v>7170.606</v>
      </c>
      <c r="O36" s="298">
        <f t="shared" si="3"/>
        <v>42811.7826</v>
      </c>
      <c r="P36" s="299">
        <f>'2011 полн'!BF30</f>
        <v>22784.737400000005</v>
      </c>
      <c r="Q36" s="299">
        <f>'2011 полн'!BG30</f>
        <v>5637.699999999997</v>
      </c>
      <c r="R36" s="342">
        <f>-'[14]Павлов О.В.'!$D$5</f>
        <v>-788.364</v>
      </c>
      <c r="S36" s="214"/>
    </row>
    <row r="37" spans="1:19" ht="13.5" thickBot="1">
      <c r="A37" s="227" t="s">
        <v>48</v>
      </c>
      <c r="B37" s="300">
        <f>'2011 полн'!B31</f>
        <v>5278.82</v>
      </c>
      <c r="C37" s="23">
        <f>'2011 полн'!C31</f>
        <v>45133.911</v>
      </c>
      <c r="D37" s="24">
        <f>'2011 полн'!D31</f>
        <v>412.08</v>
      </c>
      <c r="E37" s="295">
        <f>'2011 полн'!U31</f>
        <v>46414.01</v>
      </c>
      <c r="F37" s="295">
        <f>'2011 полн'!V31</f>
        <v>171.02</v>
      </c>
      <c r="G37" s="301">
        <f>'2011 полн'!AF31</f>
        <v>39567.70999999999</v>
      </c>
      <c r="H37" s="301">
        <f>'2011 полн'!AG31</f>
        <v>40150.80999999999</v>
      </c>
      <c r="I37" s="301">
        <f>'2011 полн'!AJ31</f>
        <v>12959.23</v>
      </c>
      <c r="J37" s="301">
        <f>'2011 полн'!AK31</f>
        <v>3536.8094</v>
      </c>
      <c r="K37" s="295">
        <f>'2011 полн'!AL31</f>
        <v>1055.764</v>
      </c>
      <c r="L37" s="291">
        <f>'2012 полн (2)'!AM31+'2012 полн (2)'!AN31+'2012 полн (2)'!AO31+'2012 полн (2)'!AP31+'2012 полн (2)'!AQ31+'2012 полн (2)'!AR31+'2012 полн (2)'!AS31+'2012 полн (2)'!AT31</f>
        <v>31022.9532</v>
      </c>
      <c r="M37" s="328">
        <f>'2012 полн (2)'!AU31+'2012 полн (2)'!AV31+'2012 полн (2)'!AW31+'2012 полн (2)'!AX31</f>
        <v>2810.29</v>
      </c>
      <c r="N37" s="302">
        <f>'2011 полн'!BD31</f>
        <v>7170.606</v>
      </c>
      <c r="O37" s="298">
        <f t="shared" si="3"/>
        <v>45596.4226</v>
      </c>
      <c r="P37" s="299">
        <f>'2011 полн'!BF31</f>
        <v>7513.6173999999955</v>
      </c>
      <c r="Q37" s="299">
        <f>'2011 полн'!BG31</f>
        <v>-6846.30000000001</v>
      </c>
      <c r="R37" s="342">
        <f>-'[14]Павлов О.В.'!$D$5</f>
        <v>-788.364</v>
      </c>
      <c r="S37" s="214"/>
    </row>
    <row r="38" spans="1:18" ht="13.5" thickBot="1">
      <c r="A38" s="227" t="s">
        <v>49</v>
      </c>
      <c r="B38" s="300">
        <f>'2011 полн'!B32</f>
        <v>5278.82</v>
      </c>
      <c r="C38" s="23">
        <f>'2011 полн'!C32</f>
        <v>50201.578199999996</v>
      </c>
      <c r="D38" s="24">
        <f>'2011 полн'!D32</f>
        <v>551.46</v>
      </c>
      <c r="E38" s="295">
        <f>'2011 полн'!U32</f>
        <v>51612.06</v>
      </c>
      <c r="F38" s="295">
        <f>'2011 полн'!V32</f>
        <v>190.2</v>
      </c>
      <c r="G38" s="301">
        <f>'2011 полн'!AF32</f>
        <v>48637.520000000004</v>
      </c>
      <c r="H38" s="301">
        <f>'2011 полн'!AG32</f>
        <v>49379.18000000001</v>
      </c>
      <c r="I38" s="301">
        <f>'2011 полн'!AJ32</f>
        <v>12959.23</v>
      </c>
      <c r="J38" s="301">
        <f>'2011 полн'!AK32</f>
        <v>3959.115</v>
      </c>
      <c r="K38" s="295">
        <f>'2011 полн'!AL32</f>
        <v>1055.764</v>
      </c>
      <c r="L38" s="291">
        <f>'2012 полн (2)'!AM32+'2012 полн (2)'!AN32+'2012 полн (2)'!AO32+'2012 полн (2)'!AP32+'2012 полн (2)'!AQ32+'2012 полн (2)'!AR32+'2012 полн (2)'!AS32+'2012 полн (2)'!AT32</f>
        <v>31022.9532</v>
      </c>
      <c r="M38" s="328">
        <f>'2012 полн (2)'!AU32+'2012 полн (2)'!AV32+'2012 полн (2)'!AW32+'2012 полн (2)'!AX32</f>
        <v>26353.65</v>
      </c>
      <c r="N38" s="302">
        <f>'2011 полн'!BD32</f>
        <v>7170.606</v>
      </c>
      <c r="O38" s="298">
        <f t="shared" si="3"/>
        <v>69562.0882</v>
      </c>
      <c r="P38" s="299">
        <f>'2011 полн'!BF32</f>
        <v>-7223.678199999995</v>
      </c>
      <c r="Q38" s="299">
        <f>'2011 полн'!BG32</f>
        <v>-2974.5399999999936</v>
      </c>
      <c r="R38" s="342">
        <f>-'[14]Павлов О.В.'!$D$5</f>
        <v>-788.364</v>
      </c>
    </row>
    <row r="39" spans="1:18" ht="13.5" thickBot="1">
      <c r="A39" s="227" t="s">
        <v>50</v>
      </c>
      <c r="B39" s="300">
        <f>'2011 полн'!B33</f>
        <v>5278.82</v>
      </c>
      <c r="C39" s="23">
        <f>'2011 полн'!C33</f>
        <v>50201.578199999996</v>
      </c>
      <c r="D39" s="24">
        <f>'2011 полн'!D33</f>
        <v>0</v>
      </c>
      <c r="E39" s="295">
        <f>'2011 полн'!U33</f>
        <v>51610.64</v>
      </c>
      <c r="F39" s="295">
        <f>'2011 полн'!V33</f>
        <v>190.2</v>
      </c>
      <c r="G39" s="301">
        <f>'2011 полн'!AF33</f>
        <v>48835.34</v>
      </c>
      <c r="H39" s="301">
        <f>'2011 полн'!AG33</f>
        <v>49025.53999999999</v>
      </c>
      <c r="I39" s="301">
        <f>'2011 полн'!AJ33</f>
        <v>15359.23</v>
      </c>
      <c r="J39" s="301">
        <f>'2011 полн'!AK33</f>
        <v>3959.115</v>
      </c>
      <c r="K39" s="295">
        <f>'2011 полн'!AL33</f>
        <v>1055.764</v>
      </c>
      <c r="L39" s="291">
        <f>'2012 полн (2)'!AM33+'2012 полн (2)'!AN33+'2012 полн (2)'!AO33+'2012 полн (2)'!AP33+'2012 полн (2)'!AQ33+'2012 полн (2)'!AR33+'2012 полн (2)'!AS33+'2012 полн (2)'!AT33</f>
        <v>31022.9532</v>
      </c>
      <c r="M39" s="328">
        <f>'2012 полн (2)'!AU33+'2012 полн (2)'!AV33+'2012 полн (2)'!AW33+'2012 полн (2)'!AX33</f>
        <v>62.44</v>
      </c>
      <c r="N39" s="302">
        <f>'2011 полн'!BD33</f>
        <v>7770.606</v>
      </c>
      <c r="O39" s="298">
        <f t="shared" si="3"/>
        <v>43870.8782</v>
      </c>
      <c r="P39" s="299">
        <f>'2011 полн'!BF33</f>
        <v>20513.89179999999</v>
      </c>
      <c r="Q39" s="299">
        <f>'2011 полн'!BG33</f>
        <v>-2775.300000000003</v>
      </c>
      <c r="R39" s="342">
        <f>-'[14]Павлов О.В.'!$D$5</f>
        <v>-788.364</v>
      </c>
    </row>
    <row r="40" spans="1:18" ht="13.5" thickBot="1">
      <c r="A40" s="227" t="s">
        <v>51</v>
      </c>
      <c r="B40" s="300">
        <f>'2011 полн'!B34</f>
        <v>5278.82</v>
      </c>
      <c r="C40" s="23">
        <f>'2011 полн'!C34</f>
        <v>50201.578199999996</v>
      </c>
      <c r="D40" s="24">
        <f>'2011 полн'!D34</f>
        <v>0</v>
      </c>
      <c r="E40" s="295">
        <f>'2011 полн'!U34</f>
        <v>51605.93</v>
      </c>
      <c r="F40" s="295">
        <f>'2011 полн'!V34</f>
        <v>190.2</v>
      </c>
      <c r="G40" s="301">
        <f>'2011 полн'!AF34</f>
        <v>49637.98</v>
      </c>
      <c r="H40" s="301">
        <f>'2011 полн'!AG34</f>
        <v>49828.18</v>
      </c>
      <c r="I40" s="301">
        <f>'2011 полн'!AJ34</f>
        <v>13759.23</v>
      </c>
      <c r="J40" s="301">
        <f>'2011 полн'!AK34</f>
        <v>3959.115</v>
      </c>
      <c r="K40" s="295">
        <f>'2011 полн'!AL34</f>
        <v>1055.764</v>
      </c>
      <c r="L40" s="291">
        <f>'2012 полн (2)'!AM34+'2012 полн (2)'!AN34+'2012 полн (2)'!AO34+'2012 полн (2)'!AP34+'2012 полн (2)'!AQ34+'2012 полн (2)'!AR34+'2012 полн (2)'!AS34+'2012 полн (2)'!AT34</f>
        <v>31022.9532</v>
      </c>
      <c r="M40" s="328">
        <f>'2012 полн (2)'!AU34+'2012 полн (2)'!AV34+'2012 полн (2)'!AW34+'2012 полн (2)'!AX34</f>
        <v>7311.825</v>
      </c>
      <c r="N40" s="302">
        <f>'2011 полн'!BD34</f>
        <v>7370.606</v>
      </c>
      <c r="O40" s="298">
        <f t="shared" si="3"/>
        <v>50720.263199999994</v>
      </c>
      <c r="P40" s="299">
        <f>'2011 полн'!BF34</f>
        <v>12867.14680000001</v>
      </c>
      <c r="Q40" s="299">
        <f>'2011 полн'!BG34</f>
        <v>-1967.949999999997</v>
      </c>
      <c r="R40" s="342">
        <f>-'[14]Павлов О.В.'!$D$5</f>
        <v>-788.364</v>
      </c>
    </row>
    <row r="41" spans="1:19" ht="13.5" thickBot="1">
      <c r="A41" s="227" t="s">
        <v>39</v>
      </c>
      <c r="B41" s="300">
        <f>'2011 полн'!B35</f>
        <v>5278.82</v>
      </c>
      <c r="C41" s="23">
        <f>'2011 полн'!C35</f>
        <v>50201.578199999996</v>
      </c>
      <c r="D41" s="24">
        <f>'2011 полн'!D35</f>
        <v>0</v>
      </c>
      <c r="E41" s="295">
        <f>'2011 полн'!U35</f>
        <v>51603.44</v>
      </c>
      <c r="F41" s="295">
        <f>'2011 полн'!V35</f>
        <v>190.2</v>
      </c>
      <c r="G41" s="301">
        <f>'2011 полн'!AF35</f>
        <v>66674.08</v>
      </c>
      <c r="H41" s="301">
        <f>'2011 полн'!AG35</f>
        <v>66864.28</v>
      </c>
      <c r="I41" s="301">
        <f>'2011 полн'!AJ35</f>
        <v>13759.23</v>
      </c>
      <c r="J41" s="301">
        <f>'2011 полн'!AK35</f>
        <v>3959.115</v>
      </c>
      <c r="K41" s="295">
        <f>'2011 полн'!AL35</f>
        <v>1055.764</v>
      </c>
      <c r="L41" s="291">
        <f>'2012 полн (2)'!AM35+'2012 полн (2)'!AN35+'2012 полн (2)'!AO35+'2012 полн (2)'!AP35+'2012 полн (2)'!AQ35+'2012 полн (2)'!AR35+'2012 полн (2)'!AS35+'2012 полн (2)'!AT35</f>
        <v>37093.59619999999</v>
      </c>
      <c r="M41" s="328">
        <f>'2012 полн (2)'!AU35+'2012 полн (2)'!AV35+'2012 полн (2)'!AW35+'2012 полн (2)'!AX35</f>
        <v>1622.4207</v>
      </c>
      <c r="N41" s="302">
        <f>'2011 полн'!BD35</f>
        <v>7370.606</v>
      </c>
      <c r="O41" s="298">
        <f t="shared" si="3"/>
        <v>51101.501899999996</v>
      </c>
      <c r="P41" s="299">
        <f>'2011 полн'!BF35</f>
        <v>29522.0081</v>
      </c>
      <c r="Q41" s="323">
        <f>'2011 полн'!BG35</f>
        <v>15070.64</v>
      </c>
      <c r="R41" s="342">
        <f>-'[14]Павлов О.В.'!$D$5</f>
        <v>-788.364</v>
      </c>
      <c r="S41" s="320"/>
    </row>
    <row r="42" spans="1:18" ht="13.5" thickBot="1">
      <c r="A42" s="227" t="s">
        <v>40</v>
      </c>
      <c r="B42" s="300">
        <f>'2011 полн'!B36</f>
        <v>5277.02</v>
      </c>
      <c r="C42" s="23">
        <f>'2011 полн'!C36</f>
        <v>50184.4602</v>
      </c>
      <c r="D42" s="24">
        <f>'2011 полн'!D36</f>
        <v>0</v>
      </c>
      <c r="E42" s="295">
        <f>'2011 полн'!U36</f>
        <v>51446.36</v>
      </c>
      <c r="F42" s="295">
        <f>'2011 полн'!V36</f>
        <v>190.2</v>
      </c>
      <c r="G42" s="301">
        <f>'2011 полн'!AF36</f>
        <v>54351.66999999999</v>
      </c>
      <c r="H42" s="301">
        <f>'2011 полн'!AG36</f>
        <v>54541.86999999999</v>
      </c>
      <c r="I42" s="301">
        <f>'2011 полн'!AJ36</f>
        <v>13759.23</v>
      </c>
      <c r="J42" s="301">
        <f>'2011 полн'!AK36</f>
        <v>3957.7650000000003</v>
      </c>
      <c r="K42" s="295">
        <f>'2011 полн'!AL36</f>
        <v>1055.4040000000002</v>
      </c>
      <c r="L42" s="291">
        <f>'2012 полн (2)'!AM36+'2012 полн (2)'!AN36+'2012 полн (2)'!AO36+'2012 полн (2)'!AP36+'2012 полн (2)'!AQ36+'2012 полн (2)'!AR36+'2012 полн (2)'!AS36+'2012 полн (2)'!AT36</f>
        <v>37081.1582</v>
      </c>
      <c r="M42" s="328">
        <f>'2012 полн (2)'!AU36+'2012 полн (2)'!AV36+'2012 полн (2)'!AW36+'2012 полн (2)'!AX36</f>
        <v>19538</v>
      </c>
      <c r="N42" s="302">
        <f>'2011 полн'!BD36</f>
        <v>7370.606</v>
      </c>
      <c r="O42" s="298">
        <f t="shared" si="3"/>
        <v>69002.9332</v>
      </c>
      <c r="P42" s="299">
        <f>'2011 полн'!BF36</f>
        <v>-701.8332000000082</v>
      </c>
      <c r="Q42" s="299">
        <f>'2011 полн'!BG36</f>
        <v>2905.3099999999904</v>
      </c>
      <c r="R42" s="342">
        <f>-'[14]Павлов О.В.'!$D$5</f>
        <v>-788.364</v>
      </c>
    </row>
    <row r="43" spans="1:18" ht="13.5" thickBot="1">
      <c r="A43" s="303" t="s">
        <v>41</v>
      </c>
      <c r="B43" s="300">
        <f>'2011 полн'!B37</f>
        <v>5277.02</v>
      </c>
      <c r="C43" s="23">
        <f>'2011 полн'!C37</f>
        <v>50184.4602</v>
      </c>
      <c r="D43" s="24">
        <f>'2011 полн'!D37</f>
        <v>0</v>
      </c>
      <c r="E43" s="295">
        <f>'2011 полн'!U37</f>
        <v>51591.39</v>
      </c>
      <c r="F43" s="295">
        <f>'2011 полн'!V37</f>
        <v>190.2</v>
      </c>
      <c r="G43" s="301">
        <f>'2011 полн'!AF37</f>
        <v>63208.9</v>
      </c>
      <c r="H43" s="301">
        <f>'2011 полн'!AG37</f>
        <v>63399.1</v>
      </c>
      <c r="I43" s="301">
        <f>'2011 полн'!AJ37</f>
        <v>13759.23</v>
      </c>
      <c r="J43" s="301">
        <f>'2011 полн'!AK37</f>
        <v>3957.7650000000003</v>
      </c>
      <c r="K43" s="295">
        <f>'2011 полн'!AL37</f>
        <v>1055.4040000000002</v>
      </c>
      <c r="L43" s="291">
        <f>'2012 полн (2)'!AM37+'2012 полн (2)'!AN37+'2012 полн (2)'!AO37+'2012 полн (2)'!AP37+'2012 полн (2)'!AQ37+'2012 полн (2)'!AR37+'2012 полн (2)'!AS37+'2012 полн (2)'!AT37</f>
        <v>37081.1582</v>
      </c>
      <c r="M43" s="328">
        <f>'2012 полн (2)'!AU37+'2012 полн (2)'!AV37+'2012 полн (2)'!AW37+'2012 полн (2)'!AX37</f>
        <v>10411</v>
      </c>
      <c r="N43" s="302">
        <f>'2011 полн'!BE37</f>
        <v>59875.9332</v>
      </c>
      <c r="O43" s="298">
        <f t="shared" si="3"/>
        <v>112381.2604</v>
      </c>
      <c r="P43" s="299">
        <f>'2011 полн'!BF37</f>
        <v>17282.396800000002</v>
      </c>
      <c r="Q43" s="325">
        <f>'2011 полн'!BG37</f>
        <v>11617.510000000002</v>
      </c>
      <c r="R43" s="342">
        <f>-'[14]Павлов О.В.'!$D$5</f>
        <v>-788.364</v>
      </c>
    </row>
    <row r="44" spans="1:19" s="16" customFormat="1" ht="13.5" thickBot="1">
      <c r="A44" s="29" t="s">
        <v>3</v>
      </c>
      <c r="B44" s="30"/>
      <c r="C44" s="60">
        <f aca="true" t="shared" si="4" ref="C44:P44">SUM(C32:C43)</f>
        <v>571978.6991999999</v>
      </c>
      <c r="D44" s="60">
        <f t="shared" si="4"/>
        <v>3023.94</v>
      </c>
      <c r="E44" s="60">
        <f t="shared" si="4"/>
        <v>587517.99</v>
      </c>
      <c r="F44" s="60">
        <f t="shared" si="4"/>
        <v>2167.2200000000003</v>
      </c>
      <c r="G44" s="60">
        <f t="shared" si="4"/>
        <v>596895.4199999999</v>
      </c>
      <c r="H44" s="60">
        <f t="shared" si="4"/>
        <v>602086.58</v>
      </c>
      <c r="I44" s="60">
        <f t="shared" si="4"/>
        <v>161110.76</v>
      </c>
      <c r="J44" s="60">
        <f t="shared" si="4"/>
        <v>44972.84639999999</v>
      </c>
      <c r="K44" s="60">
        <f t="shared" si="4"/>
        <v>12668.447999999999</v>
      </c>
      <c r="L44" s="60">
        <f t="shared" si="4"/>
        <v>408674.4203999999</v>
      </c>
      <c r="M44" s="60">
        <f t="shared" si="4"/>
        <v>246082.1057</v>
      </c>
      <c r="N44" s="60">
        <f t="shared" si="4"/>
        <v>139952.5992</v>
      </c>
      <c r="O44" s="60">
        <f t="shared" si="4"/>
        <v>852350.4197000001</v>
      </c>
      <c r="P44" s="60">
        <f t="shared" si="4"/>
        <v>-36647.75249999995</v>
      </c>
      <c r="Q44" s="60">
        <f>SUM(Q32:Q43)</f>
        <v>9377.429999999978</v>
      </c>
      <c r="R44" s="324">
        <f>SUM(R32:R43)</f>
        <v>-9460.367999999999</v>
      </c>
      <c r="S44" s="56"/>
    </row>
    <row r="45" spans="1:18" ht="13.5" thickBot="1">
      <c r="A45" s="513" t="s">
        <v>65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288"/>
      <c r="P45" s="289"/>
      <c r="Q45" s="289"/>
      <c r="R45" s="322"/>
    </row>
    <row r="46" spans="1:19" s="16" customFormat="1" ht="13.5" thickBot="1">
      <c r="A46" s="63" t="s">
        <v>52</v>
      </c>
      <c r="B46" s="33"/>
      <c r="C46" s="34">
        <f>C44+C30</f>
        <v>2347227.4302</v>
      </c>
      <c r="D46" s="34">
        <f>D44+D30</f>
        <v>391258.74630205</v>
      </c>
      <c r="E46" s="34">
        <f>E44+E30</f>
        <v>2044641.18</v>
      </c>
      <c r="F46" s="34">
        <f>F44+F30</f>
        <v>191702.55000000002</v>
      </c>
      <c r="G46" s="34">
        <f>G44+G30</f>
        <v>1987338.2799999998</v>
      </c>
      <c r="H46" s="34">
        <f>H44+H30</f>
        <v>2570299.5763020497</v>
      </c>
      <c r="I46" s="34">
        <f>I44+I30</f>
        <v>352103.842184208</v>
      </c>
      <c r="J46" s="34">
        <f>J44+J30</f>
        <v>171718.29119999998</v>
      </c>
      <c r="K46" s="34">
        <f aca="true" t="shared" si="5" ref="K46:Y46">K44+K30</f>
        <v>53587.06828399999</v>
      </c>
      <c r="L46" s="34">
        <f t="shared" si="5"/>
        <v>1612743.118006206</v>
      </c>
      <c r="M46" s="34">
        <f t="shared" si="5"/>
        <v>800360.0123000001</v>
      </c>
      <c r="N46" s="34">
        <f t="shared" si="5"/>
        <v>339217.106984208</v>
      </c>
      <c r="O46" s="34">
        <f t="shared" si="5"/>
        <v>2977625.5967744137</v>
      </c>
      <c r="P46" s="34">
        <f t="shared" si="5"/>
        <v>127501.35164763636</v>
      </c>
      <c r="Q46" s="34">
        <f t="shared" si="5"/>
        <v>-57302.90000000005</v>
      </c>
      <c r="R46" s="61">
        <f>R44+R30</f>
        <v>-30746.196</v>
      </c>
      <c r="S46" s="56"/>
    </row>
    <row r="48" spans="1:4" ht="12.75">
      <c r="A48" s="16" t="s">
        <v>69</v>
      </c>
      <c r="D48" s="304" t="s">
        <v>134</v>
      </c>
    </row>
    <row r="49" spans="1:4" ht="12.75">
      <c r="A49" s="225" t="s">
        <v>70</v>
      </c>
      <c r="B49" s="225" t="s">
        <v>71</v>
      </c>
      <c r="C49" s="509" t="s">
        <v>72</v>
      </c>
      <c r="D49" s="510"/>
    </row>
    <row r="50" spans="1:4" ht="12.75">
      <c r="A50" s="305">
        <v>595818.63</v>
      </c>
      <c r="B50" s="306">
        <v>293582.1</v>
      </c>
      <c r="C50" s="307">
        <f>A50-B50</f>
        <v>302236.53</v>
      </c>
      <c r="D50" s="308"/>
    </row>
    <row r="51" ht="12.75">
      <c r="A51" s="40"/>
    </row>
    <row r="52" spans="1:7" ht="12.75">
      <c r="A52" s="215" t="s">
        <v>66</v>
      </c>
      <c r="G52" s="215" t="s">
        <v>67</v>
      </c>
    </row>
    <row r="53" ht="12.75">
      <c r="A53" s="214"/>
    </row>
    <row r="54" ht="12.75">
      <c r="A54" s="215" t="s">
        <v>125</v>
      </c>
    </row>
    <row r="55" ht="12.75">
      <c r="A55" s="215" t="s">
        <v>68</v>
      </c>
    </row>
  </sheetData>
  <sheetProtection/>
  <mergeCells count="29">
    <mergeCell ref="A45:N45"/>
    <mergeCell ref="B1:H1"/>
    <mergeCell ref="B2:H2"/>
    <mergeCell ref="A5:N5"/>
    <mergeCell ref="A6:G6"/>
    <mergeCell ref="A7:D7"/>
    <mergeCell ref="E7:F7"/>
    <mergeCell ref="A8:A11"/>
    <mergeCell ref="B8:B11"/>
    <mergeCell ref="C8:C11"/>
    <mergeCell ref="D8:D11"/>
    <mergeCell ref="E8:F9"/>
    <mergeCell ref="G8:H9"/>
    <mergeCell ref="E10:F10"/>
    <mergeCell ref="H10:H11"/>
    <mergeCell ref="J10:J11"/>
    <mergeCell ref="K10:K11"/>
    <mergeCell ref="L10:L11"/>
    <mergeCell ref="M10:M11"/>
    <mergeCell ref="N10:N11"/>
    <mergeCell ref="O10:O11"/>
    <mergeCell ref="A13:N13"/>
    <mergeCell ref="A29:N29"/>
    <mergeCell ref="C49:D49"/>
    <mergeCell ref="R8:R11"/>
    <mergeCell ref="I8:I11"/>
    <mergeCell ref="J8:O9"/>
    <mergeCell ref="P8:P11"/>
    <mergeCell ref="Q8:Q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2012-11-15T07:10:42Z</cp:lastPrinted>
  <dcterms:created xsi:type="dcterms:W3CDTF">2010-04-02T05:03:24Z</dcterms:created>
  <dcterms:modified xsi:type="dcterms:W3CDTF">2013-05-26T08:46:08Z</dcterms:modified>
  <cp:category/>
  <cp:version/>
  <cp:contentType/>
  <cp:contentStatus/>
</cp:coreProperties>
</file>