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<sst xmlns="http://schemas.openxmlformats.org/spreadsheetml/2006/main" count="322" uniqueCount="131">
  <si>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</si>
  <si>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</si>
  <si>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</si>
  <si>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</si>
  <si>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</si>
  <si>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</si>
  <si>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</si>
  <si>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</si>
  <si>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</si>
  <si>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</si>
  <si>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</si>
  <si>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</si>
  <si>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</si>
  <si>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</si>
  <si>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</si>
  <si>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</si>
  <si>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</si>
  <si>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</si>
  <si>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</si>
  <si>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</si>
  <si>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</si>
  <si>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</si>
  <si>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</si>
  <si>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</si>
  <si>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</si>
  <si>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</si>
  <si>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</si>
  <si>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</si>
  <si>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</si>
  <si>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</si>
  <si>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</si>
  <si>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</si>
  <si>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</si>
  <si>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</si>
  <si>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</si>
  <si>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</si>
  <si>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</si>
  <si>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</si>
  <si>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</si>
  <si>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</si>
  <si>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</si>
  <si>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</si>
  <si>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</si>
  <si>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</si>
  <si>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</si>
  <si>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</si>
  <si>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</si>
  <si>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</si>
  <si>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</si>
  <si>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</si>
  <si>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</si>
  <si>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</si>
  <si>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</si>
  <si>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</si>
  <si>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</si>
  <si>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</si>
  <si>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</si>
  <si>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</si>
  <si>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</si>
  <si>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</si>
  <si>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</si>
  <si>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</si>
  <si>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</si>
  <si>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</si>
  <si>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</si>
  <si>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</si>
  <si>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</si>
  <si>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</si>
  <si>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</si>
  <si>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</si>
  <si>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</si>
  <si>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</si>
  <si>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</si>
  <si>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</si>
  <si>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</si>
  <si>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</si>
  <si>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</si>
  <si>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Доходы по нежил.помещениям</t>
  </si>
  <si>
    <t>Лицевой счет по адресу г. Таштагол, ул. Поспелова, д. 17</t>
  </si>
  <si>
    <t>Выписка по лицевому счету по адресу г. Таштагол, ул. Поспелова, д. 17</t>
  </si>
  <si>
    <t>Исп. Ю.С. Дмитриева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</si>
  <si>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</si>
  <si>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</si>
  <si>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</si>
  <si>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</si>
  <si>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</si>
  <si>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</si>
  <si>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</si>
  <si>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Расходы по нежил. помещениям</t>
  </si>
  <si>
    <t>2010 год</t>
  </si>
  <si>
    <t>ИТОГО:</t>
  </si>
  <si>
    <t>Итого за 2010год:</t>
  </si>
  <si>
    <t>*по состоянию на 01.01.2011 г.</t>
  </si>
  <si>
    <t>на 01.01.2011 г.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</si>
  <si>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</si>
  <si>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</si>
  <si>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</si>
  <si>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</si>
  <si>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</si>
  <si>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</si>
  <si>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</si>
  <si>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</si>
  <si>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</si>
  <si>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</si>
  <si>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</si>
  <si>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</si>
  <si>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</si>
  <si>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</si>
  <si>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</si>
  <si>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</si>
  <si>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</si>
  <si>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</si>
  <si>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</si>
  <si>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</si>
  <si>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</si>
  <si>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</si>
  <si>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</si>
  <si>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Собрано квартплаты от населения</t>
  </si>
  <si>
    <t xml:space="preserve">Доходы от нежилых помещений 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</si>
  <si>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</si>
  <si>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</si>
  <si>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</si>
  <si>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</si>
  <si>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Исп. В.В. Колмогорова</t>
  </si>
  <si>
    <t>Выписка по лицевому счету по адресу г. Таштагол ул. Поспелова, д. 17</t>
  </si>
  <si>
    <t>Лицевой счет по адресу г. Таштагол, ул. Поспелова, д.17</t>
  </si>
  <si>
    <t>2012 год</t>
  </si>
  <si>
    <t>*по состоянию на 01.05.2013 г.</t>
  </si>
  <si>
    <t>тариф на содержание и тек. ремонт на 2012 год</t>
  </si>
  <si>
    <t>Тариф по содержанию и тек.ремонту 100 % (9,51руб.*площадь)</t>
  </si>
  <si>
    <t>на 01.01.2013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</si>
</sst>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4" fontId="2" fillId="33" borderId="13" xfId="34" applyNumberFormat="1" applyFont="1" applyFill="1" applyBorder="1" applyAlignment="1">
      <alignment vertical="center" wrapText="1"/>
      <protection/>
    </xf>
    <xf numFmtId="4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5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35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textRotation="90"/>
    </xf>
    <xf numFmtId="2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2" fillId="0" borderId="25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6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4" fontId="1" fillId="0" borderId="22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Border="1" applyAlignment="1">
      <alignment horizontal="right"/>
    </xf>
    <xf numFmtId="0" fontId="0" fillId="34" borderId="26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right" vertical="center" wrapText="1"/>
    </xf>
    <xf numFmtId="4" fontId="2" fillId="0" borderId="13" xfId="54" applyNumberFormat="1" applyFont="1" applyFill="1" applyBorder="1" applyAlignment="1">
      <alignment horizontal="right"/>
      <protection/>
    </xf>
    <xf numFmtId="0" fontId="0" fillId="0" borderId="34" xfId="0" applyFont="1" applyFill="1" applyBorder="1" applyAlignment="1">
      <alignment/>
    </xf>
    <xf numFmtId="4" fontId="2" fillId="0" borderId="26" xfId="34" applyNumberFormat="1" applyFont="1" applyFill="1" applyBorder="1" applyAlignment="1">
      <alignment vertical="center" wrapText="1"/>
      <protection/>
    </xf>
    <xf numFmtId="4" fontId="0" fillId="0" borderId="2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 wrapText="1"/>
    </xf>
    <xf numFmtId="4" fontId="0" fillId="36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33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4" fontId="2" fillId="0" borderId="31" xfId="34" applyNumberFormat="1" applyFont="1" applyFill="1" applyBorder="1" applyAlignment="1">
      <alignment horizontal="center" vertical="center" wrapText="1"/>
      <protection/>
    </xf>
    <xf numFmtId="4" fontId="2" fillId="35" borderId="13" xfId="34" applyNumberFormat="1" applyFont="1" applyFill="1" applyBorder="1" applyAlignment="1">
      <alignment horizontal="center" vertical="center" wrapText="1"/>
      <protection/>
    </xf>
    <xf numFmtId="4" fontId="0" fillId="0" borderId="25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3" fontId="0" fillId="0" borderId="13" xfId="0" applyNumberFormat="1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" fontId="1" fillId="0" borderId="42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wrapText="1"/>
    </xf>
    <xf numFmtId="4" fontId="0" fillId="0" borderId="38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4" fontId="1" fillId="0" borderId="45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/>
    </xf>
    <xf numFmtId="4" fontId="10" fillId="38" borderId="14" xfId="0" applyNumberFormat="1" applyFont="1" applyFill="1" applyBorder="1" applyAlignment="1">
      <alignment horizontal="center" wrapText="1"/>
    </xf>
    <xf numFmtId="4" fontId="0" fillId="34" borderId="17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2" fillId="39" borderId="13" xfId="34" applyNumberFormat="1" applyFont="1" applyFill="1" applyBorder="1" applyAlignment="1">
      <alignment horizontal="center" vertical="center" wrapText="1"/>
      <protection/>
    </xf>
    <xf numFmtId="4" fontId="0" fillId="39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/>
    </xf>
    <xf numFmtId="4" fontId="0" fillId="35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36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0" fillId="37" borderId="26" xfId="0" applyNumberFormat="1" applyFont="1" applyFill="1" applyBorder="1" applyAlignment="1">
      <alignment horizontal="center"/>
    </xf>
    <xf numFmtId="4" fontId="0" fillId="37" borderId="13" xfId="0" applyNumberFormat="1" applyFont="1" applyFill="1" applyBorder="1" applyAlignment="1">
      <alignment horizontal="center"/>
    </xf>
    <xf numFmtId="4" fontId="0" fillId="37" borderId="25" xfId="0" applyNumberFormat="1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/>
    </xf>
    <xf numFmtId="4" fontId="0" fillId="0" borderId="50" xfId="0" applyNumberFormat="1" applyFont="1" applyFill="1" applyBorder="1" applyAlignment="1">
      <alignment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50" xfId="0" applyNumberFormat="1" applyFont="1" applyFill="1" applyBorder="1" applyAlignment="1">
      <alignment horizontal="right" wrapText="1"/>
    </xf>
    <xf numFmtId="4" fontId="1" fillId="0" borderId="37" xfId="0" applyNumberFormat="1" applyFont="1" applyFill="1" applyBorder="1" applyAlignment="1">
      <alignment horizontal="right" wrapText="1"/>
    </xf>
    <xf numFmtId="0" fontId="1" fillId="0" borderId="41" xfId="0" applyFont="1" applyFill="1" applyBorder="1" applyAlignment="1">
      <alignment/>
    </xf>
    <xf numFmtId="4" fontId="0" fillId="0" borderId="51" xfId="0" applyNumberFormat="1" applyFont="1" applyFill="1" applyBorder="1" applyAlignment="1">
      <alignment wrapText="1"/>
    </xf>
    <xf numFmtId="4" fontId="9" fillId="0" borderId="41" xfId="34" applyNumberFormat="1" applyFont="1" applyFill="1" applyBorder="1" applyAlignment="1">
      <alignment horizontal="right" vertical="center" wrapText="1"/>
      <protection/>
    </xf>
    <xf numFmtId="4" fontId="2" fillId="0" borderId="13" xfId="34" applyNumberFormat="1" applyFont="1" applyFill="1" applyBorder="1" applyAlignment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52" xfId="0" applyNumberFormat="1" applyFont="1" applyFill="1" applyBorder="1" applyAlignment="1">
      <alignment wrapText="1"/>
    </xf>
    <xf numFmtId="4" fontId="2" fillId="0" borderId="52" xfId="34" applyNumberFormat="1" applyFont="1" applyFill="1" applyBorder="1" applyAlignment="1">
      <alignment horizontal="right" vertical="center" wrapText="1"/>
      <protection/>
    </xf>
    <xf numFmtId="4" fontId="0" fillId="0" borderId="52" xfId="0" applyNumberFormat="1" applyFont="1" applyFill="1" applyBorder="1" applyAlignment="1">
      <alignment horizontal="right"/>
    </xf>
    <xf numFmtId="4" fontId="1" fillId="0" borderId="52" xfId="0" applyNumberFormat="1" applyFont="1" applyFill="1" applyBorder="1" applyAlignment="1">
      <alignment horizontal="right"/>
    </xf>
    <xf numFmtId="4" fontId="0" fillId="0" borderId="52" xfId="0" applyNumberFormat="1" applyFont="1" applyFill="1" applyBorder="1" applyAlignment="1">
      <alignment horizontal="right" vertical="center" wrapText="1"/>
    </xf>
    <xf numFmtId="4" fontId="0" fillId="0" borderId="53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35" borderId="12" xfId="3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0" fillId="37" borderId="30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0" fillId="40" borderId="25" xfId="0" applyNumberFormat="1" applyFont="1" applyFill="1" applyBorder="1" applyAlignment="1">
      <alignment/>
    </xf>
    <xf numFmtId="4" fontId="0" fillId="0" borderId="55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5" borderId="12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3" fontId="0" fillId="33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43" fontId="0" fillId="33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4" fontId="0" fillId="37" borderId="27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37" borderId="27" xfId="0" applyFont="1" applyFill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33" xfId="0" applyFont="1" applyBorder="1" applyAlignment="1">
      <alignment wrapText="1"/>
    </xf>
    <xf numFmtId="4" fontId="0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37" borderId="27" xfId="0" applyFont="1" applyFill="1" applyBorder="1" applyAlignment="1">
      <alignment/>
    </xf>
    <xf numFmtId="0" fontId="13" fillId="0" borderId="26" xfId="0" applyFont="1" applyBorder="1" applyAlignment="1">
      <alignment wrapText="1"/>
    </xf>
    <xf numFmtId="2" fontId="7" fillId="35" borderId="12" xfId="0" applyNumberFormat="1" applyFont="1" applyFill="1" applyBorder="1" applyAlignment="1">
      <alignment horizontal="center"/>
    </xf>
    <xf numFmtId="0" fontId="2" fillId="0" borderId="56" xfId="0" applyFont="1" applyBorder="1" applyAlignment="1">
      <alignment wrapText="1"/>
    </xf>
    <xf numFmtId="0" fontId="2" fillId="37" borderId="14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4" xfId="0" applyFont="1" applyFill="1" applyBorder="1" applyAlignment="1">
      <alignment wrapText="1"/>
    </xf>
    <xf numFmtId="4" fontId="7" fillId="0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 wrapText="1"/>
    </xf>
    <xf numFmtId="4" fontId="2" fillId="0" borderId="25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1" fillId="0" borderId="57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58" xfId="0" applyFont="1" applyFill="1" applyBorder="1" applyAlignment="1">
      <alignment/>
    </xf>
    <xf numFmtId="4" fontId="1" fillId="0" borderId="58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0" fontId="1" fillId="0" borderId="47" xfId="0" applyFont="1" applyFill="1" applyBorder="1" applyAlignment="1">
      <alignment horizontal="center" vertical="center" wrapText="1"/>
    </xf>
    <xf numFmtId="4" fontId="0" fillId="0" borderId="54" xfId="0" applyNumberFormat="1" applyFont="1" applyFill="1" applyBorder="1" applyAlignment="1">
      <alignment horizontal="right" wrapText="1"/>
    </xf>
    <xf numFmtId="4" fontId="2" fillId="0" borderId="59" xfId="34" applyNumberFormat="1" applyFont="1" applyFill="1" applyBorder="1" applyAlignment="1">
      <alignment horizontal="right" vertical="center" wrapText="1"/>
      <protection/>
    </xf>
    <xf numFmtId="4" fontId="2" fillId="0" borderId="47" xfId="34" applyNumberFormat="1" applyFont="1" applyFill="1" applyBorder="1" applyAlignment="1">
      <alignment horizontal="right" vertical="center" wrapText="1"/>
      <protection/>
    </xf>
    <xf numFmtId="4" fontId="0" fillId="0" borderId="54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1" fillId="0" borderId="61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0" fontId="0" fillId="0" borderId="57" xfId="0" applyFont="1" applyFill="1" applyBorder="1" applyAlignment="1">
      <alignment/>
    </xf>
    <xf numFmtId="2" fontId="0" fillId="0" borderId="62" xfId="0" applyNumberFormat="1" applyBorder="1" applyAlignment="1">
      <alignment horizontal="center"/>
    </xf>
    <xf numFmtId="4" fontId="2" fillId="0" borderId="63" xfId="34" applyNumberFormat="1" applyFont="1" applyFill="1" applyBorder="1" applyAlignment="1">
      <alignment horizontal="right" vertical="center" wrapText="1"/>
      <protection/>
    </xf>
    <xf numFmtId="4" fontId="2" fillId="0" borderId="57" xfId="34" applyNumberFormat="1" applyFont="1" applyFill="1" applyBorder="1" applyAlignment="1">
      <alignment horizontal="right" vertical="center" wrapText="1"/>
      <protection/>
    </xf>
    <xf numFmtId="4" fontId="0" fillId="0" borderId="64" xfId="0" applyNumberFormat="1" applyFont="1" applyFill="1" applyBorder="1" applyAlignment="1">
      <alignment horizontal="right"/>
    </xf>
    <xf numFmtId="4" fontId="0" fillId="0" borderId="57" xfId="0" applyNumberFormat="1" applyFont="1" applyFill="1" applyBorder="1" applyAlignment="1">
      <alignment horizontal="right"/>
    </xf>
    <xf numFmtId="4" fontId="0" fillId="0" borderId="64" xfId="0" applyNumberFormat="1" applyFont="1" applyFill="1" applyBorder="1" applyAlignment="1">
      <alignment horizontal="right" vertical="center" wrapText="1"/>
    </xf>
    <xf numFmtId="4" fontId="0" fillId="0" borderId="63" xfId="0" applyNumberFormat="1" applyFont="1" applyFill="1" applyBorder="1" applyAlignment="1">
      <alignment horizontal="right" vertical="center" wrapText="1"/>
    </xf>
    <xf numFmtId="4" fontId="0" fillId="0" borderId="62" xfId="0" applyNumberFormat="1" applyFont="1" applyFill="1" applyBorder="1" applyAlignment="1">
      <alignment horizontal="right"/>
    </xf>
    <xf numFmtId="4" fontId="0" fillId="0" borderId="6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0" fillId="0" borderId="13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36" borderId="17" xfId="0" applyNumberFormat="1" applyFont="1" applyFill="1" applyBorder="1" applyAlignment="1">
      <alignment horizontal="center" vertical="center" wrapText="1"/>
    </xf>
    <xf numFmtId="2" fontId="1" fillId="36" borderId="58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0" fontId="1" fillId="34" borderId="64" xfId="0" applyFont="1" applyFill="1" applyBorder="1" applyAlignment="1">
      <alignment horizontal="center"/>
    </xf>
    <xf numFmtId="2" fontId="1" fillId="35" borderId="64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52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textRotation="90"/>
    </xf>
    <xf numFmtId="0" fontId="1" fillId="34" borderId="52" xfId="0" applyFont="1" applyFill="1" applyBorder="1" applyAlignment="1">
      <alignment horizontal="center" textRotation="90"/>
    </xf>
    <xf numFmtId="0" fontId="1" fillId="35" borderId="64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4" borderId="6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2" fontId="1" fillId="35" borderId="66" xfId="0" applyNumberFormat="1" applyFont="1" applyFill="1" applyBorder="1" applyAlignment="1">
      <alignment horizontal="center" vertical="center" wrapText="1"/>
    </xf>
    <xf numFmtId="2" fontId="1" fillId="35" borderId="54" xfId="0" applyNumberFormat="1" applyFont="1" applyFill="1" applyBorder="1" applyAlignment="1">
      <alignment horizontal="center" vertical="center" wrapText="1"/>
    </xf>
    <xf numFmtId="2" fontId="1" fillId="35" borderId="5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3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25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/>
    </xf>
    <xf numFmtId="43" fontId="0" fillId="0" borderId="25" xfId="61" applyFont="1" applyFill="1" applyBorder="1" applyAlignment="1">
      <alignment horizontal="center"/>
    </xf>
    <xf numFmtId="43" fontId="0" fillId="0" borderId="26" xfId="61" applyFont="1" applyFill="1" applyBorder="1" applyAlignment="1">
      <alignment horizontal="center"/>
    </xf>
    <xf numFmtId="2" fontId="1" fillId="0" borderId="48" xfId="0" applyNumberFormat="1" applyFont="1" applyFill="1" applyBorder="1" applyAlignment="1">
      <alignment horizontal="center" textRotation="90" wrapText="1"/>
    </xf>
    <xf numFmtId="2" fontId="1" fillId="0" borderId="71" xfId="0" applyNumberFormat="1" applyFont="1" applyFill="1" applyBorder="1" applyAlignment="1">
      <alignment horizontal="center" textRotation="90" wrapText="1"/>
    </xf>
    <xf numFmtId="2" fontId="1" fillId="0" borderId="41" xfId="0" applyNumberFormat="1" applyFont="1" applyFill="1" applyBorder="1" applyAlignment="1">
      <alignment horizontal="center" textRotation="90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2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2" fontId="1" fillId="0" borderId="41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61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2" fillId="0" borderId="48" xfId="0" applyNumberFormat="1" applyFont="1" applyFill="1" applyBorder="1" applyAlignment="1">
      <alignment horizontal="center" vertical="center" wrapText="1"/>
    </xf>
    <xf numFmtId="2" fontId="12" fillId="0" borderId="41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35" borderId="35" xfId="0" applyNumberFormat="1" applyFont="1" applyFill="1" applyBorder="1" applyAlignment="1">
      <alignment horizontal="center" vertical="center" wrapText="1"/>
    </xf>
    <xf numFmtId="2" fontId="1" fillId="35" borderId="70" xfId="0" applyNumberFormat="1" applyFont="1" applyFill="1" applyBorder="1" applyAlignment="1">
      <alignment horizontal="center" vertical="center" wrapText="1"/>
    </xf>
    <xf numFmtId="2" fontId="1" fillId="35" borderId="65" xfId="0" applyNumberFormat="1" applyFont="1" applyFill="1" applyBorder="1" applyAlignment="1">
      <alignment horizontal="center" vertical="center" wrapText="1"/>
    </xf>
    <xf numFmtId="2" fontId="1" fillId="35" borderId="73" xfId="0" applyNumberFormat="1" applyFont="1" applyFill="1" applyBorder="1" applyAlignment="1">
      <alignment horizontal="center" vertical="center" wrapText="1"/>
    </xf>
    <xf numFmtId="2" fontId="1" fillId="35" borderId="67" xfId="0" applyNumberFormat="1" applyFont="1" applyFill="1" applyBorder="1" applyAlignment="1">
      <alignment horizontal="center" vertical="center" wrapText="1"/>
    </xf>
    <xf numFmtId="2" fontId="1" fillId="35" borderId="68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41" xfId="0" applyFont="1" applyFill="1" applyBorder="1" applyAlignment="1">
      <alignment horizontal="center" textRotation="90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2" fontId="11" fillId="0" borderId="48" xfId="0" applyNumberFormat="1" applyFont="1" applyFill="1" applyBorder="1" applyAlignment="1">
      <alignment horizontal="center" vertical="center" wrapText="1"/>
    </xf>
    <xf numFmtId="2" fontId="11" fillId="0" borderId="71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textRotation="90"/>
    </xf>
    <xf numFmtId="0" fontId="1" fillId="37" borderId="41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71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35" borderId="48" xfId="0" applyNumberFormat="1" applyFont="1" applyFill="1" applyBorder="1" applyAlignment="1">
      <alignment horizontal="center" vertical="center" wrapText="1"/>
    </xf>
    <xf numFmtId="4" fontId="1" fillId="35" borderId="7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2" fontId="0" fillId="0" borderId="25" xfId="0" applyNumberFormat="1" applyFont="1" applyFill="1" applyBorder="1" applyAlignment="1">
      <alignment horizontal="left"/>
    </xf>
    <xf numFmtId="2" fontId="0" fillId="0" borderId="26" xfId="0" applyNumberFormat="1" applyFont="1" applyFill="1" applyBorder="1" applyAlignment="1">
      <alignment horizontal="left"/>
    </xf>
    <xf numFmtId="0" fontId="1" fillId="0" borderId="48" xfId="0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textRotation="90" wrapText="1"/>
    </xf>
    <xf numFmtId="2" fontId="1" fillId="0" borderId="75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1" fillId="40" borderId="35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" fillId="40" borderId="44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2" fontId="1" fillId="40" borderId="48" xfId="0" applyNumberFormat="1" applyFont="1" applyFill="1" applyBorder="1" applyAlignment="1">
      <alignment horizontal="center" vertical="center" wrapText="1"/>
    </xf>
    <xf numFmtId="2" fontId="1" fillId="40" borderId="41" xfId="0" applyNumberFormat="1" applyFont="1" applyFill="1" applyBorder="1" applyAlignment="1">
      <alignment horizontal="center" vertical="center" wrapText="1"/>
    </xf>
    <xf numFmtId="0" fontId="1" fillId="40" borderId="70" xfId="0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horizontal="center" vertical="center" wrapText="1"/>
    </xf>
    <xf numFmtId="0" fontId="1" fillId="40" borderId="24" xfId="0" applyFont="1" applyFill="1" applyBorder="1" applyAlignment="1">
      <alignment horizontal="center" vertical="center" wrapText="1"/>
    </xf>
    <xf numFmtId="4" fontId="1" fillId="40" borderId="59" xfId="0" applyNumberFormat="1" applyFont="1" applyFill="1" applyBorder="1" applyAlignment="1">
      <alignment horizontal="right"/>
    </xf>
    <xf numFmtId="4" fontId="1" fillId="40" borderId="12" xfId="0" applyNumberFormat="1" applyFont="1" applyFill="1" applyBorder="1" applyAlignment="1">
      <alignment horizontal="right"/>
    </xf>
    <xf numFmtId="0" fontId="0" fillId="40" borderId="25" xfId="0" applyFont="1" applyFill="1" applyBorder="1" applyAlignment="1">
      <alignment/>
    </xf>
    <xf numFmtId="4" fontId="1" fillId="40" borderId="30" xfId="0" applyNumberFormat="1" applyFont="1" applyFill="1" applyBorder="1" applyAlignment="1">
      <alignment/>
    </xf>
    <xf numFmtId="4" fontId="1" fillId="40" borderId="23" xfId="0" applyNumberFormat="1" applyFont="1" applyFill="1" applyBorder="1" applyAlignment="1">
      <alignment/>
    </xf>
    <xf numFmtId="0" fontId="1" fillId="40" borderId="74" xfId="0" applyFont="1" applyFill="1" applyBorder="1" applyAlignment="1">
      <alignment/>
    </xf>
    <xf numFmtId="0" fontId="1" fillId="40" borderId="58" xfId="0" applyFont="1" applyFill="1" applyBorder="1" applyAlignment="1">
      <alignment/>
    </xf>
    <xf numFmtId="0" fontId="1" fillId="40" borderId="75" xfId="0" applyFont="1" applyFill="1" applyBorder="1" applyAlignment="1">
      <alignment/>
    </xf>
    <xf numFmtId="4" fontId="1" fillId="40" borderId="58" xfId="0" applyNumberFormat="1" applyFont="1" applyFill="1" applyBorder="1" applyAlignment="1">
      <alignment/>
    </xf>
    <xf numFmtId="4" fontId="1" fillId="40" borderId="75" xfId="0" applyNumberFormat="1" applyFont="1" applyFill="1" applyBorder="1" applyAlignment="1">
      <alignment/>
    </xf>
    <xf numFmtId="4" fontId="2" fillId="35" borderId="46" xfId="0" applyNumberFormat="1" applyFont="1" applyFill="1" applyBorder="1" applyAlignment="1">
      <alignment horizontal="right" wrapText="1"/>
    </xf>
    <xf numFmtId="164" fontId="2" fillId="34" borderId="13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 horizontal="center" wrapText="1"/>
    </xf>
    <xf numFmtId="0" fontId="31" fillId="0" borderId="13" xfId="0" applyFont="1" applyBorder="1" applyAlignment="1">
      <alignment wrapText="1"/>
    </xf>
    <xf numFmtId="0" fontId="31" fillId="0" borderId="25" xfId="0" applyFont="1" applyBorder="1" applyAlignment="1">
      <alignment wrapText="1"/>
    </xf>
    <xf numFmtId="4" fontId="2" fillId="37" borderId="14" xfId="0" applyNumberFormat="1" applyFont="1" applyFill="1" applyBorder="1" applyAlignment="1">
      <alignment wrapText="1"/>
    </xf>
    <xf numFmtId="4" fontId="0" fillId="35" borderId="12" xfId="0" applyNumberFormat="1" applyFont="1" applyFill="1" applyBorder="1" applyAlignment="1">
      <alignment horizontal="center"/>
    </xf>
    <xf numFmtId="164" fontId="2" fillId="34" borderId="13" xfId="0" applyNumberFormat="1" applyFont="1" applyFill="1" applyBorder="1" applyAlignment="1">
      <alignment horizontal="right"/>
    </xf>
    <xf numFmtId="4" fontId="0" fillId="41" borderId="14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9%20&#1089;%202011%20&#107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82">
          <cell r="I82">
            <v>526.1678999999999</v>
          </cell>
          <cell r="O82">
            <v>210.25342530000003</v>
          </cell>
        </row>
      </sheetData>
      <sheetData sheetId="7">
        <row r="83">
          <cell r="I83">
            <v>526.1678999999999</v>
          </cell>
          <cell r="O83">
            <v>210.15789309000002</v>
          </cell>
        </row>
      </sheetData>
      <sheetData sheetId="8">
        <row r="83">
          <cell r="I83">
            <v>526.1678999999999</v>
          </cell>
          <cell r="O83">
            <v>210.126107961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B44">
            <v>440391.95999999996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84">
          <cell r="I84">
            <v>525.69</v>
          </cell>
          <cell r="R84">
            <v>320.35499999999996</v>
          </cell>
        </row>
        <row r="106">
          <cell r="I106">
            <v>229.482</v>
          </cell>
          <cell r="R106">
            <v>165.319</v>
          </cell>
        </row>
        <row r="187">
          <cell r="I187">
            <v>114</v>
          </cell>
          <cell r="R187">
            <v>28.5</v>
          </cell>
        </row>
      </sheetData>
      <sheetData sheetId="1">
        <row r="84">
          <cell r="J84">
            <v>525.69</v>
          </cell>
          <cell r="S84">
            <v>320.35499999999996</v>
          </cell>
        </row>
        <row r="106">
          <cell r="J106">
            <v>229.482</v>
          </cell>
          <cell r="S106">
            <v>165.319</v>
          </cell>
        </row>
        <row r="187">
          <cell r="S187">
            <v>28.5</v>
          </cell>
        </row>
        <row r="188">
          <cell r="J188">
            <v>114</v>
          </cell>
        </row>
      </sheetData>
      <sheetData sheetId="2">
        <row r="84">
          <cell r="J84">
            <v>525.69</v>
          </cell>
          <cell r="S84">
            <v>320.35499999999996</v>
          </cell>
        </row>
        <row r="106">
          <cell r="J106">
            <v>229.482</v>
          </cell>
          <cell r="S106">
            <v>165.319</v>
          </cell>
        </row>
        <row r="135">
          <cell r="J135">
            <v>8261.352</v>
          </cell>
          <cell r="S135">
            <v>661.276</v>
          </cell>
        </row>
        <row r="188">
          <cell r="J188">
            <v>114</v>
          </cell>
          <cell r="S188">
            <v>28.5</v>
          </cell>
        </row>
      </sheetData>
      <sheetData sheetId="3">
        <row r="85">
          <cell r="S85">
            <v>320.35499999999996</v>
          </cell>
        </row>
        <row r="107">
          <cell r="S107">
            <v>165.319</v>
          </cell>
        </row>
        <row r="136">
          <cell r="S136">
            <v>661.276</v>
          </cell>
        </row>
        <row r="190">
          <cell r="S190">
            <v>28.5</v>
          </cell>
        </row>
      </sheetData>
      <sheetData sheetId="4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188">
          <cell r="J188">
            <v>114</v>
          </cell>
          <cell r="S188">
            <v>28.5</v>
          </cell>
        </row>
      </sheetData>
      <sheetData sheetId="5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188">
          <cell r="J188">
            <v>114</v>
          </cell>
          <cell r="S188">
            <v>28.5</v>
          </cell>
        </row>
      </sheetData>
      <sheetData sheetId="6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192">
          <cell r="J192">
            <v>114</v>
          </cell>
          <cell r="S192">
            <v>28.5</v>
          </cell>
        </row>
      </sheetData>
      <sheetData sheetId="7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196">
          <cell r="J196">
            <v>114</v>
          </cell>
          <cell r="S196">
            <v>28.5</v>
          </cell>
        </row>
      </sheetData>
      <sheetData sheetId="8">
        <row r="83">
          <cell r="J83">
            <v>525.69</v>
          </cell>
        </row>
        <row r="105">
          <cell r="J105">
            <v>229.482</v>
          </cell>
        </row>
        <row r="134">
          <cell r="J134">
            <v>917.928</v>
          </cell>
        </row>
        <row r="196">
          <cell r="J196">
            <v>114</v>
          </cell>
        </row>
      </sheetData>
      <sheetData sheetId="9">
        <row r="83">
          <cell r="S83">
            <v>320.35499999999996</v>
          </cell>
        </row>
        <row r="105">
          <cell r="S105">
            <v>165.319</v>
          </cell>
        </row>
        <row r="134">
          <cell r="S134">
            <v>661.276</v>
          </cell>
        </row>
        <row r="196">
          <cell r="S196">
            <v>28.5</v>
          </cell>
        </row>
      </sheetData>
      <sheetData sheetId="10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196">
          <cell r="J196">
            <v>114</v>
          </cell>
          <cell r="S196">
            <v>28.5</v>
          </cell>
        </row>
      </sheetData>
      <sheetData sheetId="11">
        <row r="83">
          <cell r="J83">
            <v>525.69</v>
          </cell>
          <cell r="S83">
            <v>320.35499999999996</v>
          </cell>
        </row>
        <row r="105">
          <cell r="J105">
            <v>229.482</v>
          </cell>
          <cell r="S105">
            <v>165.319</v>
          </cell>
        </row>
        <row r="134">
          <cell r="J134">
            <v>917.928</v>
          </cell>
          <cell r="S134">
            <v>661.276</v>
          </cell>
        </row>
        <row r="216">
          <cell r="J216">
            <v>114</v>
          </cell>
          <cell r="S216">
            <v>28.5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85">
          <cell r="J85">
            <v>525.69</v>
          </cell>
        </row>
        <row r="107">
          <cell r="J107">
            <v>229.482</v>
          </cell>
        </row>
        <row r="136">
          <cell r="J136">
            <v>917.928</v>
          </cell>
        </row>
        <row r="190">
          <cell r="J190">
            <v>114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83">
          <cell r="J83">
            <v>525.69</v>
          </cell>
        </row>
        <row r="105">
          <cell r="J105">
            <v>229.482</v>
          </cell>
        </row>
        <row r="134">
          <cell r="J134">
            <v>917.928</v>
          </cell>
        </row>
        <row r="196">
          <cell r="J196">
            <v>114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58">
          <cell r="J58">
            <v>650.025</v>
          </cell>
          <cell r="S58">
            <v>320.35499999999996</v>
          </cell>
        </row>
        <row r="74">
          <cell r="J74">
            <v>293.645</v>
          </cell>
          <cell r="S74">
            <v>165.319</v>
          </cell>
        </row>
        <row r="92">
          <cell r="J92">
            <v>1174.58</v>
          </cell>
          <cell r="S92">
            <v>661.276</v>
          </cell>
        </row>
        <row r="218">
          <cell r="J218">
            <v>114</v>
          </cell>
          <cell r="S218">
            <v>28.5</v>
          </cell>
        </row>
      </sheetData>
      <sheetData sheetId="4">
        <row r="55">
          <cell r="J55">
            <v>650.025</v>
          </cell>
          <cell r="S55">
            <v>320.35499999999996</v>
          </cell>
        </row>
        <row r="72">
          <cell r="J72">
            <v>293.645</v>
          </cell>
          <cell r="S72">
            <v>165.319</v>
          </cell>
        </row>
        <row r="90">
          <cell r="J90">
            <v>1174.58</v>
          </cell>
          <cell r="S90">
            <v>661.276</v>
          </cell>
        </row>
        <row r="225">
          <cell r="J225">
            <v>114</v>
          </cell>
          <cell r="S225">
            <v>28.5</v>
          </cell>
        </row>
      </sheetData>
      <sheetData sheetId="5">
        <row r="55">
          <cell r="J55">
            <v>650.025</v>
          </cell>
          <cell r="S55">
            <v>320.35499999999996</v>
          </cell>
        </row>
        <row r="72">
          <cell r="J72">
            <v>293.645</v>
          </cell>
          <cell r="S72">
            <v>165.319</v>
          </cell>
        </row>
        <row r="90">
          <cell r="J90">
            <v>1174.58</v>
          </cell>
          <cell r="S90">
            <v>661.276</v>
          </cell>
        </row>
        <row r="160">
          <cell r="J160">
            <v>200</v>
          </cell>
          <cell r="S160">
            <v>50</v>
          </cell>
        </row>
        <row r="256">
          <cell r="J256">
            <v>114</v>
          </cell>
          <cell r="S256">
            <v>28.5</v>
          </cell>
        </row>
      </sheetData>
      <sheetData sheetId="6">
        <row r="55">
          <cell r="J55">
            <v>650.025</v>
          </cell>
          <cell r="S55">
            <v>320.35499999999996</v>
          </cell>
        </row>
        <row r="72">
          <cell r="J72">
            <v>293.645</v>
          </cell>
          <cell r="S72">
            <v>165.319</v>
          </cell>
        </row>
        <row r="92">
          <cell r="J92">
            <v>1174.58</v>
          </cell>
          <cell r="S92">
            <v>661.276</v>
          </cell>
        </row>
        <row r="162">
          <cell r="J162">
            <v>200</v>
          </cell>
          <cell r="S162">
            <v>50</v>
          </cell>
        </row>
        <row r="258">
          <cell r="J258">
            <v>114</v>
          </cell>
          <cell r="S258">
            <v>28.5</v>
          </cell>
        </row>
      </sheetData>
      <sheetData sheetId="7">
        <row r="55">
          <cell r="J55">
            <v>650.025</v>
          </cell>
          <cell r="S55">
            <v>320.35499999999996</v>
          </cell>
        </row>
        <row r="72">
          <cell r="J72">
            <v>293.645</v>
          </cell>
          <cell r="S72">
            <v>165.319</v>
          </cell>
        </row>
        <row r="92">
          <cell r="J92">
            <v>1174.58</v>
          </cell>
          <cell r="S92">
            <v>661.276</v>
          </cell>
        </row>
        <row r="162">
          <cell r="J162">
            <v>200</v>
          </cell>
          <cell r="S162">
            <v>50</v>
          </cell>
        </row>
        <row r="258">
          <cell r="J258">
            <v>114</v>
          </cell>
          <cell r="S258">
            <v>28.5</v>
          </cell>
        </row>
        <row r="290">
          <cell r="J290">
            <v>1800</v>
          </cell>
          <cell r="S290">
            <v>450</v>
          </cell>
        </row>
      </sheetData>
      <sheetData sheetId="8">
        <row r="55">
          <cell r="J55">
            <v>650.025</v>
          </cell>
          <cell r="S55">
            <v>320.35499999999996</v>
          </cell>
        </row>
        <row r="72">
          <cell r="J72">
            <v>293.645</v>
          </cell>
          <cell r="S72">
            <v>165.319</v>
          </cell>
        </row>
        <row r="92">
          <cell r="J92">
            <v>1174.58</v>
          </cell>
          <cell r="S92">
            <v>661.276</v>
          </cell>
        </row>
        <row r="165">
          <cell r="J165">
            <v>200</v>
          </cell>
          <cell r="S165">
            <v>50</v>
          </cell>
        </row>
        <row r="258">
          <cell r="J258">
            <v>114</v>
          </cell>
          <cell r="S258">
            <v>28.5</v>
          </cell>
        </row>
        <row r="290">
          <cell r="J290">
            <v>600</v>
          </cell>
          <cell r="S290">
            <v>150</v>
          </cell>
        </row>
      </sheetData>
      <sheetData sheetId="9">
        <row r="55">
          <cell r="J55">
            <v>650.025</v>
          </cell>
          <cell r="S55">
            <v>320.35499999999996</v>
          </cell>
        </row>
        <row r="71">
          <cell r="J71">
            <v>293.645</v>
          </cell>
          <cell r="S71">
            <v>165.319</v>
          </cell>
        </row>
        <row r="91">
          <cell r="J91">
            <v>1174.58</v>
          </cell>
          <cell r="S91">
            <v>661.276</v>
          </cell>
        </row>
        <row r="164">
          <cell r="J164">
            <v>200</v>
          </cell>
          <cell r="S164">
            <v>50</v>
          </cell>
        </row>
        <row r="257">
          <cell r="J257">
            <v>114</v>
          </cell>
          <cell r="S257">
            <v>28.5</v>
          </cell>
        </row>
        <row r="289">
          <cell r="J289">
            <v>600</v>
          </cell>
          <cell r="S289">
            <v>150</v>
          </cell>
        </row>
      </sheetData>
      <sheetData sheetId="10">
        <row r="55">
          <cell r="J55">
            <v>650.025</v>
          </cell>
          <cell r="S55">
            <v>320.35499999999996</v>
          </cell>
        </row>
        <row r="71">
          <cell r="J71">
            <v>293.645</v>
          </cell>
          <cell r="S71">
            <v>165.319</v>
          </cell>
        </row>
        <row r="91">
          <cell r="J91">
            <v>1174.58</v>
          </cell>
          <cell r="S91">
            <v>661.276</v>
          </cell>
        </row>
        <row r="166">
          <cell r="J166">
            <v>200</v>
          </cell>
          <cell r="S166">
            <v>50</v>
          </cell>
        </row>
        <row r="259">
          <cell r="J259">
            <v>114</v>
          </cell>
          <cell r="S259">
            <v>28.5</v>
          </cell>
        </row>
        <row r="291">
          <cell r="J291">
            <v>600</v>
          </cell>
          <cell r="S291">
            <v>150</v>
          </cell>
        </row>
      </sheetData>
      <sheetData sheetId="11">
        <row r="55">
          <cell r="J55">
            <v>650.025</v>
          </cell>
          <cell r="S55">
            <v>320.35499999999996</v>
          </cell>
        </row>
        <row r="71">
          <cell r="J71">
            <v>293.645</v>
          </cell>
          <cell r="S71">
            <v>165.319</v>
          </cell>
        </row>
        <row r="91">
          <cell r="J91">
            <v>1174.58</v>
          </cell>
          <cell r="S91">
            <v>661.276</v>
          </cell>
        </row>
        <row r="168">
          <cell r="J168">
            <v>200</v>
          </cell>
          <cell r="S168">
            <v>50</v>
          </cell>
        </row>
        <row r="261">
          <cell r="J261">
            <v>114</v>
          </cell>
          <cell r="S261">
            <v>28.5</v>
          </cell>
        </row>
        <row r="293">
          <cell r="J293">
            <v>600</v>
          </cell>
          <cell r="S293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90">
          <cell r="O90">
            <v>211.76952999999997</v>
          </cell>
        </row>
        <row r="110">
          <cell r="O110">
            <v>109.28391400000001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90">
          <cell r="I90">
            <v>526.1678999999999</v>
          </cell>
        </row>
        <row r="110">
          <cell r="I110">
            <v>229.60322</v>
          </cell>
        </row>
      </sheetData>
      <sheetData sheetId="1">
        <row r="90">
          <cell r="I90">
            <v>526.1678999999999</v>
          </cell>
          <cell r="O90">
            <v>212.0661</v>
          </cell>
        </row>
        <row r="110">
          <cell r="I110">
            <v>229.60322</v>
          </cell>
          <cell r="O110">
            <v>109.43657999999998</v>
          </cell>
        </row>
      </sheetData>
      <sheetData sheetId="2">
        <row r="91">
          <cell r="I91">
            <v>526.1678999999999</v>
          </cell>
          <cell r="O91">
            <v>212.0661</v>
          </cell>
        </row>
        <row r="112">
          <cell r="I112">
            <v>229.60322</v>
          </cell>
          <cell r="O112">
            <v>109.43657999999998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89">
          <cell r="I89">
            <v>526.1678999999999</v>
          </cell>
          <cell r="M89">
            <v>211.815</v>
          </cell>
        </row>
        <row r="110">
          <cell r="I110">
            <v>229.60322</v>
          </cell>
          <cell r="M110">
            <v>109.30699999999999</v>
          </cell>
        </row>
      </sheetData>
      <sheetData sheetId="5">
        <row r="87">
          <cell r="M87">
            <v>211.815</v>
          </cell>
        </row>
        <row r="107">
          <cell r="M107">
            <v>109.30699999999999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86">
          <cell r="I86">
            <v>526.1678999999999</v>
          </cell>
        </row>
        <row r="106">
          <cell r="I106">
            <v>229.60322</v>
          </cell>
        </row>
      </sheetData>
      <sheetData sheetId="9">
        <row r="86">
          <cell r="I86">
            <v>526.1678999999999</v>
          </cell>
          <cell r="M86">
            <v>211.815</v>
          </cell>
        </row>
        <row r="107">
          <cell r="I107">
            <v>229.60322</v>
          </cell>
          <cell r="M107">
            <v>109.30699999999999</v>
          </cell>
        </row>
      </sheetData>
      <sheetData sheetId="10">
        <row r="86">
          <cell r="I86">
            <v>526.1678999999999</v>
          </cell>
          <cell r="M86">
            <v>211.815</v>
          </cell>
        </row>
        <row r="106">
          <cell r="I106">
            <v>229.60322</v>
          </cell>
          <cell r="M106">
            <v>109.30699999999999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88">
          <cell r="I88">
            <v>526.1678999999999</v>
          </cell>
        </row>
        <row r="109">
          <cell r="I109">
            <v>229.60322</v>
          </cell>
        </row>
      </sheetData>
      <sheetData sheetId="2">
        <row r="89">
          <cell r="M89">
            <v>211.815</v>
          </cell>
        </row>
        <row r="110">
          <cell r="M110">
            <v>109.30699999999999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86">
          <cell r="I86">
            <v>526.1678999999999</v>
          </cell>
        </row>
        <row r="106">
          <cell r="I106">
            <v>229.60322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5">
        <row r="87">
          <cell r="M87">
            <v>211.815</v>
          </cell>
        </row>
        <row r="107">
          <cell r="M107">
            <v>109.30699999999999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pane xSplit="2" ySplit="7" topLeftCell="AM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G37" sqref="AG37:BA37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8.125" style="2" customWidth="1"/>
    <col min="27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1.3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37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12.75">
      <c r="A1" s="302" t="s">
        <v>78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303" t="s">
        <v>0</v>
      </c>
      <c r="B3" s="306" t="s">
        <v>1</v>
      </c>
      <c r="C3" s="306" t="s">
        <v>2</v>
      </c>
      <c r="D3" s="306" t="s">
        <v>3</v>
      </c>
      <c r="E3" s="309" t="s">
        <v>4</v>
      </c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17" t="s">
        <v>5</v>
      </c>
      <c r="T3" s="317"/>
      <c r="U3" s="315" t="s">
        <v>6</v>
      </c>
      <c r="V3" s="315"/>
      <c r="W3" s="315"/>
      <c r="X3" s="315"/>
      <c r="Y3" s="315"/>
      <c r="Z3" s="315"/>
      <c r="AA3" s="315"/>
      <c r="AB3" s="315"/>
      <c r="AC3" s="310" t="s">
        <v>7</v>
      </c>
      <c r="AD3" s="310" t="s">
        <v>8</v>
      </c>
      <c r="AE3" s="310" t="s">
        <v>9</v>
      </c>
      <c r="AF3" s="324" t="s">
        <v>77</v>
      </c>
      <c r="AG3" s="330" t="s">
        <v>10</v>
      </c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291" t="s">
        <v>88</v>
      </c>
      <c r="BD3" s="318" t="s">
        <v>11</v>
      </c>
      <c r="BE3" s="321" t="s">
        <v>12</v>
      </c>
    </row>
    <row r="4" spans="1:57" ht="36" customHeight="1" thickBot="1">
      <c r="A4" s="304"/>
      <c r="B4" s="307"/>
      <c r="C4" s="307"/>
      <c r="D4" s="307"/>
      <c r="E4" s="290" t="s">
        <v>13</v>
      </c>
      <c r="F4" s="290"/>
      <c r="G4" s="290" t="s">
        <v>14</v>
      </c>
      <c r="H4" s="290"/>
      <c r="I4" s="290" t="s">
        <v>15</v>
      </c>
      <c r="J4" s="290"/>
      <c r="K4" s="290" t="s">
        <v>16</v>
      </c>
      <c r="L4" s="290"/>
      <c r="M4" s="290" t="s">
        <v>17</v>
      </c>
      <c r="N4" s="290"/>
      <c r="O4" s="290" t="s">
        <v>18</v>
      </c>
      <c r="P4" s="290"/>
      <c r="Q4" s="290" t="s">
        <v>19</v>
      </c>
      <c r="R4" s="290"/>
      <c r="S4" s="290"/>
      <c r="T4" s="290"/>
      <c r="U4" s="316"/>
      <c r="V4" s="316"/>
      <c r="W4" s="316"/>
      <c r="X4" s="316"/>
      <c r="Y4" s="316"/>
      <c r="Z4" s="316"/>
      <c r="AA4" s="316"/>
      <c r="AB4" s="316"/>
      <c r="AC4" s="311"/>
      <c r="AD4" s="311"/>
      <c r="AE4" s="311"/>
      <c r="AF4" s="325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292"/>
      <c r="BD4" s="319"/>
      <c r="BE4" s="322"/>
    </row>
    <row r="5" spans="1:57" ht="29.25" customHeight="1" thickBot="1">
      <c r="A5" s="304"/>
      <c r="B5" s="307"/>
      <c r="C5" s="307"/>
      <c r="D5" s="307"/>
      <c r="E5" s="313" t="s">
        <v>20</v>
      </c>
      <c r="F5" s="313" t="s">
        <v>21</v>
      </c>
      <c r="G5" s="313" t="s">
        <v>20</v>
      </c>
      <c r="H5" s="313" t="s">
        <v>21</v>
      </c>
      <c r="I5" s="313" t="s">
        <v>20</v>
      </c>
      <c r="J5" s="313" t="s">
        <v>21</v>
      </c>
      <c r="K5" s="313" t="s">
        <v>20</v>
      </c>
      <c r="L5" s="313" t="s">
        <v>21</v>
      </c>
      <c r="M5" s="313" t="s">
        <v>20</v>
      </c>
      <c r="N5" s="313" t="s">
        <v>21</v>
      </c>
      <c r="O5" s="313" t="s">
        <v>20</v>
      </c>
      <c r="P5" s="313" t="s">
        <v>21</v>
      </c>
      <c r="Q5" s="313" t="s">
        <v>20</v>
      </c>
      <c r="R5" s="313" t="s">
        <v>21</v>
      </c>
      <c r="S5" s="313" t="s">
        <v>20</v>
      </c>
      <c r="T5" s="313" t="s">
        <v>21</v>
      </c>
      <c r="U5" s="311" t="s">
        <v>22</v>
      </c>
      <c r="V5" s="311" t="s">
        <v>23</v>
      </c>
      <c r="W5" s="311" t="s">
        <v>24</v>
      </c>
      <c r="X5" s="311" t="s">
        <v>25</v>
      </c>
      <c r="Y5" s="311" t="s">
        <v>26</v>
      </c>
      <c r="Z5" s="311" t="s">
        <v>27</v>
      </c>
      <c r="AA5" s="311" t="s">
        <v>28</v>
      </c>
      <c r="AB5" s="311" t="s">
        <v>29</v>
      </c>
      <c r="AC5" s="311"/>
      <c r="AD5" s="311"/>
      <c r="AE5" s="311"/>
      <c r="AF5" s="325"/>
      <c r="AG5" s="300" t="s">
        <v>30</v>
      </c>
      <c r="AH5" s="300" t="s">
        <v>31</v>
      </c>
      <c r="AI5" s="300" t="s">
        <v>32</v>
      </c>
      <c r="AJ5" s="300" t="s">
        <v>33</v>
      </c>
      <c r="AK5" s="300" t="s">
        <v>34</v>
      </c>
      <c r="AL5" s="300" t="s">
        <v>33</v>
      </c>
      <c r="AM5" s="300" t="s">
        <v>35</v>
      </c>
      <c r="AN5" s="300" t="s">
        <v>33</v>
      </c>
      <c r="AO5" s="300" t="s">
        <v>36</v>
      </c>
      <c r="AP5" s="300" t="s">
        <v>33</v>
      </c>
      <c r="AQ5" s="294" t="s">
        <v>81</v>
      </c>
      <c r="AR5" s="296" t="s">
        <v>33</v>
      </c>
      <c r="AS5" s="331" t="s">
        <v>82</v>
      </c>
      <c r="AT5" s="298" t="s">
        <v>83</v>
      </c>
      <c r="AU5" s="298" t="s">
        <v>33</v>
      </c>
      <c r="AV5" s="327" t="s">
        <v>84</v>
      </c>
      <c r="AW5" s="328"/>
      <c r="AX5" s="329"/>
      <c r="AY5" s="300" t="s">
        <v>19</v>
      </c>
      <c r="AZ5" s="300" t="s">
        <v>38</v>
      </c>
      <c r="BA5" s="300" t="s">
        <v>33</v>
      </c>
      <c r="BB5" s="300" t="s">
        <v>39</v>
      </c>
      <c r="BC5" s="292"/>
      <c r="BD5" s="319"/>
      <c r="BE5" s="322"/>
    </row>
    <row r="6" spans="1:57" ht="54" customHeight="1" thickBot="1">
      <c r="A6" s="305"/>
      <c r="B6" s="308"/>
      <c r="C6" s="308"/>
      <c r="D6" s="308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26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295"/>
      <c r="AR6" s="297"/>
      <c r="AS6" s="332"/>
      <c r="AT6" s="299"/>
      <c r="AU6" s="299"/>
      <c r="AV6" s="98" t="s">
        <v>85</v>
      </c>
      <c r="AW6" s="98" t="s">
        <v>86</v>
      </c>
      <c r="AX6" s="98" t="s">
        <v>87</v>
      </c>
      <c r="AY6" s="301"/>
      <c r="AZ6" s="301"/>
      <c r="BA6" s="301"/>
      <c r="BB6" s="301"/>
      <c r="BC6" s="293"/>
      <c r="BD6" s="320"/>
      <c r="BE6" s="323"/>
    </row>
    <row r="7" spans="1:57" ht="13.5" thickBot="1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  <c r="AW7" s="6">
        <v>49</v>
      </c>
      <c r="AX7" s="7">
        <v>50</v>
      </c>
      <c r="AY7" s="6">
        <v>51</v>
      </c>
      <c r="AZ7" s="7">
        <v>52</v>
      </c>
      <c r="BA7" s="6">
        <v>53</v>
      </c>
      <c r="BB7" s="7">
        <v>54</v>
      </c>
      <c r="BC7" s="6">
        <v>55</v>
      </c>
      <c r="BD7" s="7">
        <v>56</v>
      </c>
      <c r="BE7" s="125">
        <v>57</v>
      </c>
    </row>
    <row r="8" spans="1:57" ht="15" customHeight="1" hidden="1">
      <c r="A8" s="5" t="s">
        <v>43</v>
      </c>
      <c r="B8" s="57"/>
      <c r="C8" s="10"/>
      <c r="D8" s="10"/>
      <c r="E8" s="60"/>
      <c r="F8" s="60"/>
      <c r="G8" s="60"/>
      <c r="H8" s="60"/>
      <c r="I8" s="60"/>
      <c r="J8" s="60"/>
      <c r="K8" s="60"/>
      <c r="L8" s="60"/>
      <c r="M8" s="60"/>
      <c r="N8" s="60"/>
      <c r="O8" s="59"/>
      <c r="P8" s="13"/>
      <c r="Q8" s="12"/>
      <c r="R8" s="12"/>
      <c r="S8" s="12"/>
      <c r="T8" s="12"/>
      <c r="U8" s="20"/>
      <c r="V8" s="20"/>
      <c r="W8" s="20"/>
      <c r="X8" s="20"/>
      <c r="Y8" s="20"/>
      <c r="Z8" s="20"/>
      <c r="AA8" s="14"/>
      <c r="AB8" s="14"/>
      <c r="AC8" s="85"/>
      <c r="AD8" s="86"/>
      <c r="AE8" s="86"/>
      <c r="AF8" s="85"/>
      <c r="AG8" s="15"/>
      <c r="AH8" s="15"/>
      <c r="AI8" s="15"/>
      <c r="AJ8" s="15"/>
      <c r="AK8" s="15"/>
      <c r="AL8" s="15"/>
      <c r="AM8" s="15"/>
      <c r="AN8" s="15"/>
      <c r="AO8" s="16"/>
      <c r="AP8" s="16"/>
      <c r="AQ8" s="83"/>
      <c r="AR8" s="83"/>
      <c r="AS8" s="70"/>
      <c r="AT8" s="70"/>
      <c r="AU8" s="21"/>
      <c r="AV8" s="21"/>
      <c r="AW8" s="21"/>
      <c r="AX8" s="16"/>
      <c r="AY8" s="16"/>
      <c r="AZ8" s="16"/>
      <c r="BA8" s="15"/>
      <c r="BB8" s="15"/>
      <c r="BC8" s="15"/>
      <c r="BD8" s="15"/>
      <c r="BE8" s="17"/>
    </row>
    <row r="9" spans="1:57" ht="12.75" hidden="1">
      <c r="A9" s="8" t="s">
        <v>44</v>
      </c>
      <c r="B9" s="81">
        <v>4308.3</v>
      </c>
      <c r="C9" s="63">
        <f>B9*8.65</f>
        <v>37266.795000000006</v>
      </c>
      <c r="D9" s="11">
        <f>C9*0.125</f>
        <v>4658.349375000001</v>
      </c>
      <c r="E9" s="78">
        <v>1848.92</v>
      </c>
      <c r="F9" s="78">
        <v>432.39</v>
      </c>
      <c r="G9" s="78">
        <v>3868.86</v>
      </c>
      <c r="H9" s="78">
        <v>904.83</v>
      </c>
      <c r="I9" s="78">
        <v>9314.01</v>
      </c>
      <c r="J9" s="78">
        <v>2178.13</v>
      </c>
      <c r="K9" s="78">
        <v>6448.2</v>
      </c>
      <c r="L9" s="78">
        <v>1507.93</v>
      </c>
      <c r="M9" s="78">
        <v>2292.66</v>
      </c>
      <c r="N9" s="78">
        <v>536.13</v>
      </c>
      <c r="O9" s="38">
        <v>0</v>
      </c>
      <c r="P9" s="69">
        <v>0</v>
      </c>
      <c r="Q9" s="69">
        <v>0</v>
      </c>
      <c r="R9" s="69">
        <v>0</v>
      </c>
      <c r="S9" s="12">
        <f aca="true" t="shared" si="0" ref="S9:S19">E9+G9+I9+K9+M9+O9+Q9</f>
        <v>23772.65</v>
      </c>
      <c r="T9" s="12">
        <f aca="true" t="shared" si="1" ref="T9:T19">P9+N9+L9+J9+H9+F9+R9</f>
        <v>5559.410000000001</v>
      </c>
      <c r="U9" s="67">
        <v>1890.14</v>
      </c>
      <c r="V9" s="67">
        <v>2551.77</v>
      </c>
      <c r="W9" s="67">
        <v>6143.04</v>
      </c>
      <c r="X9" s="67">
        <v>4252.82</v>
      </c>
      <c r="Y9" s="67">
        <v>1512.15</v>
      </c>
      <c r="Z9" s="64">
        <v>0</v>
      </c>
      <c r="AA9" s="64">
        <v>0</v>
      </c>
      <c r="AB9" s="14">
        <f aca="true" t="shared" si="2" ref="AB9:AB14">SUM(U9:AA9)</f>
        <v>16349.92</v>
      </c>
      <c r="AC9" s="85">
        <f aca="true" t="shared" si="3" ref="AC9:AC14">AB9+T9+D9</f>
        <v>26567.679375000003</v>
      </c>
      <c r="AD9" s="86">
        <f>P9+Z9</f>
        <v>0</v>
      </c>
      <c r="AE9" s="86">
        <f aca="true" t="shared" si="4" ref="AE9:AE19">R9+AA9</f>
        <v>0</v>
      </c>
      <c r="AF9" s="85">
        <v>0</v>
      </c>
      <c r="AG9" s="22">
        <f>0.6*B9*0.9</f>
        <v>2326.482</v>
      </c>
      <c r="AH9" s="22">
        <f>B9*0.2*0.891</f>
        <v>767.7390600000001</v>
      </c>
      <c r="AI9" s="22">
        <f>0.85*B9*0.867-0.02</f>
        <v>3174.9816849999997</v>
      </c>
      <c r="AJ9" s="22">
        <f aca="true" t="shared" si="5" ref="AJ9:AJ19">AI9*0.18</f>
        <v>571.4967032999999</v>
      </c>
      <c r="AK9" s="22">
        <f>0.83*B9*0.8686</f>
        <v>3106.0171854000005</v>
      </c>
      <c r="AL9" s="22">
        <f aca="true" t="shared" si="6" ref="AL9:AL19">AK9*0.18</f>
        <v>559.083093372</v>
      </c>
      <c r="AM9" s="22">
        <f>1.91*B9*0.8686</f>
        <v>7147.5817158</v>
      </c>
      <c r="AN9" s="22">
        <f aca="true" t="shared" si="7" ref="AN9:AN19">AM9*0.18</f>
        <v>1286.564708844</v>
      </c>
      <c r="AO9" s="22"/>
      <c r="AP9" s="22">
        <f aca="true" t="shared" si="8" ref="AP9:AP19">AO9*0.18</f>
        <v>0</v>
      </c>
      <c r="AQ9" s="82"/>
      <c r="AR9" s="82"/>
      <c r="AS9" s="71">
        <v>11476</v>
      </c>
      <c r="AT9" s="71"/>
      <c r="AU9" s="21">
        <f>AS9*0.18+0.01</f>
        <v>2065.69</v>
      </c>
      <c r="AV9" s="21"/>
      <c r="AW9" s="21"/>
      <c r="AX9" s="15">
        <v>2114.56</v>
      </c>
      <c r="AY9" s="16">
        <v>0</v>
      </c>
      <c r="AZ9" s="16">
        <v>0</v>
      </c>
      <c r="BA9" s="15">
        <f aca="true" t="shared" si="9" ref="BA9:BA20">AZ9*0.18</f>
        <v>0</v>
      </c>
      <c r="BB9" s="15">
        <f aca="true" t="shared" si="10" ref="BB9:BB14">SUM(AG9:BA9)</f>
        <v>34596.196151716</v>
      </c>
      <c r="BC9" s="15"/>
      <c r="BD9" s="15">
        <f aca="true" t="shared" si="11" ref="BD9:BD14">AC9+AF9-BB9</f>
        <v>-8028.516776715998</v>
      </c>
      <c r="BE9" s="17">
        <f>AB9-S9</f>
        <v>-7422.730000000001</v>
      </c>
    </row>
    <row r="10" spans="1:57" ht="12.75" hidden="1">
      <c r="A10" s="8" t="s">
        <v>45</v>
      </c>
      <c r="B10" s="81">
        <v>4308.3</v>
      </c>
      <c r="C10" s="63">
        <f aca="true" t="shared" si="12" ref="C10:C20">B10*8.65</f>
        <v>37266.795000000006</v>
      </c>
      <c r="D10" s="11">
        <f>C10*0.125</f>
        <v>4658.349375000001</v>
      </c>
      <c r="E10" s="78">
        <v>2842.15</v>
      </c>
      <c r="F10" s="78">
        <v>682.44</v>
      </c>
      <c r="G10" s="78">
        <v>3832.93</v>
      </c>
      <c r="H10" s="78">
        <v>921.34</v>
      </c>
      <c r="I10" s="78">
        <v>9227.47</v>
      </c>
      <c r="J10" s="78">
        <v>2217.91</v>
      </c>
      <c r="K10" s="78">
        <v>6388.27</v>
      </c>
      <c r="L10" s="78">
        <v>1535.47</v>
      </c>
      <c r="M10" s="78">
        <v>2271.39</v>
      </c>
      <c r="N10" s="78">
        <v>545.93</v>
      </c>
      <c r="O10" s="15">
        <v>0</v>
      </c>
      <c r="P10" s="64">
        <v>0</v>
      </c>
      <c r="Q10" s="15">
        <v>0</v>
      </c>
      <c r="R10" s="64">
        <v>0</v>
      </c>
      <c r="S10" s="12">
        <f t="shared" si="0"/>
        <v>24562.21</v>
      </c>
      <c r="T10" s="12">
        <f t="shared" si="1"/>
        <v>5903.09</v>
      </c>
      <c r="U10" s="67">
        <v>1345.46</v>
      </c>
      <c r="V10" s="67">
        <v>2747.93</v>
      </c>
      <c r="W10" s="67">
        <v>6616.19</v>
      </c>
      <c r="X10" s="67">
        <v>4580.3</v>
      </c>
      <c r="Y10" s="67">
        <v>1628.68</v>
      </c>
      <c r="Z10" s="64">
        <v>0</v>
      </c>
      <c r="AA10" s="64">
        <v>0</v>
      </c>
      <c r="AB10" s="14">
        <f t="shared" si="2"/>
        <v>16918.56</v>
      </c>
      <c r="AC10" s="85">
        <f t="shared" si="3"/>
        <v>27479.999375000003</v>
      </c>
      <c r="AD10" s="86">
        <f aca="true" t="shared" si="13" ref="AD10:AD19">P10+Z10</f>
        <v>0</v>
      </c>
      <c r="AE10" s="86">
        <f t="shared" si="4"/>
        <v>0</v>
      </c>
      <c r="AF10" s="85">
        <v>0</v>
      </c>
      <c r="AG10" s="22">
        <f>0.6*B10*0.9</f>
        <v>2326.482</v>
      </c>
      <c r="AH10" s="22">
        <f>B10*0.2*0.9153</f>
        <v>788.677398</v>
      </c>
      <c r="AI10" s="22">
        <f>0.85*B10*0.866</f>
        <v>3171.33963</v>
      </c>
      <c r="AJ10" s="22">
        <f t="shared" si="5"/>
        <v>570.8411334</v>
      </c>
      <c r="AK10" s="22">
        <f>0.83*B10*0.8684</f>
        <v>3105.3020076</v>
      </c>
      <c r="AL10" s="22">
        <f t="shared" si="6"/>
        <v>558.9543613679999</v>
      </c>
      <c r="AM10" s="22">
        <f>(1.91)*B10*0.8684</f>
        <v>7145.935945199999</v>
      </c>
      <c r="AN10" s="22">
        <f t="shared" si="7"/>
        <v>1286.2684701359997</v>
      </c>
      <c r="AO10" s="22"/>
      <c r="AP10" s="22">
        <f t="shared" si="8"/>
        <v>0</v>
      </c>
      <c r="AQ10" s="82"/>
      <c r="AR10" s="82"/>
      <c r="AS10" s="71">
        <f>756*6+3160</f>
        <v>7696</v>
      </c>
      <c r="AT10" s="71"/>
      <c r="AU10" s="21">
        <f>AS10*0.18</f>
        <v>1385.28</v>
      </c>
      <c r="AV10" s="21"/>
      <c r="AW10" s="21"/>
      <c r="AX10" s="15">
        <v>1330.8512</v>
      </c>
      <c r="AY10" s="16">
        <v>0</v>
      </c>
      <c r="AZ10" s="16">
        <v>0</v>
      </c>
      <c r="BA10" s="15">
        <f t="shared" si="9"/>
        <v>0</v>
      </c>
      <c r="BB10" s="15">
        <f t="shared" si="10"/>
        <v>29365.932145704</v>
      </c>
      <c r="BC10" s="15"/>
      <c r="BD10" s="15">
        <f t="shared" si="11"/>
        <v>-1885.9327707039956</v>
      </c>
      <c r="BE10" s="17">
        <f aca="true" t="shared" si="14" ref="BE10:BE20">AB10-S10</f>
        <v>-7643.649999999998</v>
      </c>
    </row>
    <row r="11" spans="1:57" ht="12.75" hidden="1">
      <c r="A11" s="8" t="s">
        <v>46</v>
      </c>
      <c r="B11" s="80">
        <v>4308.32</v>
      </c>
      <c r="C11" s="63">
        <f t="shared" si="12"/>
        <v>37266.968</v>
      </c>
      <c r="D11" s="11">
        <f>C11*0.125</f>
        <v>4658.371</v>
      </c>
      <c r="E11" s="79">
        <v>2788.96</v>
      </c>
      <c r="F11" s="79">
        <v>682.44</v>
      </c>
      <c r="G11" s="79">
        <v>3778.61</v>
      </c>
      <c r="H11" s="79">
        <v>936.95</v>
      </c>
      <c r="I11" s="79">
        <v>9096.68</v>
      </c>
      <c r="J11" s="79">
        <v>2255.49</v>
      </c>
      <c r="K11" s="79">
        <v>6297.76</v>
      </c>
      <c r="L11" s="79">
        <v>1561.48</v>
      </c>
      <c r="M11" s="79">
        <v>2239.19</v>
      </c>
      <c r="N11" s="79">
        <v>555.18</v>
      </c>
      <c r="O11" s="15">
        <v>0</v>
      </c>
      <c r="P11" s="64">
        <v>0</v>
      </c>
      <c r="Q11" s="15">
        <v>0</v>
      </c>
      <c r="R11" s="64">
        <v>0</v>
      </c>
      <c r="S11" s="12">
        <f t="shared" si="0"/>
        <v>24201.2</v>
      </c>
      <c r="T11" s="12">
        <f t="shared" si="1"/>
        <v>5991.539999999999</v>
      </c>
      <c r="U11" s="68">
        <v>2486.06</v>
      </c>
      <c r="V11" s="68">
        <v>3551.41</v>
      </c>
      <c r="W11" s="68">
        <v>8549.13</v>
      </c>
      <c r="X11" s="68">
        <v>5918.83</v>
      </c>
      <c r="Y11" s="68">
        <v>2104.34</v>
      </c>
      <c r="Z11" s="64">
        <v>0</v>
      </c>
      <c r="AA11" s="64">
        <v>0</v>
      </c>
      <c r="AB11" s="14">
        <f t="shared" si="2"/>
        <v>22609.77</v>
      </c>
      <c r="AC11" s="85">
        <f t="shared" si="3"/>
        <v>33259.681</v>
      </c>
      <c r="AD11" s="86">
        <f t="shared" si="13"/>
        <v>0</v>
      </c>
      <c r="AE11" s="86">
        <f t="shared" si="4"/>
        <v>0</v>
      </c>
      <c r="AF11" s="85">
        <v>0</v>
      </c>
      <c r="AG11" s="22">
        <f>0.6*B11*0.9</f>
        <v>2326.4928</v>
      </c>
      <c r="AH11" s="84">
        <f>B11*0.2*0.9082-0.01</f>
        <v>782.5532448</v>
      </c>
      <c r="AI11" s="22">
        <f>0.85*B11*0.8675</f>
        <v>3176.84746</v>
      </c>
      <c r="AJ11" s="22">
        <f t="shared" si="5"/>
        <v>571.8325427999999</v>
      </c>
      <c r="AK11" s="84">
        <f>0.83*B11*0.838</f>
        <v>2996.6088927999995</v>
      </c>
      <c r="AL11" s="22">
        <f t="shared" si="6"/>
        <v>539.3896007039999</v>
      </c>
      <c r="AM11" s="22">
        <f>1.91*B11*0.8381</f>
        <v>6896.633714719998</v>
      </c>
      <c r="AN11" s="22">
        <f t="shared" si="7"/>
        <v>1241.3940686495996</v>
      </c>
      <c r="AO11" s="22"/>
      <c r="AP11" s="22">
        <f t="shared" si="8"/>
        <v>0</v>
      </c>
      <c r="AQ11" s="82">
        <v>10698.48</v>
      </c>
      <c r="AR11" s="82">
        <f>AQ11*0.18</f>
        <v>1925.7263999999998</v>
      </c>
      <c r="AS11" s="71">
        <v>6465</v>
      </c>
      <c r="AT11" s="71"/>
      <c r="AU11" s="71">
        <f>AS11*0.18</f>
        <v>1163.7</v>
      </c>
      <c r="AV11" s="71"/>
      <c r="AW11" s="71"/>
      <c r="AX11" s="15">
        <v>1139.2192</v>
      </c>
      <c r="AY11" s="16">
        <v>0</v>
      </c>
      <c r="AZ11" s="16">
        <v>0</v>
      </c>
      <c r="BA11" s="15">
        <f t="shared" si="9"/>
        <v>0</v>
      </c>
      <c r="BB11" s="15">
        <f t="shared" si="10"/>
        <v>39923.87792447359</v>
      </c>
      <c r="BC11" s="15"/>
      <c r="BD11" s="15">
        <f t="shared" si="11"/>
        <v>-6664.196924473596</v>
      </c>
      <c r="BE11" s="17">
        <f t="shared" si="14"/>
        <v>-1591.4300000000003</v>
      </c>
    </row>
    <row r="12" spans="1:57" ht="12.75" hidden="1">
      <c r="A12" s="8" t="s">
        <v>47</v>
      </c>
      <c r="B12" s="80">
        <v>4308.32</v>
      </c>
      <c r="C12" s="63">
        <f t="shared" si="12"/>
        <v>37266.968</v>
      </c>
      <c r="D12" s="11">
        <f>C12*0.125</f>
        <v>4658.371</v>
      </c>
      <c r="E12" s="79">
        <v>2897.45</v>
      </c>
      <c r="F12" s="79">
        <v>661.86</v>
      </c>
      <c r="G12" s="79">
        <v>3909.91</v>
      </c>
      <c r="H12" s="79">
        <v>893.55</v>
      </c>
      <c r="I12" s="79">
        <v>9412.8</v>
      </c>
      <c r="J12" s="79">
        <v>2151.02</v>
      </c>
      <c r="K12" s="79">
        <v>6516.59</v>
      </c>
      <c r="L12" s="79">
        <v>1489.16</v>
      </c>
      <c r="M12" s="79">
        <v>2317.01</v>
      </c>
      <c r="N12" s="79">
        <v>529.47</v>
      </c>
      <c r="O12" s="15">
        <v>0</v>
      </c>
      <c r="P12" s="64">
        <v>0</v>
      </c>
      <c r="Q12" s="15">
        <v>0</v>
      </c>
      <c r="R12" s="64">
        <v>0</v>
      </c>
      <c r="S12" s="12">
        <f t="shared" si="0"/>
        <v>25053.760000000002</v>
      </c>
      <c r="T12" s="12">
        <f t="shared" si="1"/>
        <v>5725.0599999999995</v>
      </c>
      <c r="U12" s="67">
        <v>2058.13</v>
      </c>
      <c r="V12" s="67">
        <v>2845.76</v>
      </c>
      <c r="W12" s="67">
        <v>6850.82</v>
      </c>
      <c r="X12" s="67">
        <v>4742.87</v>
      </c>
      <c r="Y12" s="67">
        <v>1686.34</v>
      </c>
      <c r="Z12" s="64">
        <v>0</v>
      </c>
      <c r="AA12" s="64">
        <v>0</v>
      </c>
      <c r="AB12" s="14">
        <f t="shared" si="2"/>
        <v>18183.92</v>
      </c>
      <c r="AC12" s="85">
        <f t="shared" si="3"/>
        <v>28567.350999999995</v>
      </c>
      <c r="AD12" s="86">
        <f t="shared" si="13"/>
        <v>0</v>
      </c>
      <c r="AE12" s="86">
        <f t="shared" si="4"/>
        <v>0</v>
      </c>
      <c r="AF12" s="85">
        <v>0</v>
      </c>
      <c r="AG12" s="22">
        <f>0.6*B12*0.9</f>
        <v>2326.4928</v>
      </c>
      <c r="AH12" s="84">
        <f>B12*0.2*0.9234</f>
        <v>795.6605376</v>
      </c>
      <c r="AI12" s="22">
        <f>0.85*B12*0.8934</f>
        <v>3271.6951247999996</v>
      </c>
      <c r="AJ12" s="22">
        <f t="shared" si="5"/>
        <v>588.9051224639999</v>
      </c>
      <c r="AK12" s="22">
        <f>0.83*B12*0.8498</f>
        <v>3038.8045788799996</v>
      </c>
      <c r="AL12" s="22">
        <f t="shared" si="6"/>
        <v>546.9848241983999</v>
      </c>
      <c r="AM12" s="22">
        <f>(1.91)*B12*0.8498-0.01</f>
        <v>6992.901741759998</v>
      </c>
      <c r="AN12" s="22">
        <f t="shared" si="7"/>
        <v>1258.7223135167997</v>
      </c>
      <c r="AO12" s="22"/>
      <c r="AP12" s="22">
        <f t="shared" si="8"/>
        <v>0</v>
      </c>
      <c r="AQ12" s="82">
        <f>1588.983+5349.24+1156.97</f>
        <v>8095.193</v>
      </c>
      <c r="AR12" s="82">
        <f aca="true" t="shared" si="15" ref="AR12:AR20">AQ12*0.18</f>
        <v>1457.13474</v>
      </c>
      <c r="AS12" s="71">
        <v>15137.26</v>
      </c>
      <c r="AT12" s="71"/>
      <c r="AU12" s="71">
        <f>AS12*0.18</f>
        <v>2724.7068</v>
      </c>
      <c r="AV12" s="71"/>
      <c r="AW12" s="71"/>
      <c r="AX12" s="15">
        <v>1063.8880000000001</v>
      </c>
      <c r="AY12" s="16">
        <v>0</v>
      </c>
      <c r="AZ12" s="16">
        <v>0</v>
      </c>
      <c r="BA12" s="15">
        <f t="shared" si="9"/>
        <v>0</v>
      </c>
      <c r="BB12" s="15">
        <f t="shared" si="10"/>
        <v>47298.3495832192</v>
      </c>
      <c r="BC12" s="15"/>
      <c r="BD12" s="15">
        <f t="shared" si="11"/>
        <v>-18730.998583219203</v>
      </c>
      <c r="BE12" s="17">
        <f t="shared" si="14"/>
        <v>-6869.840000000004</v>
      </c>
    </row>
    <row r="13" spans="1:57" ht="12.75" hidden="1">
      <c r="A13" s="8" t="s">
        <v>48</v>
      </c>
      <c r="B13" s="80">
        <v>4308.3</v>
      </c>
      <c r="C13" s="63">
        <f t="shared" si="12"/>
        <v>37266.795000000006</v>
      </c>
      <c r="D13" s="11">
        <f>C13-S13-T13</f>
        <v>3668.865000000006</v>
      </c>
      <c r="E13" s="79">
        <v>3160.95</v>
      </c>
      <c r="F13" s="79">
        <v>717.24</v>
      </c>
      <c r="G13" s="79">
        <v>4280.57</v>
      </c>
      <c r="H13" s="79">
        <v>972.21</v>
      </c>
      <c r="I13" s="79">
        <v>10286.39</v>
      </c>
      <c r="J13" s="79">
        <v>2334.89</v>
      </c>
      <c r="K13" s="79">
        <v>7125.43</v>
      </c>
      <c r="L13" s="79">
        <v>1617.71</v>
      </c>
      <c r="M13" s="79">
        <v>2528.8</v>
      </c>
      <c r="N13" s="79">
        <v>573.74</v>
      </c>
      <c r="O13" s="65">
        <v>0</v>
      </c>
      <c r="P13" s="66">
        <v>0</v>
      </c>
      <c r="Q13" s="65">
        <v>0</v>
      </c>
      <c r="R13" s="66">
        <v>0</v>
      </c>
      <c r="S13" s="12">
        <f t="shared" si="0"/>
        <v>27382.14</v>
      </c>
      <c r="T13" s="12">
        <f t="shared" si="1"/>
        <v>6215.79</v>
      </c>
      <c r="U13" s="68">
        <v>2646.01</v>
      </c>
      <c r="V13" s="68">
        <v>3603.63</v>
      </c>
      <c r="W13" s="68">
        <v>8675.31</v>
      </c>
      <c r="X13" s="68">
        <v>6006.07</v>
      </c>
      <c r="Y13" s="68">
        <v>2135.49</v>
      </c>
      <c r="Z13" s="66">
        <v>0</v>
      </c>
      <c r="AA13" s="66">
        <v>0</v>
      </c>
      <c r="AB13" s="14">
        <f t="shared" si="2"/>
        <v>23066.510000000002</v>
      </c>
      <c r="AC13" s="85">
        <f t="shared" si="3"/>
        <v>32951.16500000001</v>
      </c>
      <c r="AD13" s="86">
        <f t="shared" si="13"/>
        <v>0</v>
      </c>
      <c r="AE13" s="86">
        <f t="shared" si="4"/>
        <v>0</v>
      </c>
      <c r="AF13" s="85">
        <v>0</v>
      </c>
      <c r="AG13" s="22">
        <f aca="true" t="shared" si="16" ref="AG13:AG20">0.6*B13</f>
        <v>2584.98</v>
      </c>
      <c r="AH13" s="22">
        <f>B13*0.2*1.01</f>
        <v>870.2766000000001</v>
      </c>
      <c r="AI13" s="22">
        <f>0.85*B13</f>
        <v>3662.055</v>
      </c>
      <c r="AJ13" s="22">
        <f t="shared" si="5"/>
        <v>659.1699</v>
      </c>
      <c r="AK13" s="22">
        <f>0.83*B13</f>
        <v>3575.889</v>
      </c>
      <c r="AL13" s="22">
        <f t="shared" si="6"/>
        <v>643.66002</v>
      </c>
      <c r="AM13" s="22">
        <f>(1.91)*B13</f>
        <v>8228.853</v>
      </c>
      <c r="AN13" s="22">
        <f t="shared" si="7"/>
        <v>1481.1935399999998</v>
      </c>
      <c r="AO13" s="22"/>
      <c r="AP13" s="22">
        <f t="shared" si="8"/>
        <v>0</v>
      </c>
      <c r="AQ13" s="82"/>
      <c r="AR13" s="82">
        <f t="shared" si="15"/>
        <v>0</v>
      </c>
      <c r="AS13" s="71">
        <v>38745.5</v>
      </c>
      <c r="AT13" s="71">
        <v>600</v>
      </c>
      <c r="AU13" s="71">
        <f aca="true" t="shared" si="17" ref="AU13:AU20">(AS13+AT13)*0.18</f>
        <v>7082.19</v>
      </c>
      <c r="AV13" s="71"/>
      <c r="AW13" s="71"/>
      <c r="AX13" s="15">
        <v>775.7792000000001</v>
      </c>
      <c r="AY13" s="16">
        <v>0</v>
      </c>
      <c r="AZ13" s="16">
        <v>0</v>
      </c>
      <c r="BA13" s="15">
        <f t="shared" si="9"/>
        <v>0</v>
      </c>
      <c r="BB13" s="15">
        <f t="shared" si="10"/>
        <v>68909.54626</v>
      </c>
      <c r="BC13" s="15"/>
      <c r="BD13" s="15">
        <f t="shared" si="11"/>
        <v>-35958.381259999995</v>
      </c>
      <c r="BE13" s="17">
        <f t="shared" si="14"/>
        <v>-4315.629999999997</v>
      </c>
    </row>
    <row r="14" spans="1:57" ht="12.75" hidden="1">
      <c r="A14" s="8" t="s">
        <v>49</v>
      </c>
      <c r="B14" s="80">
        <v>4308.3</v>
      </c>
      <c r="C14" s="63">
        <f t="shared" si="12"/>
        <v>37266.795000000006</v>
      </c>
      <c r="D14" s="11">
        <f>C14-S14-T14</f>
        <v>3988.2550000000037</v>
      </c>
      <c r="E14" s="79">
        <v>3106.46</v>
      </c>
      <c r="F14" s="79">
        <v>734.89</v>
      </c>
      <c r="G14" s="79">
        <v>4206.64</v>
      </c>
      <c r="H14" s="79">
        <v>996.15</v>
      </c>
      <c r="I14" s="79">
        <v>10108.94</v>
      </c>
      <c r="J14" s="79">
        <v>2392.38</v>
      </c>
      <c r="K14" s="79">
        <v>7002.46</v>
      </c>
      <c r="L14" s="79">
        <v>1657.54</v>
      </c>
      <c r="M14" s="79">
        <v>2485.22</v>
      </c>
      <c r="N14" s="79">
        <v>587.86</v>
      </c>
      <c r="O14" s="65">
        <v>0</v>
      </c>
      <c r="P14" s="66">
        <v>0</v>
      </c>
      <c r="Q14" s="65">
        <v>0</v>
      </c>
      <c r="R14" s="66">
        <v>0</v>
      </c>
      <c r="S14" s="12">
        <f t="shared" si="0"/>
        <v>26909.72</v>
      </c>
      <c r="T14" s="12">
        <f t="shared" si="1"/>
        <v>6368.820000000001</v>
      </c>
      <c r="U14" s="68">
        <v>2987.8</v>
      </c>
      <c r="V14" s="68">
        <v>4092.69</v>
      </c>
      <c r="W14" s="68">
        <v>9838.88</v>
      </c>
      <c r="X14" s="68">
        <v>6814.49</v>
      </c>
      <c r="Y14" s="68">
        <v>2419.45</v>
      </c>
      <c r="Z14" s="66">
        <v>0</v>
      </c>
      <c r="AA14" s="66">
        <v>0</v>
      </c>
      <c r="AB14" s="14">
        <f t="shared" si="2"/>
        <v>26153.31</v>
      </c>
      <c r="AC14" s="85">
        <f t="shared" si="3"/>
        <v>36510.385</v>
      </c>
      <c r="AD14" s="86">
        <f t="shared" si="13"/>
        <v>0</v>
      </c>
      <c r="AE14" s="86">
        <f t="shared" si="4"/>
        <v>0</v>
      </c>
      <c r="AF14" s="85">
        <v>0</v>
      </c>
      <c r="AG14" s="22">
        <f t="shared" si="16"/>
        <v>2584.98</v>
      </c>
      <c r="AH14" s="22">
        <f>B14*0.2*1.01045</f>
        <v>870.6643470000001</v>
      </c>
      <c r="AI14" s="22">
        <f>0.85*B14</f>
        <v>3662.055</v>
      </c>
      <c r="AJ14" s="22">
        <f t="shared" si="5"/>
        <v>659.1699</v>
      </c>
      <c r="AK14" s="22">
        <f>0.83*B14</f>
        <v>3575.889</v>
      </c>
      <c r="AL14" s="22">
        <f t="shared" si="6"/>
        <v>643.66002</v>
      </c>
      <c r="AM14" s="22">
        <f>(1.91)*B14+0.01</f>
        <v>8228.863</v>
      </c>
      <c r="AN14" s="22">
        <f t="shared" si="7"/>
        <v>1481.1953399999998</v>
      </c>
      <c r="AO14" s="22"/>
      <c r="AP14" s="22">
        <f t="shared" si="8"/>
        <v>0</v>
      </c>
      <c r="AQ14" s="82">
        <f>1169.67+15386</f>
        <v>16555.67</v>
      </c>
      <c r="AR14" s="82">
        <f t="shared" si="15"/>
        <v>2980.0205999999994</v>
      </c>
      <c r="AS14" s="71">
        <v>27271.57</v>
      </c>
      <c r="AT14" s="71"/>
      <c r="AU14" s="71">
        <f t="shared" si="17"/>
        <v>4908.8826</v>
      </c>
      <c r="AV14" s="71"/>
      <c r="AW14" s="71"/>
      <c r="AX14" s="15">
        <v>1132.6112</v>
      </c>
      <c r="AY14" s="16">
        <v>0</v>
      </c>
      <c r="AZ14" s="16">
        <v>0</v>
      </c>
      <c r="BA14" s="15">
        <f t="shared" si="9"/>
        <v>0</v>
      </c>
      <c r="BB14" s="15">
        <f t="shared" si="10"/>
        <v>74555.231007</v>
      </c>
      <c r="BC14" s="15"/>
      <c r="BD14" s="15">
        <f t="shared" si="11"/>
        <v>-38044.84600699999</v>
      </c>
      <c r="BE14" s="17">
        <f t="shared" si="14"/>
        <v>-756.4099999999999</v>
      </c>
    </row>
    <row r="15" spans="1:57" ht="12.75" hidden="1">
      <c r="A15" s="8" t="s">
        <v>50</v>
      </c>
      <c r="B15" s="87">
        <v>4307.1</v>
      </c>
      <c r="C15" s="99">
        <f t="shared" si="12"/>
        <v>37256.41500000001</v>
      </c>
      <c r="D15" s="100">
        <f aca="true" t="shared" si="18" ref="D15:D20">C15-E15-F15-G15-H15-I15-J15-K15-L15-M15-N15</f>
        <v>5354.0750000000035</v>
      </c>
      <c r="E15" s="79">
        <v>2942.47</v>
      </c>
      <c r="F15" s="79">
        <v>740.11</v>
      </c>
      <c r="G15" s="79">
        <v>3984.42</v>
      </c>
      <c r="H15" s="79">
        <v>1003.22</v>
      </c>
      <c r="I15" s="79">
        <v>9574.94</v>
      </c>
      <c r="J15" s="79">
        <v>2409.35</v>
      </c>
      <c r="K15" s="79">
        <v>6632.56</v>
      </c>
      <c r="L15" s="79">
        <v>1669.29</v>
      </c>
      <c r="M15" s="79">
        <v>2353.94</v>
      </c>
      <c r="N15" s="79">
        <v>592.04</v>
      </c>
      <c r="O15" s="79">
        <v>0</v>
      </c>
      <c r="P15" s="101">
        <v>0</v>
      </c>
      <c r="Q15" s="79">
        <v>0</v>
      </c>
      <c r="R15" s="101">
        <v>0</v>
      </c>
      <c r="S15" s="67">
        <f t="shared" si="0"/>
        <v>25488.33</v>
      </c>
      <c r="T15" s="102">
        <f t="shared" si="1"/>
        <v>6414.01</v>
      </c>
      <c r="U15" s="68">
        <v>3135</v>
      </c>
      <c r="V15" s="68">
        <v>4258.1</v>
      </c>
      <c r="W15" s="68">
        <v>10234.4</v>
      </c>
      <c r="X15" s="68">
        <v>7088.77</v>
      </c>
      <c r="Y15" s="68">
        <v>2516.34</v>
      </c>
      <c r="Z15" s="103">
        <v>0</v>
      </c>
      <c r="AA15" s="103">
        <v>0</v>
      </c>
      <c r="AB15" s="104">
        <f aca="true" t="shared" si="19" ref="AB15:AB20">SUM(U15:AA15)</f>
        <v>27232.61</v>
      </c>
      <c r="AC15" s="105">
        <f>D15+T15+AB15</f>
        <v>39000.69500000001</v>
      </c>
      <c r="AD15" s="106">
        <f t="shared" si="13"/>
        <v>0</v>
      </c>
      <c r="AE15" s="106">
        <f t="shared" si="4"/>
        <v>0</v>
      </c>
      <c r="AF15" s="106">
        <f>'[1]Т07-09'!$I$82</f>
        <v>526.1678999999999</v>
      </c>
      <c r="AG15" s="22">
        <f t="shared" si="16"/>
        <v>2584.26</v>
      </c>
      <c r="AH15" s="22">
        <f>B15*0.2*0.99425</f>
        <v>856.4668350000001</v>
      </c>
      <c r="AI15" s="22">
        <f>0.85*B15*0.9857</f>
        <v>3608.6821995000005</v>
      </c>
      <c r="AJ15" s="22">
        <f t="shared" si="5"/>
        <v>649.5627959100001</v>
      </c>
      <c r="AK15" s="22">
        <f>0.83*B15*0.9905</f>
        <v>3540.9315165000003</v>
      </c>
      <c r="AL15" s="22">
        <f t="shared" si="6"/>
        <v>637.3676729700001</v>
      </c>
      <c r="AM15" s="22">
        <f>(1.91)*B15*0.9904</f>
        <v>8147.586014399999</v>
      </c>
      <c r="AN15" s="22">
        <f t="shared" si="7"/>
        <v>1466.5654825919999</v>
      </c>
      <c r="AO15" s="22"/>
      <c r="AP15" s="22">
        <f t="shared" si="8"/>
        <v>0</v>
      </c>
      <c r="AQ15" s="82"/>
      <c r="AR15" s="82">
        <f t="shared" si="15"/>
        <v>0</v>
      </c>
      <c r="AS15" s="71">
        <v>20826.66</v>
      </c>
      <c r="AT15" s="71"/>
      <c r="AU15" s="71">
        <f t="shared" si="17"/>
        <v>3748.7988</v>
      </c>
      <c r="AV15" s="107"/>
      <c r="AW15" s="108">
        <v>699</v>
      </c>
      <c r="AX15" s="22">
        <f aca="true" t="shared" si="20" ref="AX15:AX20">AW15*1.12*1.18</f>
        <v>923.7984000000001</v>
      </c>
      <c r="AY15" s="109"/>
      <c r="AZ15" s="110"/>
      <c r="BA15" s="110">
        <f t="shared" si="9"/>
        <v>0</v>
      </c>
      <c r="BB15" s="15">
        <f>SUM(AG15:BA15)-AW15</f>
        <v>46990.679716872</v>
      </c>
      <c r="BC15" s="111">
        <f>'[1]Т07-09'!$O$82</f>
        <v>210.25342530000003</v>
      </c>
      <c r="BD15" s="15">
        <f aca="true" t="shared" si="21" ref="BD15:BD20">AC15+AF15-BB15-BC15</f>
        <v>-7674.070242171993</v>
      </c>
      <c r="BE15" s="17">
        <f t="shared" si="14"/>
        <v>1744.2799999999988</v>
      </c>
    </row>
    <row r="16" spans="1:57" ht="12.75" hidden="1">
      <c r="A16" s="8" t="s">
        <v>51</v>
      </c>
      <c r="B16" s="87">
        <v>4307.1</v>
      </c>
      <c r="C16" s="99">
        <f t="shared" si="12"/>
        <v>37256.41500000001</v>
      </c>
      <c r="D16" s="100">
        <f t="shared" si="18"/>
        <v>3587.355000000005</v>
      </c>
      <c r="E16" s="79">
        <v>3137.82</v>
      </c>
      <c r="F16" s="79">
        <v>748.58</v>
      </c>
      <c r="G16" s="79">
        <v>4249.19</v>
      </c>
      <c r="H16" s="79">
        <v>1014.72</v>
      </c>
      <c r="I16" s="79">
        <v>10211.03</v>
      </c>
      <c r="J16" s="79">
        <v>2436.97</v>
      </c>
      <c r="K16" s="79">
        <v>7073.22</v>
      </c>
      <c r="L16" s="79">
        <v>1688.42</v>
      </c>
      <c r="M16" s="79">
        <v>2510.27</v>
      </c>
      <c r="N16" s="79">
        <v>598.84</v>
      </c>
      <c r="O16" s="79">
        <v>0</v>
      </c>
      <c r="P16" s="101">
        <v>0</v>
      </c>
      <c r="Q16" s="68">
        <v>0</v>
      </c>
      <c r="R16" s="68">
        <v>0</v>
      </c>
      <c r="S16" s="67">
        <f t="shared" si="0"/>
        <v>27181.530000000002</v>
      </c>
      <c r="T16" s="102">
        <f t="shared" si="1"/>
        <v>6487.53</v>
      </c>
      <c r="U16" s="68">
        <v>3096.22</v>
      </c>
      <c r="V16" s="68">
        <v>4209.19</v>
      </c>
      <c r="W16" s="68">
        <v>10116.7</v>
      </c>
      <c r="X16" s="68">
        <v>7007.41</v>
      </c>
      <c r="Y16" s="68">
        <v>2487.32</v>
      </c>
      <c r="Z16" s="103">
        <v>0</v>
      </c>
      <c r="AA16" s="103">
        <v>0</v>
      </c>
      <c r="AB16" s="104">
        <f t="shared" si="19"/>
        <v>26916.84</v>
      </c>
      <c r="AC16" s="105">
        <f>D16+T16+AB16</f>
        <v>36991.725000000006</v>
      </c>
      <c r="AD16" s="106">
        <f t="shared" si="13"/>
        <v>0</v>
      </c>
      <c r="AE16" s="106">
        <f t="shared" si="4"/>
        <v>0</v>
      </c>
      <c r="AF16" s="106">
        <f>'[1]Т08-09'!$I$83</f>
        <v>526.1678999999999</v>
      </c>
      <c r="AG16" s="22">
        <f t="shared" si="16"/>
        <v>2584.26</v>
      </c>
      <c r="AH16" s="22">
        <f>B16*0.2*0.99875</f>
        <v>860.3432250000001</v>
      </c>
      <c r="AI16" s="22">
        <f>0.85*B16*0.98525</f>
        <v>3607.03473375</v>
      </c>
      <c r="AJ16" s="22">
        <f t="shared" si="5"/>
        <v>649.266252075</v>
      </c>
      <c r="AK16" s="22">
        <f>0.83*B16*0.99</f>
        <v>3539.14407</v>
      </c>
      <c r="AL16" s="22">
        <f t="shared" si="6"/>
        <v>637.0459325999999</v>
      </c>
      <c r="AM16" s="22">
        <f>(1.91)*B16*0.9899+0.01</f>
        <v>8143.4827339</v>
      </c>
      <c r="AN16" s="22">
        <f t="shared" si="7"/>
        <v>1465.826892102</v>
      </c>
      <c r="AO16" s="22"/>
      <c r="AP16" s="22">
        <f t="shared" si="8"/>
        <v>0</v>
      </c>
      <c r="AQ16" s="82"/>
      <c r="AR16" s="82">
        <f t="shared" si="15"/>
        <v>0</v>
      </c>
      <c r="AS16" s="71">
        <v>23348.16</v>
      </c>
      <c r="AT16" s="71"/>
      <c r="AU16" s="71">
        <f t="shared" si="17"/>
        <v>4202.6687999999995</v>
      </c>
      <c r="AV16" s="107"/>
      <c r="AW16" s="108">
        <v>662</v>
      </c>
      <c r="AX16" s="22">
        <f t="shared" si="20"/>
        <v>874.8992000000001</v>
      </c>
      <c r="AY16" s="109"/>
      <c r="AZ16" s="110"/>
      <c r="BA16" s="110">
        <f t="shared" si="9"/>
        <v>0</v>
      </c>
      <c r="BB16" s="110">
        <f>SUM(AG16:BA16)-AV16-AW16</f>
        <v>49912.131839427</v>
      </c>
      <c r="BC16" s="111">
        <f>'[1]Т08-09'!$O$83</f>
        <v>210.15789309000002</v>
      </c>
      <c r="BD16" s="15">
        <f t="shared" si="21"/>
        <v>-12604.396832516992</v>
      </c>
      <c r="BE16" s="17">
        <f t="shared" si="14"/>
        <v>-264.6900000000023</v>
      </c>
    </row>
    <row r="17" spans="1:57" ht="12.75" hidden="1">
      <c r="A17" s="8" t="s">
        <v>52</v>
      </c>
      <c r="B17" s="112">
        <v>4306</v>
      </c>
      <c r="C17" s="99">
        <f t="shared" si="12"/>
        <v>37246.9</v>
      </c>
      <c r="D17" s="100">
        <f t="shared" si="18"/>
        <v>3979.640000000006</v>
      </c>
      <c r="E17" s="78">
        <v>3090.85</v>
      </c>
      <c r="F17" s="78">
        <v>749.18</v>
      </c>
      <c r="G17" s="78">
        <v>4185.55</v>
      </c>
      <c r="H17" s="78">
        <v>1015.51</v>
      </c>
      <c r="I17" s="78">
        <v>10058.2</v>
      </c>
      <c r="J17" s="78">
        <v>2438.87</v>
      </c>
      <c r="K17" s="78">
        <v>6967.33</v>
      </c>
      <c r="L17" s="78">
        <v>1689.74</v>
      </c>
      <c r="M17" s="78">
        <v>2472.74</v>
      </c>
      <c r="N17" s="78">
        <v>599.29</v>
      </c>
      <c r="O17" s="78">
        <v>0</v>
      </c>
      <c r="P17" s="113">
        <v>0</v>
      </c>
      <c r="Q17" s="78">
        <v>0</v>
      </c>
      <c r="R17" s="113">
        <v>0</v>
      </c>
      <c r="S17" s="67">
        <f t="shared" si="0"/>
        <v>26774.67</v>
      </c>
      <c r="T17" s="102">
        <f t="shared" si="1"/>
        <v>6492.59</v>
      </c>
      <c r="U17" s="67">
        <v>2712.08</v>
      </c>
      <c r="V17" s="67">
        <v>3673.56</v>
      </c>
      <c r="W17" s="67">
        <v>8828.31</v>
      </c>
      <c r="X17" s="67">
        <v>6115.28</v>
      </c>
      <c r="Y17" s="67">
        <v>2170.54</v>
      </c>
      <c r="Z17" s="114">
        <v>0</v>
      </c>
      <c r="AA17" s="114">
        <v>0</v>
      </c>
      <c r="AB17" s="104">
        <f t="shared" si="19"/>
        <v>23499.77</v>
      </c>
      <c r="AC17" s="105">
        <f>D17+T17+AB17</f>
        <v>33972.00000000001</v>
      </c>
      <c r="AD17" s="106">
        <f t="shared" si="13"/>
        <v>0</v>
      </c>
      <c r="AE17" s="106">
        <f t="shared" si="4"/>
        <v>0</v>
      </c>
      <c r="AF17" s="106">
        <f>'[1]Т09-09'!$I$83</f>
        <v>526.1678999999999</v>
      </c>
      <c r="AG17" s="22">
        <f t="shared" si="16"/>
        <v>2583.6</v>
      </c>
      <c r="AH17" s="22">
        <f>B17*0.2*0.9997</f>
        <v>860.9416400000001</v>
      </c>
      <c r="AI17" s="22">
        <f>0.85*B17*0.98508</f>
        <v>3605.4913079999997</v>
      </c>
      <c r="AJ17" s="22">
        <f t="shared" si="5"/>
        <v>648.9884354399999</v>
      </c>
      <c r="AK17" s="22">
        <f>0.83*B17*0.98981</f>
        <v>3537.5611438</v>
      </c>
      <c r="AL17" s="22">
        <f t="shared" si="6"/>
        <v>636.761005884</v>
      </c>
      <c r="AM17" s="22">
        <f>(1.91)*B17*0.98981</f>
        <v>8140.652752599999</v>
      </c>
      <c r="AN17" s="22">
        <f t="shared" si="7"/>
        <v>1465.3174954679998</v>
      </c>
      <c r="AO17" s="22"/>
      <c r="AP17" s="22">
        <f t="shared" si="8"/>
        <v>0</v>
      </c>
      <c r="AQ17" s="82"/>
      <c r="AR17" s="82">
        <f t="shared" si="15"/>
        <v>0</v>
      </c>
      <c r="AS17" s="71"/>
      <c r="AT17" s="71"/>
      <c r="AU17" s="71">
        <f t="shared" si="17"/>
        <v>0</v>
      </c>
      <c r="AV17" s="107"/>
      <c r="AW17" s="108">
        <v>1016</v>
      </c>
      <c r="AX17" s="22">
        <f t="shared" si="20"/>
        <v>1342.7456</v>
      </c>
      <c r="AY17" s="109"/>
      <c r="AZ17" s="110"/>
      <c r="BA17" s="110">
        <f t="shared" si="9"/>
        <v>0</v>
      </c>
      <c r="BB17" s="110">
        <f>SUM(AG17:BA17)-AV17-AW17</f>
        <v>22822.059381191997</v>
      </c>
      <c r="BC17" s="111">
        <f>'[1]Т09-09'!$O$83</f>
        <v>210.126107961</v>
      </c>
      <c r="BD17" s="15">
        <f t="shared" si="21"/>
        <v>11465.982410847011</v>
      </c>
      <c r="BE17" s="17">
        <f t="shared" si="14"/>
        <v>-3274.899999999998</v>
      </c>
    </row>
    <row r="18" spans="1:57" ht="12.75" hidden="1">
      <c r="A18" s="62" t="s">
        <v>40</v>
      </c>
      <c r="B18" s="112">
        <v>4329.32</v>
      </c>
      <c r="C18" s="115">
        <f t="shared" si="12"/>
        <v>37448.618</v>
      </c>
      <c r="D18" s="100">
        <f t="shared" si="18"/>
        <v>3809.7980000000043</v>
      </c>
      <c r="E18" s="72">
        <v>3119.96</v>
      </c>
      <c r="F18" s="67">
        <v>762.89</v>
      </c>
      <c r="G18" s="67">
        <v>4225.18</v>
      </c>
      <c r="H18" s="67">
        <v>1034.1</v>
      </c>
      <c r="I18" s="67">
        <v>10153.11</v>
      </c>
      <c r="J18" s="67">
        <v>2483.51</v>
      </c>
      <c r="K18" s="67">
        <v>7033.13</v>
      </c>
      <c r="L18" s="67">
        <v>1720.67</v>
      </c>
      <c r="M18" s="67">
        <v>2496.01</v>
      </c>
      <c r="N18" s="67">
        <v>610.26</v>
      </c>
      <c r="O18" s="67">
        <v>0</v>
      </c>
      <c r="P18" s="114">
        <v>0</v>
      </c>
      <c r="Q18" s="67">
        <v>0</v>
      </c>
      <c r="R18" s="67">
        <v>0</v>
      </c>
      <c r="S18" s="67">
        <f t="shared" si="0"/>
        <v>27027.39</v>
      </c>
      <c r="T18" s="102">
        <f t="shared" si="1"/>
        <v>6611.430000000001</v>
      </c>
      <c r="U18" s="118">
        <f>2850.71+343.57</f>
        <v>3194.28</v>
      </c>
      <c r="V18" s="67">
        <f>3860.24+465.58</f>
        <v>4325.82</v>
      </c>
      <c r="W18" s="67">
        <f>9276.61+1118.61</f>
        <v>10395.220000000001</v>
      </c>
      <c r="X18" s="67">
        <f>6425.67+774.93</f>
        <v>7200.6</v>
      </c>
      <c r="Y18" s="67">
        <f>2280.89+274.94</f>
        <v>2555.83</v>
      </c>
      <c r="Z18" s="114">
        <v>0</v>
      </c>
      <c r="AA18" s="114">
        <v>0</v>
      </c>
      <c r="AB18" s="114">
        <f t="shared" si="19"/>
        <v>27671.75</v>
      </c>
      <c r="AC18" s="105">
        <f>AB18+T18+D18</f>
        <v>38092.978</v>
      </c>
      <c r="AD18" s="106">
        <f t="shared" si="13"/>
        <v>0</v>
      </c>
      <c r="AE18" s="106">
        <f t="shared" si="4"/>
        <v>0</v>
      </c>
      <c r="AF18" s="106">
        <f>'[3]Т10'!$I$90+'[3]Т10'!$I$110</f>
        <v>755.7711199999999</v>
      </c>
      <c r="AG18" s="22">
        <f t="shared" si="16"/>
        <v>2597.5919999999996</v>
      </c>
      <c r="AH18" s="22">
        <f>B18*0.2</f>
        <v>865.864</v>
      </c>
      <c r="AI18" s="22">
        <f>0.847*B18</f>
        <v>3666.9340399999996</v>
      </c>
      <c r="AJ18" s="22">
        <f t="shared" si="5"/>
        <v>660.0481272</v>
      </c>
      <c r="AK18" s="22">
        <f>0.83*B18</f>
        <v>3593.3355999999994</v>
      </c>
      <c r="AL18" s="22">
        <f t="shared" si="6"/>
        <v>646.8004079999998</v>
      </c>
      <c r="AM18" s="22">
        <f>(2.25/1.18)*B18</f>
        <v>8255.059322033898</v>
      </c>
      <c r="AN18" s="22">
        <f t="shared" si="7"/>
        <v>1485.9106779661015</v>
      </c>
      <c r="AO18" s="22"/>
      <c r="AP18" s="22">
        <f t="shared" si="8"/>
        <v>0</v>
      </c>
      <c r="AQ18" s="82">
        <f>5572.76+1205.23</f>
        <v>6777.99</v>
      </c>
      <c r="AR18" s="82">
        <f t="shared" si="15"/>
        <v>1220.0382</v>
      </c>
      <c r="AS18" s="71">
        <v>4515.74</v>
      </c>
      <c r="AT18" s="71"/>
      <c r="AU18" s="71">
        <f t="shared" si="17"/>
        <v>812.8331999999999</v>
      </c>
      <c r="AV18" s="107"/>
      <c r="AW18" s="116">
        <v>896</v>
      </c>
      <c r="AX18" s="22">
        <f t="shared" si="20"/>
        <v>1184.1536</v>
      </c>
      <c r="AY18" s="109"/>
      <c r="AZ18" s="119"/>
      <c r="BA18" s="110">
        <f t="shared" si="9"/>
        <v>0</v>
      </c>
      <c r="BB18" s="110">
        <f>SUM(AG18:AU18)+AX18+AY18+AZ18+BA18</f>
        <v>36282.299175199994</v>
      </c>
      <c r="BC18" s="111">
        <f>'[2]Т10'!$O$90+'[2]Т10'!$O$110</f>
        <v>321.053444</v>
      </c>
      <c r="BD18" s="15">
        <f>AC18+AF18-BB18-BC18</f>
        <v>2245.396500800006</v>
      </c>
      <c r="BE18" s="17">
        <f t="shared" si="14"/>
        <v>644.3600000000006</v>
      </c>
    </row>
    <row r="19" spans="1:57" ht="12.75" hidden="1">
      <c r="A19" s="8" t="s">
        <v>41</v>
      </c>
      <c r="B19" s="87">
        <v>4305.92</v>
      </c>
      <c r="C19" s="115">
        <f t="shared" si="12"/>
        <v>37246.208</v>
      </c>
      <c r="D19" s="100">
        <f t="shared" si="18"/>
        <v>3632.7679999999955</v>
      </c>
      <c r="E19" s="78">
        <v>3121.54</v>
      </c>
      <c r="F19" s="78">
        <v>758.47</v>
      </c>
      <c r="G19" s="78">
        <v>4227.11</v>
      </c>
      <c r="H19" s="78">
        <v>1028.11</v>
      </c>
      <c r="I19" s="78">
        <v>10157.97</v>
      </c>
      <c r="J19" s="78">
        <v>2469.14</v>
      </c>
      <c r="K19" s="78">
        <v>7036.46</v>
      </c>
      <c r="L19" s="78">
        <v>1710.72</v>
      </c>
      <c r="M19" s="78">
        <v>2497.2</v>
      </c>
      <c r="N19" s="78">
        <v>606.72</v>
      </c>
      <c r="O19" s="78">
        <v>0</v>
      </c>
      <c r="P19" s="113">
        <v>0</v>
      </c>
      <c r="Q19" s="113">
        <v>0</v>
      </c>
      <c r="R19" s="113">
        <v>0</v>
      </c>
      <c r="S19" s="67">
        <f t="shared" si="0"/>
        <v>27040.28</v>
      </c>
      <c r="T19" s="102">
        <f t="shared" si="1"/>
        <v>6573.16</v>
      </c>
      <c r="U19" s="67">
        <v>3026.76</v>
      </c>
      <c r="V19" s="67">
        <v>4099.92</v>
      </c>
      <c r="W19" s="67">
        <v>9851.97</v>
      </c>
      <c r="X19" s="67">
        <v>6824.86</v>
      </c>
      <c r="Y19" s="67">
        <v>2421.65</v>
      </c>
      <c r="Z19" s="114">
        <v>0</v>
      </c>
      <c r="AA19" s="114">
        <v>0</v>
      </c>
      <c r="AB19" s="114">
        <f t="shared" si="19"/>
        <v>26225.160000000003</v>
      </c>
      <c r="AC19" s="105">
        <f>D19+T19+AB19</f>
        <v>36431.088</v>
      </c>
      <c r="AD19" s="106">
        <f t="shared" si="13"/>
        <v>0</v>
      </c>
      <c r="AE19" s="106">
        <f t="shared" si="4"/>
        <v>0</v>
      </c>
      <c r="AF19" s="106">
        <f>'[3]Т11'!$I$90+'[3]Т11'!$I$110</f>
        <v>755.7711199999999</v>
      </c>
      <c r="AG19" s="22">
        <f t="shared" si="16"/>
        <v>2583.552</v>
      </c>
      <c r="AH19" s="22">
        <f>B19*0.2</f>
        <v>861.1840000000001</v>
      </c>
      <c r="AI19" s="22">
        <f>0.85*B19</f>
        <v>3660.032</v>
      </c>
      <c r="AJ19" s="22">
        <f t="shared" si="5"/>
        <v>658.80576</v>
      </c>
      <c r="AK19" s="22">
        <f>0.83*B19</f>
        <v>3573.9136</v>
      </c>
      <c r="AL19" s="22">
        <f t="shared" si="6"/>
        <v>643.304448</v>
      </c>
      <c r="AM19" s="22">
        <f>(1.91)*B19</f>
        <v>8224.3072</v>
      </c>
      <c r="AN19" s="22">
        <f t="shared" si="7"/>
        <v>1480.3752959999997</v>
      </c>
      <c r="AO19" s="22"/>
      <c r="AP19" s="22">
        <f t="shared" si="8"/>
        <v>0</v>
      </c>
      <c r="AQ19" s="82"/>
      <c r="AR19" s="82">
        <f t="shared" si="15"/>
        <v>0</v>
      </c>
      <c r="AS19" s="71">
        <v>6744</v>
      </c>
      <c r="AT19" s="71">
        <f>112</f>
        <v>112</v>
      </c>
      <c r="AU19" s="71">
        <f t="shared" si="17"/>
        <v>1234.08</v>
      </c>
      <c r="AV19" s="107"/>
      <c r="AW19" s="116">
        <v>1092</v>
      </c>
      <c r="AX19" s="22">
        <f t="shared" si="20"/>
        <v>1443.1872</v>
      </c>
      <c r="AY19" s="109"/>
      <c r="AZ19" s="110"/>
      <c r="BA19" s="110">
        <f t="shared" si="9"/>
        <v>0</v>
      </c>
      <c r="BB19" s="110">
        <f>SUM(AG19:AU19)+AX19+AY19+AZ19+BA19</f>
        <v>31218.741503999998</v>
      </c>
      <c r="BC19" s="117">
        <f>'[3]Т11'!$O$90+'[3]Т11'!$O$110</f>
        <v>321.50268</v>
      </c>
      <c r="BD19" s="15">
        <f t="shared" si="21"/>
        <v>5646.614936000004</v>
      </c>
      <c r="BE19" s="17">
        <f t="shared" si="14"/>
        <v>-815.1199999999953</v>
      </c>
    </row>
    <row r="20" spans="1:57" ht="12.75" hidden="1">
      <c r="A20" s="8" t="s">
        <v>42</v>
      </c>
      <c r="B20" s="112">
        <v>4305.92</v>
      </c>
      <c r="C20" s="115">
        <f t="shared" si="12"/>
        <v>37246.208</v>
      </c>
      <c r="D20" s="100">
        <f t="shared" si="18"/>
        <v>3582.0279999999984</v>
      </c>
      <c r="E20" s="78">
        <v>3124.69</v>
      </c>
      <c r="F20" s="78">
        <v>761.17</v>
      </c>
      <c r="G20" s="78">
        <v>4231.32</v>
      </c>
      <c r="H20" s="78">
        <v>1031.77</v>
      </c>
      <c r="I20" s="78">
        <v>10168.27</v>
      </c>
      <c r="J20" s="78">
        <v>2477.93</v>
      </c>
      <c r="K20" s="78">
        <v>7043.55</v>
      </c>
      <c r="L20" s="78">
        <v>1716.81</v>
      </c>
      <c r="M20" s="78">
        <v>2499.79</v>
      </c>
      <c r="N20" s="78">
        <v>608.88</v>
      </c>
      <c r="O20" s="78">
        <v>0</v>
      </c>
      <c r="P20" s="113">
        <v>0</v>
      </c>
      <c r="Q20" s="113"/>
      <c r="R20" s="113"/>
      <c r="S20" s="67">
        <f>E20+G20+I20+K20+M20+O20+Q20</f>
        <v>27067.62</v>
      </c>
      <c r="T20" s="102">
        <f>P20+N20+L20+J20+H20+F20+R20</f>
        <v>6596.5599999999995</v>
      </c>
      <c r="U20" s="67">
        <v>3916.12</v>
      </c>
      <c r="V20" s="67">
        <v>5301.74</v>
      </c>
      <c r="W20" s="67">
        <v>12743.31</v>
      </c>
      <c r="X20" s="67">
        <v>8826.72</v>
      </c>
      <c r="Y20" s="67">
        <v>3133.21</v>
      </c>
      <c r="Z20" s="114">
        <v>0</v>
      </c>
      <c r="AA20" s="114">
        <v>0</v>
      </c>
      <c r="AB20" s="114">
        <f t="shared" si="19"/>
        <v>33921.1</v>
      </c>
      <c r="AC20" s="105">
        <f>D20+T20+AB20</f>
        <v>44099.687999999995</v>
      </c>
      <c r="AD20" s="106">
        <f>P20+Z20</f>
        <v>0</v>
      </c>
      <c r="AE20" s="106">
        <f>R20+AA20</f>
        <v>0</v>
      </c>
      <c r="AF20" s="106">
        <f>'[3]Т12'!$I$91+'[3]Т12'!$I$112</f>
        <v>755.7711199999999</v>
      </c>
      <c r="AG20" s="22">
        <f t="shared" si="16"/>
        <v>2583.552</v>
      </c>
      <c r="AH20" s="22">
        <f>B20*0.2</f>
        <v>861.1840000000001</v>
      </c>
      <c r="AI20" s="22">
        <f>0.85*B20</f>
        <v>3660.032</v>
      </c>
      <c r="AJ20" s="22">
        <f>AI20*0.18</f>
        <v>658.80576</v>
      </c>
      <c r="AK20" s="22">
        <f>0.83*B20</f>
        <v>3573.9136</v>
      </c>
      <c r="AL20" s="22">
        <f>AK20*0.18</f>
        <v>643.304448</v>
      </c>
      <c r="AM20" s="22">
        <f>(1.91)*B20</f>
        <v>8224.3072</v>
      </c>
      <c r="AN20" s="22">
        <f>AM20*0.18</f>
        <v>1480.3752959999997</v>
      </c>
      <c r="AO20" s="22"/>
      <c r="AP20" s="22">
        <f>AO20*0.18</f>
        <v>0</v>
      </c>
      <c r="AQ20" s="82"/>
      <c r="AR20" s="82">
        <f t="shared" si="15"/>
        <v>0</v>
      </c>
      <c r="AS20" s="71">
        <v>3642</v>
      </c>
      <c r="AT20" s="71">
        <f>200</f>
        <v>200</v>
      </c>
      <c r="AU20" s="71">
        <f t="shared" si="17"/>
        <v>691.56</v>
      </c>
      <c r="AV20" s="107"/>
      <c r="AW20" s="116">
        <v>1258</v>
      </c>
      <c r="AX20" s="22">
        <f t="shared" si="20"/>
        <v>1662.5728</v>
      </c>
      <c r="AY20" s="109"/>
      <c r="AZ20" s="110"/>
      <c r="BA20" s="110">
        <f t="shared" si="9"/>
        <v>0</v>
      </c>
      <c r="BB20" s="110">
        <f>SUM(AG20:BA20)-AV20-AW20</f>
        <v>27881.607103999995</v>
      </c>
      <c r="BC20" s="117">
        <f>'[3]Т12'!$O$91+'[3]Т12'!$O$112</f>
        <v>321.50268</v>
      </c>
      <c r="BD20" s="15">
        <f t="shared" si="21"/>
        <v>16652.349335999996</v>
      </c>
      <c r="BE20" s="17">
        <f t="shared" si="14"/>
        <v>6853.48</v>
      </c>
    </row>
    <row r="21" spans="1:57" s="19" customFormat="1" ht="13.5" hidden="1" thickBot="1">
      <c r="A21" s="24" t="s">
        <v>53</v>
      </c>
      <c r="B21" s="18"/>
      <c r="C21" s="18">
        <f aca="true" t="shared" si="22" ref="C21:AH21">SUM(C9:C20)</f>
        <v>447301.88000000006</v>
      </c>
      <c r="D21" s="18">
        <f t="shared" si="22"/>
        <v>50236.22475000002</v>
      </c>
      <c r="E21" s="18">
        <f t="shared" si="22"/>
        <v>35182.22</v>
      </c>
      <c r="F21" s="18">
        <f t="shared" si="22"/>
        <v>8431.66</v>
      </c>
      <c r="G21" s="18">
        <f t="shared" si="22"/>
        <v>48980.28999999999</v>
      </c>
      <c r="H21" s="18">
        <f t="shared" si="22"/>
        <v>11752.460000000001</v>
      </c>
      <c r="I21" s="18">
        <f t="shared" si="22"/>
        <v>117769.81</v>
      </c>
      <c r="J21" s="18">
        <f t="shared" si="22"/>
        <v>28245.589999999997</v>
      </c>
      <c r="K21" s="18">
        <f t="shared" si="22"/>
        <v>81564.96</v>
      </c>
      <c r="L21" s="18">
        <f t="shared" si="22"/>
        <v>19564.940000000002</v>
      </c>
      <c r="M21" s="18">
        <f t="shared" si="22"/>
        <v>28964.220000000005</v>
      </c>
      <c r="N21" s="18">
        <f t="shared" si="22"/>
        <v>6944.34</v>
      </c>
      <c r="O21" s="18">
        <f t="shared" si="22"/>
        <v>0</v>
      </c>
      <c r="P21" s="18">
        <f t="shared" si="22"/>
        <v>0</v>
      </c>
      <c r="Q21" s="18">
        <f t="shared" si="22"/>
        <v>0</v>
      </c>
      <c r="R21" s="18">
        <f t="shared" si="22"/>
        <v>0</v>
      </c>
      <c r="S21" s="18">
        <f t="shared" si="22"/>
        <v>312461.5</v>
      </c>
      <c r="T21" s="18">
        <f t="shared" si="22"/>
        <v>74938.98999999999</v>
      </c>
      <c r="U21" s="18">
        <f t="shared" si="22"/>
        <v>32494.06</v>
      </c>
      <c r="V21" s="18">
        <f t="shared" si="22"/>
        <v>45261.52</v>
      </c>
      <c r="W21" s="18">
        <f t="shared" si="22"/>
        <v>108843.28</v>
      </c>
      <c r="X21" s="18">
        <f t="shared" si="22"/>
        <v>75379.01999999999</v>
      </c>
      <c r="Y21" s="18">
        <f t="shared" si="22"/>
        <v>26771.340000000004</v>
      </c>
      <c r="Z21" s="18">
        <f t="shared" si="22"/>
        <v>0</v>
      </c>
      <c r="AA21" s="18">
        <f t="shared" si="22"/>
        <v>0</v>
      </c>
      <c r="AB21" s="18">
        <f t="shared" si="22"/>
        <v>288749.22</v>
      </c>
      <c r="AC21" s="18">
        <f t="shared" si="22"/>
        <v>413924.43475</v>
      </c>
      <c r="AD21" s="18">
        <f t="shared" si="22"/>
        <v>0</v>
      </c>
      <c r="AE21" s="18">
        <f t="shared" si="22"/>
        <v>0</v>
      </c>
      <c r="AF21" s="18">
        <f t="shared" si="22"/>
        <v>3845.8170599999994</v>
      </c>
      <c r="AG21" s="18">
        <f t="shared" si="22"/>
        <v>29992.7256</v>
      </c>
      <c r="AH21" s="18">
        <f t="shared" si="22"/>
        <v>10041.5548874</v>
      </c>
      <c r="AI21" s="18">
        <f aca="true" t="shared" si="23" ref="AI21:BE21">SUM(AI9:AI20)</f>
        <v>41927.18018105</v>
      </c>
      <c r="AJ21" s="18">
        <f t="shared" si="23"/>
        <v>7546.892432588999</v>
      </c>
      <c r="AK21" s="18">
        <f t="shared" si="23"/>
        <v>40757.31019498</v>
      </c>
      <c r="AL21" s="18">
        <f t="shared" si="23"/>
        <v>7336.3158350964</v>
      </c>
      <c r="AM21" s="18">
        <f t="shared" si="23"/>
        <v>93776.16434041387</v>
      </c>
      <c r="AN21" s="18">
        <f t="shared" si="23"/>
        <v>16879.7095812745</v>
      </c>
      <c r="AO21" s="18">
        <f t="shared" si="23"/>
        <v>0</v>
      </c>
      <c r="AP21" s="18">
        <f t="shared" si="23"/>
        <v>0</v>
      </c>
      <c r="AQ21" s="18">
        <f t="shared" si="23"/>
        <v>42127.33299999999</v>
      </c>
      <c r="AR21" s="18">
        <f t="shared" si="23"/>
        <v>7582.919939999999</v>
      </c>
      <c r="AS21" s="18">
        <f t="shared" si="23"/>
        <v>165867.89</v>
      </c>
      <c r="AT21" s="18">
        <f t="shared" si="23"/>
        <v>912</v>
      </c>
      <c r="AU21" s="18">
        <f t="shared" si="23"/>
        <v>30020.390200000005</v>
      </c>
      <c r="AV21" s="18">
        <f t="shared" si="23"/>
        <v>0</v>
      </c>
      <c r="AW21" s="18">
        <f t="shared" si="23"/>
        <v>5623</v>
      </c>
      <c r="AX21" s="18">
        <f t="shared" si="23"/>
        <v>14988.2656</v>
      </c>
      <c r="AY21" s="18">
        <f t="shared" si="23"/>
        <v>0</v>
      </c>
      <c r="AZ21" s="18">
        <f t="shared" si="23"/>
        <v>0</v>
      </c>
      <c r="BA21" s="18">
        <f t="shared" si="23"/>
        <v>0</v>
      </c>
      <c r="BB21" s="18">
        <f t="shared" si="23"/>
        <v>509756.6517928037</v>
      </c>
      <c r="BC21" s="18">
        <f t="shared" si="23"/>
        <v>1594.596230351</v>
      </c>
      <c r="BD21" s="18">
        <f t="shared" si="23"/>
        <v>-93580.99621315477</v>
      </c>
      <c r="BE21" s="18">
        <f t="shared" si="23"/>
        <v>-23712.279999999995</v>
      </c>
    </row>
    <row r="22" spans="1:57" ht="12.75" hidden="1">
      <c r="A22" s="5" t="s">
        <v>89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26"/>
    </row>
    <row r="23" spans="1:57" ht="12.75" hidden="1">
      <c r="A23" s="8" t="s">
        <v>44</v>
      </c>
      <c r="B23" s="143">
        <v>4305.92</v>
      </c>
      <c r="C23" s="115">
        <f>B23*8.65</f>
        <v>37246.208</v>
      </c>
      <c r="D23" s="100">
        <f>C23-E23-F23-G23-H23-I23-J23-K23-L23-M23-N23</f>
        <v>3569.2180000000017</v>
      </c>
      <c r="E23" s="144">
        <v>3136.27</v>
      </c>
      <c r="F23" s="144">
        <v>759.07</v>
      </c>
      <c r="G23" s="144">
        <v>4234.3</v>
      </c>
      <c r="H23" s="144">
        <v>1028.91</v>
      </c>
      <c r="I23" s="144">
        <v>10176.79</v>
      </c>
      <c r="J23" s="144">
        <v>2471.07</v>
      </c>
      <c r="K23" s="144">
        <v>7049.18</v>
      </c>
      <c r="L23" s="144">
        <v>1712.05</v>
      </c>
      <c r="M23" s="144">
        <v>2502.15</v>
      </c>
      <c r="N23" s="144">
        <v>607.2</v>
      </c>
      <c r="O23" s="144">
        <v>0</v>
      </c>
      <c r="P23" s="145">
        <v>0</v>
      </c>
      <c r="Q23" s="145"/>
      <c r="R23" s="145"/>
      <c r="S23" s="146">
        <f>E23+G23+I23+K23+M23+O23+Q23</f>
        <v>27098.690000000002</v>
      </c>
      <c r="T23" s="147">
        <f>P23+N23+L23+J23+H23+F23+R23</f>
        <v>6578.299999999999</v>
      </c>
      <c r="U23" s="146">
        <v>1987.3</v>
      </c>
      <c r="V23" s="146">
        <v>2692.06</v>
      </c>
      <c r="W23" s="146">
        <v>6468.02</v>
      </c>
      <c r="X23" s="146">
        <v>4480.66</v>
      </c>
      <c r="Y23" s="146">
        <v>1589.94</v>
      </c>
      <c r="Z23" s="148">
        <v>0</v>
      </c>
      <c r="AA23" s="148">
        <v>0</v>
      </c>
      <c r="AB23" s="148">
        <f>SUM(U23:AA23)</f>
        <v>17217.98</v>
      </c>
      <c r="AC23" s="149">
        <f>D23+T23+AB23</f>
        <v>27365.498</v>
      </c>
      <c r="AD23" s="150">
        <f>P23+Z23</f>
        <v>0</v>
      </c>
      <c r="AE23" s="150">
        <f>R23+AA23</f>
        <v>0</v>
      </c>
      <c r="AF23" s="150">
        <f>'[6]Т01-10'!$I$88+'[6]Т01-10'!$I$109</f>
        <v>755.7711199999999</v>
      </c>
      <c r="AG23" s="151">
        <f>0.6*B23</f>
        <v>2583.552</v>
      </c>
      <c r="AH23" s="151">
        <f>B23*0.2</f>
        <v>861.1840000000001</v>
      </c>
      <c r="AI23" s="151">
        <f>1*B23</f>
        <v>4305.92</v>
      </c>
      <c r="AJ23" s="151">
        <v>0</v>
      </c>
      <c r="AK23" s="151">
        <f>0.98*B23</f>
        <v>4219.8016</v>
      </c>
      <c r="AL23" s="151">
        <v>0</v>
      </c>
      <c r="AM23" s="151">
        <f>2.25*B23</f>
        <v>9688.32</v>
      </c>
      <c r="AN23" s="151">
        <v>0</v>
      </c>
      <c r="AO23" s="151"/>
      <c r="AP23" s="151">
        <v>0</v>
      </c>
      <c r="AQ23" s="152"/>
      <c r="AR23" s="152"/>
      <c r="AS23" s="153">
        <v>10661</v>
      </c>
      <c r="AT23" s="153"/>
      <c r="AU23" s="153">
        <f>AT23*0.18</f>
        <v>0</v>
      </c>
      <c r="AV23" s="154"/>
      <c r="AW23" s="155">
        <v>1087</v>
      </c>
      <c r="AX23" s="151">
        <f aca="true" t="shared" si="24" ref="AX23:AX31">AW23*1.4</f>
        <v>1521.8</v>
      </c>
      <c r="AY23" s="109"/>
      <c r="AZ23" s="156"/>
      <c r="BA23" s="156">
        <f>AZ23*0.18</f>
        <v>0</v>
      </c>
      <c r="BB23" s="156">
        <f>SUM(AG23:BA23)-AV23-AW23</f>
        <v>33841.577600000004</v>
      </c>
      <c r="BC23" s="157">
        <f>'[6]Т03-10'!$M$89+'[6]Т03-10'!$M$110</f>
        <v>321.12199999999996</v>
      </c>
      <c r="BD23" s="15">
        <f>AC23+AF23-BB23-BC23</f>
        <v>-6041.430480000004</v>
      </c>
      <c r="BE23" s="17">
        <f aca="true" t="shared" si="25" ref="BE23:BE30">AB23-S23</f>
        <v>-9880.710000000003</v>
      </c>
    </row>
    <row r="24" spans="1:57" ht="12.75" hidden="1">
      <c r="A24" s="8" t="s">
        <v>45</v>
      </c>
      <c r="B24" s="158">
        <v>4305.92</v>
      </c>
      <c r="C24" s="115">
        <f aca="true" t="shared" si="26" ref="C24:C33">B24*8.65</f>
        <v>37246.208</v>
      </c>
      <c r="D24" s="100">
        <f aca="true" t="shared" si="27" ref="D24:D32">C24-E24-F24-G24-H24-I24-J24-K24-L24-M24-N24</f>
        <v>3506.6180000000036</v>
      </c>
      <c r="E24" s="159">
        <v>3146.79</v>
      </c>
      <c r="F24" s="160">
        <v>747.95</v>
      </c>
      <c r="G24" s="160">
        <v>4260.8</v>
      </c>
      <c r="H24" s="160">
        <v>1013.84</v>
      </c>
      <c r="I24" s="160">
        <v>10239.68</v>
      </c>
      <c r="J24" s="160">
        <v>2434.89</v>
      </c>
      <c r="K24" s="160">
        <v>7092.87</v>
      </c>
      <c r="L24" s="160">
        <v>1686.99</v>
      </c>
      <c r="M24" s="160">
        <v>2517.47</v>
      </c>
      <c r="N24" s="160">
        <v>598.31</v>
      </c>
      <c r="O24" s="160">
        <v>0</v>
      </c>
      <c r="P24" s="161">
        <v>0</v>
      </c>
      <c r="Q24" s="161">
        <v>0</v>
      </c>
      <c r="R24" s="161">
        <v>0</v>
      </c>
      <c r="S24" s="146">
        <f aca="true" t="shared" si="28" ref="S24:S33">E24+G24+I24+K24+M24+O24+Q24</f>
        <v>27257.61</v>
      </c>
      <c r="T24" s="147">
        <f aca="true" t="shared" si="29" ref="T24:T33">P24+N24+L24+J24+H24+F24+R24</f>
        <v>6481.9800000000005</v>
      </c>
      <c r="U24" s="146">
        <v>3263.78</v>
      </c>
      <c r="V24" s="146">
        <v>4418.48</v>
      </c>
      <c r="W24" s="146">
        <v>10619.86</v>
      </c>
      <c r="X24" s="146">
        <v>7356.04</v>
      </c>
      <c r="Y24" s="146">
        <v>2611.2</v>
      </c>
      <c r="Z24" s="148">
        <v>0</v>
      </c>
      <c r="AA24" s="148">
        <v>0</v>
      </c>
      <c r="AB24" s="148">
        <f>SUM(U24:AA24)</f>
        <v>28269.360000000004</v>
      </c>
      <c r="AC24" s="149">
        <f aca="true" t="shared" si="30" ref="AC24:AC33">D24+T24+AB24</f>
        <v>38257.958000000006</v>
      </c>
      <c r="AD24" s="150">
        <f aca="true" t="shared" si="31" ref="AD24:AD33">P24+Z24</f>
        <v>0</v>
      </c>
      <c r="AE24" s="150">
        <f aca="true" t="shared" si="32" ref="AE24:AE33">R24+AA24</f>
        <v>0</v>
      </c>
      <c r="AF24" s="150">
        <f>'[6]Т01-10'!$I$88+'[6]Т01-10'!$I$109</f>
        <v>755.7711199999999</v>
      </c>
      <c r="AG24" s="151">
        <f aca="true" t="shared" si="33" ref="AG24:AG33">0.6*B24</f>
        <v>2583.552</v>
      </c>
      <c r="AH24" s="151">
        <f aca="true" t="shared" si="34" ref="AH24:AH33">B24*0.2</f>
        <v>861.1840000000001</v>
      </c>
      <c r="AI24" s="151">
        <f aca="true" t="shared" si="35" ref="AI24:AI33">1*B24</f>
        <v>4305.92</v>
      </c>
      <c r="AJ24" s="151">
        <v>0</v>
      </c>
      <c r="AK24" s="151">
        <f aca="true" t="shared" si="36" ref="AK24:AK33">0.98*B24</f>
        <v>4219.8016</v>
      </c>
      <c r="AL24" s="151">
        <v>0</v>
      </c>
      <c r="AM24" s="151">
        <f aca="true" t="shared" si="37" ref="AM24:AM33">2.25*B24</f>
        <v>9688.32</v>
      </c>
      <c r="AN24" s="151">
        <v>0</v>
      </c>
      <c r="AO24" s="151"/>
      <c r="AP24" s="151"/>
      <c r="AQ24" s="152"/>
      <c r="AR24" s="152"/>
      <c r="AS24" s="153">
        <v>1812</v>
      </c>
      <c r="AT24" s="153"/>
      <c r="AU24" s="153">
        <f aca="true" t="shared" si="38" ref="AU24:AU29">AT24*0.18</f>
        <v>0</v>
      </c>
      <c r="AV24" s="154"/>
      <c r="AW24" s="155">
        <v>952</v>
      </c>
      <c r="AX24" s="151">
        <f t="shared" si="24"/>
        <v>1332.8</v>
      </c>
      <c r="AY24" s="109"/>
      <c r="AZ24" s="156"/>
      <c r="BA24" s="156">
        <f aca="true" t="shared" si="39" ref="BA24:BA33">AZ24*0.18</f>
        <v>0</v>
      </c>
      <c r="BB24" s="156">
        <f>SUM(AG24:BA24)-AV24-AW24</f>
        <v>24803.5776</v>
      </c>
      <c r="BC24" s="157">
        <f>'[6]Т03-10'!$M$89+'[6]Т03-10'!$M$110</f>
        <v>321.12199999999996</v>
      </c>
      <c r="BD24" s="15">
        <f aca="true" t="shared" si="40" ref="BD24:BD30">AC24+AF24-BB24-BC24</f>
        <v>13889.029520000004</v>
      </c>
      <c r="BE24" s="17">
        <f t="shared" si="25"/>
        <v>1011.7500000000036</v>
      </c>
    </row>
    <row r="25" spans="1:57" ht="12.75" hidden="1">
      <c r="A25" s="8" t="s">
        <v>46</v>
      </c>
      <c r="B25" s="143">
        <v>4305.92</v>
      </c>
      <c r="C25" s="115">
        <f t="shared" si="26"/>
        <v>37246.208</v>
      </c>
      <c r="D25" s="100">
        <f t="shared" si="27"/>
        <v>3498.1779999999953</v>
      </c>
      <c r="E25" s="144">
        <v>3152.22</v>
      </c>
      <c r="F25" s="144">
        <v>743.51</v>
      </c>
      <c r="G25" s="144">
        <v>4268.11</v>
      </c>
      <c r="H25" s="144">
        <v>1007.82</v>
      </c>
      <c r="I25" s="144">
        <v>10257.32</v>
      </c>
      <c r="J25" s="144">
        <v>2420.43</v>
      </c>
      <c r="K25" s="144">
        <v>7105.08</v>
      </c>
      <c r="L25" s="144">
        <v>1676.97</v>
      </c>
      <c r="M25" s="144">
        <v>2521.81</v>
      </c>
      <c r="N25" s="144">
        <v>594.76</v>
      </c>
      <c r="O25" s="144">
        <v>0</v>
      </c>
      <c r="P25" s="145">
        <v>0</v>
      </c>
      <c r="Q25" s="145">
        <v>0</v>
      </c>
      <c r="R25" s="145">
        <v>0</v>
      </c>
      <c r="S25" s="146">
        <f t="shared" si="28"/>
        <v>27304.540000000005</v>
      </c>
      <c r="T25" s="147">
        <f t="shared" si="29"/>
        <v>6443.49</v>
      </c>
      <c r="U25" s="146">
        <v>2778.88</v>
      </c>
      <c r="V25" s="146">
        <v>3762.77</v>
      </c>
      <c r="W25" s="146">
        <v>9042.68</v>
      </c>
      <c r="X25" s="146">
        <v>6263.55</v>
      </c>
      <c r="Y25" s="146">
        <v>2223.15</v>
      </c>
      <c r="Z25" s="148">
        <v>0</v>
      </c>
      <c r="AA25" s="148">
        <v>0</v>
      </c>
      <c r="AB25" s="148">
        <f>SUM(U25:AA25)</f>
        <v>24071.030000000002</v>
      </c>
      <c r="AC25" s="149">
        <f t="shared" si="30"/>
        <v>34012.698</v>
      </c>
      <c r="AD25" s="150">
        <f t="shared" si="31"/>
        <v>0</v>
      </c>
      <c r="AE25" s="150">
        <f t="shared" si="32"/>
        <v>0</v>
      </c>
      <c r="AF25" s="150">
        <f>'[6]Т01-10'!$I$88+'[6]Т01-10'!$I$109</f>
        <v>755.7711199999999</v>
      </c>
      <c r="AG25" s="151">
        <f t="shared" si="33"/>
        <v>2583.552</v>
      </c>
      <c r="AH25" s="151">
        <f t="shared" si="34"/>
        <v>861.1840000000001</v>
      </c>
      <c r="AI25" s="151">
        <f t="shared" si="35"/>
        <v>4305.92</v>
      </c>
      <c r="AJ25" s="151">
        <v>0</v>
      </c>
      <c r="AK25" s="151">
        <f t="shared" si="36"/>
        <v>4219.8016</v>
      </c>
      <c r="AL25" s="151">
        <v>0</v>
      </c>
      <c r="AM25" s="151">
        <f t="shared" si="37"/>
        <v>9688.32</v>
      </c>
      <c r="AN25" s="151">
        <v>0</v>
      </c>
      <c r="AO25" s="151"/>
      <c r="AP25" s="151"/>
      <c r="AQ25" s="152"/>
      <c r="AR25" s="152"/>
      <c r="AS25" s="153">
        <v>16209</v>
      </c>
      <c r="AT25" s="153"/>
      <c r="AU25" s="153">
        <f t="shared" si="38"/>
        <v>0</v>
      </c>
      <c r="AV25" s="154"/>
      <c r="AW25" s="155">
        <v>797</v>
      </c>
      <c r="AX25" s="151">
        <f t="shared" si="24"/>
        <v>1115.8</v>
      </c>
      <c r="AY25" s="109"/>
      <c r="AZ25" s="156"/>
      <c r="BA25" s="156">
        <f t="shared" si="39"/>
        <v>0</v>
      </c>
      <c r="BB25" s="156">
        <f>SUM(AG25:BA25)-AV25-AW25</f>
        <v>38983.577600000004</v>
      </c>
      <c r="BC25" s="157">
        <f>'[6]Т03-10'!$M$89+'[6]Т03-10'!$M$110</f>
        <v>321.12199999999996</v>
      </c>
      <c r="BD25" s="15">
        <f t="shared" si="40"/>
        <v>-4536.23048000001</v>
      </c>
      <c r="BE25" s="17">
        <f t="shared" si="25"/>
        <v>-3233.510000000002</v>
      </c>
    </row>
    <row r="26" spans="1:57" ht="12.75" hidden="1">
      <c r="A26" s="8" t="s">
        <v>47</v>
      </c>
      <c r="B26" s="143">
        <v>4305.92</v>
      </c>
      <c r="C26" s="115">
        <f t="shared" si="26"/>
        <v>37246.208</v>
      </c>
      <c r="D26" s="100">
        <f t="shared" si="27"/>
        <v>3529.897999999993</v>
      </c>
      <c r="E26" s="144">
        <v>3127.65</v>
      </c>
      <c r="F26" s="144">
        <v>764.35</v>
      </c>
      <c r="G26" s="144">
        <v>4235.01</v>
      </c>
      <c r="H26" s="144">
        <v>1036.06</v>
      </c>
      <c r="I26" s="144">
        <v>10177.56</v>
      </c>
      <c r="J26" s="144">
        <v>2488.25</v>
      </c>
      <c r="K26" s="144">
        <v>7049.88</v>
      </c>
      <c r="L26" s="144">
        <v>1723.96</v>
      </c>
      <c r="M26" s="144">
        <v>2502.17</v>
      </c>
      <c r="N26" s="144">
        <v>611.42</v>
      </c>
      <c r="O26" s="144">
        <v>0</v>
      </c>
      <c r="P26" s="145">
        <v>0</v>
      </c>
      <c r="Q26" s="145"/>
      <c r="R26" s="145"/>
      <c r="S26" s="146">
        <f t="shared" si="28"/>
        <v>27092.270000000004</v>
      </c>
      <c r="T26" s="147">
        <f t="shared" si="29"/>
        <v>6624.040000000001</v>
      </c>
      <c r="U26" s="146">
        <v>2058.13</v>
      </c>
      <c r="V26" s="146">
        <v>2845.76</v>
      </c>
      <c r="W26" s="146">
        <v>6850.82</v>
      </c>
      <c r="X26" s="146">
        <v>4742.87</v>
      </c>
      <c r="Y26" s="146">
        <v>1686.34</v>
      </c>
      <c r="Z26" s="148">
        <v>0</v>
      </c>
      <c r="AA26" s="148">
        <v>0</v>
      </c>
      <c r="AB26" s="148">
        <f>SUM(U26:AA26)</f>
        <v>18183.92</v>
      </c>
      <c r="AC26" s="149">
        <f t="shared" si="30"/>
        <v>28337.857999999993</v>
      </c>
      <c r="AD26" s="150">
        <f t="shared" si="31"/>
        <v>0</v>
      </c>
      <c r="AE26" s="150">
        <f t="shared" si="32"/>
        <v>0</v>
      </c>
      <c r="AF26" s="150">
        <f>'[4]Т04-10'!$I$89+'[4]Т04-10'!$I$110</f>
        <v>755.7711199999999</v>
      </c>
      <c r="AG26" s="151">
        <f t="shared" si="33"/>
        <v>2583.552</v>
      </c>
      <c r="AH26" s="151">
        <f t="shared" si="34"/>
        <v>861.1840000000001</v>
      </c>
      <c r="AI26" s="151">
        <f t="shared" si="35"/>
        <v>4305.92</v>
      </c>
      <c r="AJ26" s="151">
        <v>0</v>
      </c>
      <c r="AK26" s="151">
        <f t="shared" si="36"/>
        <v>4219.8016</v>
      </c>
      <c r="AL26" s="151">
        <v>0</v>
      </c>
      <c r="AM26" s="151">
        <f t="shared" si="37"/>
        <v>9688.32</v>
      </c>
      <c r="AN26" s="151">
        <v>0</v>
      </c>
      <c r="AO26" s="151"/>
      <c r="AP26" s="151"/>
      <c r="AQ26" s="152"/>
      <c r="AR26" s="152"/>
      <c r="AS26" s="153">
        <v>8395</v>
      </c>
      <c r="AT26" s="153"/>
      <c r="AU26" s="153">
        <f t="shared" si="38"/>
        <v>0</v>
      </c>
      <c r="AV26" s="154"/>
      <c r="AW26" s="155">
        <v>626</v>
      </c>
      <c r="AX26" s="151">
        <f t="shared" si="24"/>
        <v>876.4</v>
      </c>
      <c r="AY26" s="109"/>
      <c r="AZ26" s="156"/>
      <c r="BA26" s="156">
        <f t="shared" si="39"/>
        <v>0</v>
      </c>
      <c r="BB26" s="156">
        <f aca="true" t="shared" si="41" ref="BB26:BB31">SUM(AG26:BA26)-AV26-AW26</f>
        <v>30930.177600000003</v>
      </c>
      <c r="BC26" s="157">
        <f>'[4]Т04-10'!$M$89+'[4]Т04-10'!$M$110</f>
        <v>321.12199999999996</v>
      </c>
      <c r="BD26" s="15">
        <f t="shared" si="40"/>
        <v>-2157.6704800000084</v>
      </c>
      <c r="BE26" s="17">
        <f t="shared" si="25"/>
        <v>-8908.350000000006</v>
      </c>
    </row>
    <row r="27" spans="1:57" ht="12.75" hidden="1">
      <c r="A27" s="8" t="s">
        <v>48</v>
      </c>
      <c r="B27" s="143">
        <v>4305.84</v>
      </c>
      <c r="C27" s="115">
        <f t="shared" si="26"/>
        <v>37245.516</v>
      </c>
      <c r="D27" s="100">
        <f t="shared" si="27"/>
        <v>3523.9559999999983</v>
      </c>
      <c r="E27" s="144">
        <v>3131.61</v>
      </c>
      <c r="F27" s="144">
        <v>761.01</v>
      </c>
      <c r="G27" s="144">
        <v>4240.27</v>
      </c>
      <c r="H27" s="144">
        <v>1031.55</v>
      </c>
      <c r="I27" s="144">
        <v>10190.44</v>
      </c>
      <c r="J27" s="144">
        <v>2477.39</v>
      </c>
      <c r="K27" s="144">
        <v>7058.74</v>
      </c>
      <c r="L27" s="144">
        <v>1716.44</v>
      </c>
      <c r="M27" s="144">
        <v>2505.35</v>
      </c>
      <c r="N27" s="144">
        <v>608.76</v>
      </c>
      <c r="O27" s="144">
        <v>0</v>
      </c>
      <c r="P27" s="145">
        <v>0</v>
      </c>
      <c r="Q27" s="145"/>
      <c r="R27" s="145"/>
      <c r="S27" s="146">
        <f t="shared" si="28"/>
        <v>27126.409999999996</v>
      </c>
      <c r="T27" s="147">
        <f t="shared" si="29"/>
        <v>6595.150000000001</v>
      </c>
      <c r="U27" s="120">
        <v>2783.96</v>
      </c>
      <c r="V27" s="120">
        <v>3769.61</v>
      </c>
      <c r="W27" s="120">
        <v>9059.22</v>
      </c>
      <c r="X27" s="120">
        <v>6275.15</v>
      </c>
      <c r="Y27" s="120">
        <v>2227.26</v>
      </c>
      <c r="Z27" s="121">
        <v>0</v>
      </c>
      <c r="AA27" s="121">
        <v>0</v>
      </c>
      <c r="AB27" s="148">
        <f aca="true" t="shared" si="42" ref="AB27:AB34">SUM(U27:AA27)</f>
        <v>24115.199999999997</v>
      </c>
      <c r="AC27" s="149">
        <f t="shared" si="30"/>
        <v>34234.306</v>
      </c>
      <c r="AD27" s="150">
        <f t="shared" si="31"/>
        <v>0</v>
      </c>
      <c r="AE27" s="150">
        <f t="shared" si="32"/>
        <v>0</v>
      </c>
      <c r="AF27" s="150">
        <f>'[4]Т04-10'!$I$89+'[4]Т04-10'!$I$110</f>
        <v>755.7711199999999</v>
      </c>
      <c r="AG27" s="151">
        <f t="shared" si="33"/>
        <v>2583.504</v>
      </c>
      <c r="AH27" s="151">
        <f t="shared" si="34"/>
        <v>861.1680000000001</v>
      </c>
      <c r="AI27" s="151">
        <f t="shared" si="35"/>
        <v>4305.84</v>
      </c>
      <c r="AJ27" s="151">
        <v>0</v>
      </c>
      <c r="AK27" s="151">
        <f t="shared" si="36"/>
        <v>4219.7232</v>
      </c>
      <c r="AL27" s="151">
        <v>0</v>
      </c>
      <c r="AM27" s="151">
        <f t="shared" si="37"/>
        <v>9688.14</v>
      </c>
      <c r="AN27" s="151">
        <v>0</v>
      </c>
      <c r="AO27" s="151">
        <v>4968</v>
      </c>
      <c r="AP27" s="151"/>
      <c r="AQ27" s="152"/>
      <c r="AR27" s="152"/>
      <c r="AS27" s="153">
        <v>8082</v>
      </c>
      <c r="AT27" s="153"/>
      <c r="AU27" s="153">
        <f t="shared" si="38"/>
        <v>0</v>
      </c>
      <c r="AV27" s="154"/>
      <c r="AW27" s="155">
        <v>623</v>
      </c>
      <c r="AX27" s="151">
        <f t="shared" si="24"/>
        <v>872.1999999999999</v>
      </c>
      <c r="AY27" s="109"/>
      <c r="AZ27" s="156"/>
      <c r="BA27" s="156">
        <f t="shared" si="39"/>
        <v>0</v>
      </c>
      <c r="BB27" s="156">
        <f t="shared" si="41"/>
        <v>35580.5752</v>
      </c>
      <c r="BC27" s="157">
        <f>'[4]Т04-10'!$M$89+'[4]Т04-10'!$M$110</f>
        <v>321.12199999999996</v>
      </c>
      <c r="BD27" s="15">
        <f t="shared" si="40"/>
        <v>-911.6200800000048</v>
      </c>
      <c r="BE27" s="17">
        <f t="shared" si="25"/>
        <v>-3011.209999999999</v>
      </c>
    </row>
    <row r="28" spans="1:57" ht="12.75" hidden="1">
      <c r="A28" s="8" t="s">
        <v>49</v>
      </c>
      <c r="B28" s="143">
        <v>4304.84</v>
      </c>
      <c r="C28" s="115">
        <f t="shared" si="26"/>
        <v>37236.866</v>
      </c>
      <c r="D28" s="100">
        <f t="shared" si="27"/>
        <v>3517.7059999999983</v>
      </c>
      <c r="E28" s="144">
        <v>3134.46</v>
      </c>
      <c r="F28" s="144">
        <v>757.91</v>
      </c>
      <c r="G28" s="144">
        <v>4244.1</v>
      </c>
      <c r="H28" s="144">
        <v>1027.34</v>
      </c>
      <c r="I28" s="144">
        <v>10199.67</v>
      </c>
      <c r="J28" s="144">
        <v>2467.28</v>
      </c>
      <c r="K28" s="144">
        <v>7065.06</v>
      </c>
      <c r="L28" s="144">
        <v>1709.44</v>
      </c>
      <c r="M28" s="144">
        <v>2507.62</v>
      </c>
      <c r="N28" s="144">
        <v>606.28</v>
      </c>
      <c r="O28" s="144">
        <v>0</v>
      </c>
      <c r="P28" s="145">
        <v>0</v>
      </c>
      <c r="Q28" s="144">
        <v>0</v>
      </c>
      <c r="R28" s="145">
        <v>0</v>
      </c>
      <c r="S28" s="146">
        <f t="shared" si="28"/>
        <v>27150.91</v>
      </c>
      <c r="T28" s="147">
        <f t="shared" si="29"/>
        <v>6568.25</v>
      </c>
      <c r="U28" s="146">
        <v>2745.43</v>
      </c>
      <c r="V28" s="146">
        <v>3717.83</v>
      </c>
      <c r="W28" s="146">
        <v>8934.41</v>
      </c>
      <c r="X28" s="146">
        <v>6188.8</v>
      </c>
      <c r="Y28" s="146">
        <v>2196.49</v>
      </c>
      <c r="Z28" s="148">
        <v>0</v>
      </c>
      <c r="AA28" s="148">
        <v>0</v>
      </c>
      <c r="AB28" s="148">
        <f t="shared" si="42"/>
        <v>23782.96</v>
      </c>
      <c r="AC28" s="149">
        <f t="shared" si="30"/>
        <v>33868.916</v>
      </c>
      <c r="AD28" s="150">
        <f t="shared" si="31"/>
        <v>0</v>
      </c>
      <c r="AE28" s="150">
        <f t="shared" si="32"/>
        <v>0</v>
      </c>
      <c r="AF28" s="150">
        <f>'[4]Т04-10'!$I$89+'[4]Т04-10'!$I$110</f>
        <v>755.7711199999999</v>
      </c>
      <c r="AG28" s="151">
        <f t="shared" si="33"/>
        <v>2582.904</v>
      </c>
      <c r="AH28" s="151">
        <f t="shared" si="34"/>
        <v>860.9680000000001</v>
      </c>
      <c r="AI28" s="151">
        <f t="shared" si="35"/>
        <v>4304.84</v>
      </c>
      <c r="AJ28" s="151">
        <v>0</v>
      </c>
      <c r="AK28" s="151">
        <f t="shared" si="36"/>
        <v>4218.7432</v>
      </c>
      <c r="AL28" s="151">
        <v>0</v>
      </c>
      <c r="AM28" s="151">
        <f t="shared" si="37"/>
        <v>9685.89</v>
      </c>
      <c r="AN28" s="151">
        <v>0</v>
      </c>
      <c r="AO28" s="151"/>
      <c r="AP28" s="151"/>
      <c r="AQ28" s="152"/>
      <c r="AR28" s="152"/>
      <c r="AS28" s="153">
        <v>13395</v>
      </c>
      <c r="AT28" s="153">
        <v>20825.5</v>
      </c>
      <c r="AU28" s="153">
        <f t="shared" si="38"/>
        <v>3748.5899999999997</v>
      </c>
      <c r="AV28" s="154"/>
      <c r="AW28" s="155">
        <v>504</v>
      </c>
      <c r="AX28" s="151">
        <f t="shared" si="24"/>
        <v>705.5999999999999</v>
      </c>
      <c r="AY28" s="109"/>
      <c r="AZ28" s="156"/>
      <c r="BA28" s="156">
        <f t="shared" si="39"/>
        <v>0</v>
      </c>
      <c r="BB28" s="156">
        <f t="shared" si="41"/>
        <v>60328.03519999999</v>
      </c>
      <c r="BC28" s="157">
        <f>'[4]Т06-10'!$M$87+'[4]Т06-10'!$M$107</f>
        <v>321.12199999999996</v>
      </c>
      <c r="BD28" s="15">
        <f t="shared" si="40"/>
        <v>-26024.470079999996</v>
      </c>
      <c r="BE28" s="17">
        <f t="shared" si="25"/>
        <v>-3367.9500000000007</v>
      </c>
    </row>
    <row r="29" spans="1:57" ht="12.75" hidden="1">
      <c r="A29" s="8" t="s">
        <v>50</v>
      </c>
      <c r="B29" s="143">
        <v>4304.84</v>
      </c>
      <c r="C29" s="115">
        <f t="shared" si="26"/>
        <v>37236.866</v>
      </c>
      <c r="D29" s="100">
        <f t="shared" si="27"/>
        <v>3401.0459999999994</v>
      </c>
      <c r="E29" s="162">
        <v>3915.25</v>
      </c>
      <c r="F29" s="144">
        <v>0</v>
      </c>
      <c r="G29" s="144">
        <v>5301.72</v>
      </c>
      <c r="H29" s="144">
        <v>0</v>
      </c>
      <c r="I29" s="144">
        <v>12740.78</v>
      </c>
      <c r="J29" s="144">
        <v>0</v>
      </c>
      <c r="K29" s="144">
        <v>8825.45</v>
      </c>
      <c r="L29" s="144">
        <v>0</v>
      </c>
      <c r="M29" s="144">
        <v>3052.62</v>
      </c>
      <c r="N29" s="144">
        <v>0</v>
      </c>
      <c r="O29" s="144">
        <v>0</v>
      </c>
      <c r="P29" s="145">
        <v>0</v>
      </c>
      <c r="Q29" s="145"/>
      <c r="R29" s="145"/>
      <c r="S29" s="146">
        <f t="shared" si="28"/>
        <v>33835.82</v>
      </c>
      <c r="T29" s="147">
        <f t="shared" si="29"/>
        <v>0</v>
      </c>
      <c r="U29" s="163">
        <v>3206.5</v>
      </c>
      <c r="V29" s="146">
        <v>4342.33</v>
      </c>
      <c r="W29" s="146">
        <v>10434.9</v>
      </c>
      <c r="X29" s="146">
        <v>7228.3</v>
      </c>
      <c r="Y29" s="146">
        <v>2565.3</v>
      </c>
      <c r="Z29" s="148">
        <v>0</v>
      </c>
      <c r="AA29" s="148">
        <v>0</v>
      </c>
      <c r="AB29" s="148">
        <f t="shared" si="42"/>
        <v>27777.329999999998</v>
      </c>
      <c r="AC29" s="149">
        <f t="shared" si="30"/>
        <v>31178.375999999997</v>
      </c>
      <c r="AD29" s="150">
        <f t="shared" si="31"/>
        <v>0</v>
      </c>
      <c r="AE29" s="150">
        <f t="shared" si="32"/>
        <v>0</v>
      </c>
      <c r="AF29" s="150">
        <f>'[5]Т07-10'!$I$86+'[5]Т07-10'!$I$106</f>
        <v>755.7711199999999</v>
      </c>
      <c r="AG29" s="151">
        <f t="shared" si="33"/>
        <v>2582.904</v>
      </c>
      <c r="AH29" s="151">
        <f t="shared" si="34"/>
        <v>860.9680000000001</v>
      </c>
      <c r="AI29" s="151">
        <f t="shared" si="35"/>
        <v>4304.84</v>
      </c>
      <c r="AJ29" s="151">
        <v>0</v>
      </c>
      <c r="AK29" s="151">
        <f t="shared" si="36"/>
        <v>4218.7432</v>
      </c>
      <c r="AL29" s="151">
        <v>0</v>
      </c>
      <c r="AM29" s="151">
        <f t="shared" si="37"/>
        <v>9685.89</v>
      </c>
      <c r="AN29" s="151">
        <v>0</v>
      </c>
      <c r="AO29" s="151"/>
      <c r="AP29" s="151"/>
      <c r="AQ29" s="152"/>
      <c r="AR29" s="152"/>
      <c r="AS29" s="153"/>
      <c r="AT29" s="153"/>
      <c r="AU29" s="153">
        <f t="shared" si="38"/>
        <v>0</v>
      </c>
      <c r="AV29" s="154"/>
      <c r="AW29" s="155">
        <v>722</v>
      </c>
      <c r="AX29" s="151">
        <f t="shared" si="24"/>
        <v>1010.8</v>
      </c>
      <c r="AY29" s="109"/>
      <c r="AZ29" s="156"/>
      <c r="BA29" s="156">
        <f t="shared" si="39"/>
        <v>0</v>
      </c>
      <c r="BB29" s="156">
        <f t="shared" si="41"/>
        <v>22664.1452</v>
      </c>
      <c r="BC29" s="157">
        <f>'[4]Т06-10'!$M$87+'[4]Т06-10'!$M$107</f>
        <v>321.12199999999996</v>
      </c>
      <c r="BD29" s="15">
        <f t="shared" si="40"/>
        <v>8948.87992</v>
      </c>
      <c r="BE29" s="17">
        <f t="shared" si="25"/>
        <v>-6058.490000000002</v>
      </c>
    </row>
    <row r="30" spans="1:57" ht="12.75" hidden="1">
      <c r="A30" s="8" t="s">
        <v>51</v>
      </c>
      <c r="B30" s="143">
        <v>4304.84</v>
      </c>
      <c r="C30" s="115">
        <f t="shared" si="26"/>
        <v>37236.866</v>
      </c>
      <c r="D30" s="141">
        <f>C30-E30-F30-G30-H30-I30-J30-K30-L30-M30-N30+50000</f>
        <v>53442.476</v>
      </c>
      <c r="E30" s="162">
        <v>3901.22</v>
      </c>
      <c r="F30" s="144">
        <v>0</v>
      </c>
      <c r="G30" s="144">
        <v>5282.91</v>
      </c>
      <c r="H30" s="144">
        <v>0</v>
      </c>
      <c r="I30" s="144">
        <v>12695.27</v>
      </c>
      <c r="J30" s="144">
        <v>0</v>
      </c>
      <c r="K30" s="144">
        <v>8794</v>
      </c>
      <c r="L30" s="144">
        <v>0</v>
      </c>
      <c r="M30" s="144">
        <v>3120.99</v>
      </c>
      <c r="N30" s="144">
        <v>0</v>
      </c>
      <c r="O30" s="144">
        <v>0</v>
      </c>
      <c r="P30" s="145">
        <v>0</v>
      </c>
      <c r="Q30" s="145"/>
      <c r="R30" s="145"/>
      <c r="S30" s="146">
        <f t="shared" si="28"/>
        <v>33794.39</v>
      </c>
      <c r="T30" s="147">
        <f t="shared" si="29"/>
        <v>0</v>
      </c>
      <c r="U30" s="120">
        <v>3789.9</v>
      </c>
      <c r="V30" s="120">
        <v>5132.25</v>
      </c>
      <c r="W30" s="120">
        <v>12333.05</v>
      </c>
      <c r="X30" s="120">
        <v>8543.17</v>
      </c>
      <c r="Y30" s="120">
        <v>3031.9</v>
      </c>
      <c r="Z30" s="121">
        <v>0</v>
      </c>
      <c r="AA30" s="121">
        <v>0</v>
      </c>
      <c r="AB30" s="148">
        <f t="shared" si="42"/>
        <v>32830.27</v>
      </c>
      <c r="AC30" s="149">
        <f t="shared" si="30"/>
        <v>86272.746</v>
      </c>
      <c r="AD30" s="150">
        <f t="shared" si="31"/>
        <v>0</v>
      </c>
      <c r="AE30" s="150">
        <f t="shared" si="32"/>
        <v>0</v>
      </c>
      <c r="AF30" s="150">
        <f>'[7]Т07-10'!$I$86+'[7]Т07-10'!$I$106</f>
        <v>755.7711199999999</v>
      </c>
      <c r="AG30" s="151">
        <f t="shared" si="33"/>
        <v>2582.904</v>
      </c>
      <c r="AH30" s="151">
        <f t="shared" si="34"/>
        <v>860.9680000000001</v>
      </c>
      <c r="AI30" s="151">
        <f t="shared" si="35"/>
        <v>4304.84</v>
      </c>
      <c r="AJ30" s="151">
        <v>0</v>
      </c>
      <c r="AK30" s="151">
        <f t="shared" si="36"/>
        <v>4218.7432</v>
      </c>
      <c r="AL30" s="151">
        <v>0</v>
      </c>
      <c r="AM30" s="151">
        <f t="shared" si="37"/>
        <v>9685.89</v>
      </c>
      <c r="AN30" s="151">
        <v>0</v>
      </c>
      <c r="AO30" s="151"/>
      <c r="AP30" s="151"/>
      <c r="AQ30" s="152"/>
      <c r="AR30" s="152"/>
      <c r="AS30" s="153">
        <v>7079</v>
      </c>
      <c r="AT30" s="153">
        <f>47.8+126</f>
        <v>173.8</v>
      </c>
      <c r="AU30" s="153"/>
      <c r="AV30" s="154"/>
      <c r="AW30" s="155">
        <v>593</v>
      </c>
      <c r="AX30" s="151">
        <f>AW30*1.4</f>
        <v>830.1999999999999</v>
      </c>
      <c r="AY30" s="109"/>
      <c r="AZ30" s="156"/>
      <c r="BA30" s="156">
        <f t="shared" si="39"/>
        <v>0</v>
      </c>
      <c r="BB30" s="156">
        <f>SUM(AG30:BA30)-AV30-AW30</f>
        <v>29736.3452</v>
      </c>
      <c r="BC30" s="157">
        <f>'[8]Т06-10'!$M$87+'[8]Т06-10'!$M$107</f>
        <v>321.12199999999996</v>
      </c>
      <c r="BD30" s="15">
        <f t="shared" si="40"/>
        <v>56971.049920000005</v>
      </c>
      <c r="BE30" s="17">
        <f t="shared" si="25"/>
        <v>-964.1200000000026</v>
      </c>
    </row>
    <row r="31" spans="1:57" ht="14.25" hidden="1">
      <c r="A31" s="8" t="s">
        <v>52</v>
      </c>
      <c r="B31" s="134">
        <v>4303.84</v>
      </c>
      <c r="C31" s="115">
        <f t="shared" si="26"/>
        <v>37228.216</v>
      </c>
      <c r="D31" s="100">
        <f t="shared" si="27"/>
        <v>3113.0459999999994</v>
      </c>
      <c r="E31" s="78">
        <v>3896</v>
      </c>
      <c r="F31" s="78">
        <v>0</v>
      </c>
      <c r="G31" s="78">
        <v>5340.48</v>
      </c>
      <c r="H31" s="78">
        <v>0</v>
      </c>
      <c r="I31" s="78">
        <v>12833.77</v>
      </c>
      <c r="J31" s="78">
        <v>0</v>
      </c>
      <c r="K31" s="78">
        <v>8889.87</v>
      </c>
      <c r="L31" s="78">
        <v>0</v>
      </c>
      <c r="M31" s="78">
        <v>3155.05</v>
      </c>
      <c r="N31" s="78">
        <v>0</v>
      </c>
      <c r="O31" s="78">
        <v>0</v>
      </c>
      <c r="P31" s="113">
        <v>0</v>
      </c>
      <c r="Q31" s="113"/>
      <c r="R31" s="113"/>
      <c r="S31" s="67">
        <f t="shared" si="28"/>
        <v>34115.170000000006</v>
      </c>
      <c r="T31" s="102">
        <f t="shared" si="29"/>
        <v>0</v>
      </c>
      <c r="U31" s="67">
        <v>3936.4</v>
      </c>
      <c r="V31" s="67">
        <v>5330.81</v>
      </c>
      <c r="W31" s="67">
        <v>12809.71</v>
      </c>
      <c r="X31" s="67">
        <v>8873.25</v>
      </c>
      <c r="Y31" s="67">
        <v>3148.99</v>
      </c>
      <c r="Z31" s="114">
        <v>0</v>
      </c>
      <c r="AA31" s="114">
        <v>0</v>
      </c>
      <c r="AB31" s="114">
        <f t="shared" si="42"/>
        <v>34099.159999999996</v>
      </c>
      <c r="AC31" s="105">
        <f t="shared" si="30"/>
        <v>37212.206</v>
      </c>
      <c r="AD31" s="106">
        <f t="shared" si="31"/>
        <v>0</v>
      </c>
      <c r="AE31" s="106">
        <f t="shared" si="32"/>
        <v>0</v>
      </c>
      <c r="AF31" s="106">
        <f>'[5]Т07-10'!$I$86+'[5]Т07-10'!$I$106</f>
        <v>755.7711199999999</v>
      </c>
      <c r="AG31" s="22">
        <f t="shared" si="33"/>
        <v>2582.304</v>
      </c>
      <c r="AH31" s="22">
        <f t="shared" si="34"/>
        <v>860.768</v>
      </c>
      <c r="AI31" s="22">
        <f t="shared" si="35"/>
        <v>4303.84</v>
      </c>
      <c r="AJ31" s="22">
        <v>0</v>
      </c>
      <c r="AK31" s="22">
        <f t="shared" si="36"/>
        <v>4217.7632</v>
      </c>
      <c r="AL31" s="22">
        <v>0</v>
      </c>
      <c r="AM31" s="22">
        <f t="shared" si="37"/>
        <v>9683.64</v>
      </c>
      <c r="AN31" s="22">
        <v>0</v>
      </c>
      <c r="AO31" s="22"/>
      <c r="AP31" s="22"/>
      <c r="AQ31" s="82"/>
      <c r="AR31" s="82"/>
      <c r="AS31" s="71">
        <v>4639</v>
      </c>
      <c r="AT31" s="71">
        <f>65885.6+75</f>
        <v>65960.6</v>
      </c>
      <c r="AU31" s="135"/>
      <c r="AV31" s="107"/>
      <c r="AW31" s="116">
        <v>818</v>
      </c>
      <c r="AX31" s="22">
        <f t="shared" si="24"/>
        <v>1145.1999999999998</v>
      </c>
      <c r="AY31" s="109"/>
      <c r="AZ31" s="110"/>
      <c r="BA31" s="110">
        <f t="shared" si="39"/>
        <v>0</v>
      </c>
      <c r="BB31" s="110">
        <f t="shared" si="41"/>
        <v>93393.1152</v>
      </c>
      <c r="BC31" s="117">
        <f>'[4]Т06-10'!$M$87+'[4]Т06-10'!$M$107</f>
        <v>321.12199999999996</v>
      </c>
      <c r="BD31" s="137">
        <f>AC31+AF31-BB31-BC31</f>
        <v>-55746.26008000001</v>
      </c>
      <c r="BE31" s="138">
        <f>AB31-S31</f>
        <v>-16.010000000009313</v>
      </c>
    </row>
    <row r="32" spans="1:57" ht="12.75" hidden="1">
      <c r="A32" s="136" t="s">
        <v>40</v>
      </c>
      <c r="B32" s="112">
        <v>4303.84</v>
      </c>
      <c r="C32" s="115">
        <f t="shared" si="26"/>
        <v>37228.216</v>
      </c>
      <c r="D32" s="100">
        <f t="shared" si="27"/>
        <v>3463.9359999999956</v>
      </c>
      <c r="E32" s="79">
        <v>3897.66</v>
      </c>
      <c r="F32" s="79">
        <v>0</v>
      </c>
      <c r="G32" s="79">
        <v>5278.31</v>
      </c>
      <c r="H32" s="79">
        <v>0</v>
      </c>
      <c r="I32" s="79">
        <v>12683.95</v>
      </c>
      <c r="J32" s="79">
        <v>0</v>
      </c>
      <c r="K32" s="79">
        <v>8786.21</v>
      </c>
      <c r="L32" s="79">
        <v>0</v>
      </c>
      <c r="M32" s="79">
        <v>3118.15</v>
      </c>
      <c r="N32" s="79">
        <v>0</v>
      </c>
      <c r="O32" s="79">
        <v>0</v>
      </c>
      <c r="P32" s="101">
        <v>0</v>
      </c>
      <c r="Q32" s="101"/>
      <c r="R32" s="101"/>
      <c r="S32" s="67">
        <f t="shared" si="28"/>
        <v>33764.28</v>
      </c>
      <c r="T32" s="102">
        <f t="shared" si="29"/>
        <v>0</v>
      </c>
      <c r="U32" s="67">
        <v>3844.37</v>
      </c>
      <c r="V32" s="67">
        <v>5206.69</v>
      </c>
      <c r="W32" s="67">
        <v>12511.26</v>
      </c>
      <c r="X32" s="67">
        <v>8666.78</v>
      </c>
      <c r="Y32" s="67">
        <v>3075.62</v>
      </c>
      <c r="Z32" s="114">
        <v>0</v>
      </c>
      <c r="AA32" s="114">
        <v>0</v>
      </c>
      <c r="AB32" s="114">
        <f t="shared" si="42"/>
        <v>33304.72</v>
      </c>
      <c r="AC32" s="105">
        <f t="shared" si="30"/>
        <v>36768.655999999995</v>
      </c>
      <c r="AD32" s="106">
        <f t="shared" si="31"/>
        <v>0</v>
      </c>
      <c r="AE32" s="106">
        <f t="shared" si="32"/>
        <v>0</v>
      </c>
      <c r="AF32" s="106">
        <f>'[5]Т10-10'!$I$86+'[5]Т10-10'!$I$107+150</f>
        <v>905.7711199999999</v>
      </c>
      <c r="AG32" s="22">
        <f t="shared" si="33"/>
        <v>2582.304</v>
      </c>
      <c r="AH32" s="22">
        <f t="shared" si="34"/>
        <v>860.768</v>
      </c>
      <c r="AI32" s="22">
        <f t="shared" si="35"/>
        <v>4303.84</v>
      </c>
      <c r="AJ32" s="22">
        <v>0</v>
      </c>
      <c r="AK32" s="22">
        <f t="shared" si="36"/>
        <v>4217.7632</v>
      </c>
      <c r="AL32" s="22">
        <v>0</v>
      </c>
      <c r="AM32" s="22">
        <f t="shared" si="37"/>
        <v>9683.64</v>
      </c>
      <c r="AN32" s="22">
        <v>0</v>
      </c>
      <c r="AO32" s="22"/>
      <c r="AP32" s="22"/>
      <c r="AQ32" s="82"/>
      <c r="AR32" s="82"/>
      <c r="AS32" s="71">
        <v>4127</v>
      </c>
      <c r="AT32" s="71">
        <f>9+6+84</f>
        <v>99</v>
      </c>
      <c r="AU32" s="71"/>
      <c r="AV32" s="107"/>
      <c r="AW32" s="116">
        <v>867</v>
      </c>
      <c r="AX32" s="22">
        <f>AW32*1.4</f>
        <v>1213.8</v>
      </c>
      <c r="AY32" s="109"/>
      <c r="AZ32" s="110"/>
      <c r="BA32" s="110">
        <f t="shared" si="39"/>
        <v>0</v>
      </c>
      <c r="BB32" s="110">
        <f>SUM(AG32:BA32)-AV32-AW32</f>
        <v>27088.1152</v>
      </c>
      <c r="BC32" s="117">
        <f>'[5]Т10-10'!$M$86+'[5]Т10-10'!$M$107+37.5</f>
        <v>358.62199999999996</v>
      </c>
      <c r="BD32" s="137">
        <f>AC32+AF32-BB32-BC32</f>
        <v>10227.689919999993</v>
      </c>
      <c r="BE32" s="138">
        <f>AB32-S32</f>
        <v>-459.5599999999977</v>
      </c>
    </row>
    <row r="33" spans="1:57" ht="12.75" hidden="1">
      <c r="A33" s="136" t="s">
        <v>41</v>
      </c>
      <c r="B33" s="112">
        <v>4303.84</v>
      </c>
      <c r="C33" s="115">
        <f t="shared" si="26"/>
        <v>37228.216</v>
      </c>
      <c r="D33" s="141">
        <f>C33-E33-F33-G33-H33-I33-J33-K33-L33-M33-N33+12500</f>
        <v>16005.076000000001</v>
      </c>
      <c r="E33" s="78">
        <v>3892.82</v>
      </c>
      <c r="F33" s="78">
        <v>0</v>
      </c>
      <c r="G33" s="78">
        <v>5272.02</v>
      </c>
      <c r="H33" s="78">
        <v>0</v>
      </c>
      <c r="I33" s="78">
        <v>12668.44</v>
      </c>
      <c r="J33" s="78">
        <v>0</v>
      </c>
      <c r="K33" s="78">
        <v>8775.56</v>
      </c>
      <c r="L33" s="78">
        <v>0</v>
      </c>
      <c r="M33" s="78">
        <v>3114.3</v>
      </c>
      <c r="N33" s="78">
        <v>0</v>
      </c>
      <c r="O33" s="78">
        <v>0</v>
      </c>
      <c r="P33" s="113">
        <v>0</v>
      </c>
      <c r="Q33" s="113"/>
      <c r="R33" s="113"/>
      <c r="S33" s="67">
        <f t="shared" si="28"/>
        <v>33723.14</v>
      </c>
      <c r="T33" s="102">
        <f t="shared" si="29"/>
        <v>0</v>
      </c>
      <c r="U33" s="72">
        <v>4482.87</v>
      </c>
      <c r="V33" s="67">
        <v>6069.76</v>
      </c>
      <c r="W33" s="67">
        <v>14587.3</v>
      </c>
      <c r="X33" s="67">
        <v>10104.39</v>
      </c>
      <c r="Y33" s="67">
        <v>3586.29</v>
      </c>
      <c r="Z33" s="114">
        <v>0</v>
      </c>
      <c r="AA33" s="114">
        <v>0</v>
      </c>
      <c r="AB33" s="114">
        <f t="shared" si="42"/>
        <v>38830.61</v>
      </c>
      <c r="AC33" s="105">
        <f t="shared" si="30"/>
        <v>54835.686</v>
      </c>
      <c r="AD33" s="106">
        <f t="shared" si="31"/>
        <v>0</v>
      </c>
      <c r="AE33" s="106">
        <f t="shared" si="32"/>
        <v>0</v>
      </c>
      <c r="AF33" s="106">
        <f>'[5]Т11'!$I$86+'[5]Т11'!$I$106+150</f>
        <v>905.7711199999999</v>
      </c>
      <c r="AG33" s="22">
        <f t="shared" si="33"/>
        <v>2582.304</v>
      </c>
      <c r="AH33" s="22">
        <f t="shared" si="34"/>
        <v>860.768</v>
      </c>
      <c r="AI33" s="22">
        <f t="shared" si="35"/>
        <v>4303.84</v>
      </c>
      <c r="AJ33" s="22">
        <v>0</v>
      </c>
      <c r="AK33" s="22">
        <f t="shared" si="36"/>
        <v>4217.7632</v>
      </c>
      <c r="AL33" s="22">
        <v>0</v>
      </c>
      <c r="AM33" s="22">
        <f t="shared" si="37"/>
        <v>9683.64</v>
      </c>
      <c r="AN33" s="22">
        <v>0</v>
      </c>
      <c r="AO33" s="22"/>
      <c r="AP33" s="22"/>
      <c r="AQ33" s="82"/>
      <c r="AR33" s="82"/>
      <c r="AS33" s="71">
        <v>13690</v>
      </c>
      <c r="AT33" s="71">
        <v>25000</v>
      </c>
      <c r="AU33" s="71">
        <f>0*0.18</f>
        <v>0</v>
      </c>
      <c r="AV33" s="107"/>
      <c r="AW33" s="116">
        <v>992</v>
      </c>
      <c r="AX33" s="22">
        <f>AW33*1.4</f>
        <v>1388.8</v>
      </c>
      <c r="AY33" s="109"/>
      <c r="AZ33" s="110"/>
      <c r="BA33" s="110">
        <f t="shared" si="39"/>
        <v>0</v>
      </c>
      <c r="BB33" s="110">
        <f>SUM(AG33:BA33)-AV33-AW33</f>
        <v>61727.1152</v>
      </c>
      <c r="BC33" s="117">
        <f>'[5]Т11'!$M$86+'[5]Т11'!$M$106+37.5</f>
        <v>358.62199999999996</v>
      </c>
      <c r="BD33" s="137">
        <f>AC33+AF33-BB33-BC33</f>
        <v>-6344.280080000001</v>
      </c>
      <c r="BE33" s="138">
        <f>AB33-S33</f>
        <v>5107.470000000001</v>
      </c>
    </row>
    <row r="34" spans="1:57" ht="13.5" hidden="1" thickBot="1">
      <c r="A34" s="136" t="s">
        <v>42</v>
      </c>
      <c r="B34" s="112">
        <v>4303.84</v>
      </c>
      <c r="C34" s="115">
        <f>B34*8.65</f>
        <v>37228.216</v>
      </c>
      <c r="D34" s="141">
        <f>C34-E34-F34-G34-H34-I34-J34-K34-L34-M34-N34+25000</f>
        <v>28503.266000000003</v>
      </c>
      <c r="E34" s="78">
        <v>3893.03</v>
      </c>
      <c r="F34" s="78">
        <v>0</v>
      </c>
      <c r="G34" s="78">
        <v>5272.3</v>
      </c>
      <c r="H34" s="78">
        <v>0</v>
      </c>
      <c r="I34" s="78">
        <v>12669.13</v>
      </c>
      <c r="J34" s="78">
        <v>0</v>
      </c>
      <c r="K34" s="78">
        <v>8776.04</v>
      </c>
      <c r="L34" s="78">
        <v>0</v>
      </c>
      <c r="M34" s="78">
        <v>3114.45</v>
      </c>
      <c r="N34" s="78">
        <v>0</v>
      </c>
      <c r="O34" s="78">
        <v>0</v>
      </c>
      <c r="P34" s="113">
        <v>0</v>
      </c>
      <c r="Q34" s="113">
        <v>11107.55</v>
      </c>
      <c r="R34" s="113">
        <v>0</v>
      </c>
      <c r="S34" s="67">
        <f>E34+G34+I34+K34+M34+O34+Q34</f>
        <v>44832.5</v>
      </c>
      <c r="T34" s="102">
        <f>P34+N34+L34+J34+H34+F34+R34</f>
        <v>0</v>
      </c>
      <c r="U34" s="67">
        <v>4031.64</v>
      </c>
      <c r="V34" s="67">
        <v>5460.41</v>
      </c>
      <c r="W34" s="67">
        <v>13120.69</v>
      </c>
      <c r="X34" s="67">
        <v>9088.81</v>
      </c>
      <c r="Y34" s="67">
        <v>3225.36</v>
      </c>
      <c r="Z34" s="114">
        <v>0</v>
      </c>
      <c r="AA34" s="114">
        <v>0</v>
      </c>
      <c r="AB34" s="114">
        <f t="shared" si="42"/>
        <v>34926.909999999996</v>
      </c>
      <c r="AC34" s="105">
        <f>D34+T34+AB34</f>
        <v>63430.176</v>
      </c>
      <c r="AD34" s="106">
        <f>P34+Z34</f>
        <v>0</v>
      </c>
      <c r="AE34" s="106">
        <f>R34+AA34</f>
        <v>0</v>
      </c>
      <c r="AF34" s="106">
        <f>'[5]Т11'!$I$86+'[5]Т11'!$I$106+150</f>
        <v>905.7711199999999</v>
      </c>
      <c r="AG34" s="22">
        <f>0.6*B34</f>
        <v>2582.304</v>
      </c>
      <c r="AH34" s="22">
        <f>B34*0.2</f>
        <v>860.768</v>
      </c>
      <c r="AI34" s="22">
        <f>1*B34</f>
        <v>4303.84</v>
      </c>
      <c r="AJ34" s="22">
        <v>0</v>
      </c>
      <c r="AK34" s="22">
        <f>0.98*B34</f>
        <v>4217.7632</v>
      </c>
      <c r="AL34" s="22">
        <v>0</v>
      </c>
      <c r="AM34" s="22">
        <f>2.25*B34</f>
        <v>9683.64</v>
      </c>
      <c r="AN34" s="22">
        <v>0</v>
      </c>
      <c r="AO34" s="22"/>
      <c r="AP34" s="22"/>
      <c r="AQ34" s="82"/>
      <c r="AR34" s="82"/>
      <c r="AS34" s="71">
        <v>10927</v>
      </c>
      <c r="AT34" s="142">
        <f>12500+98.31</f>
        <v>12598.31</v>
      </c>
      <c r="AU34" s="71">
        <f>98.31*0.18</f>
        <v>17.6958</v>
      </c>
      <c r="AV34" s="107"/>
      <c r="AW34" s="116">
        <v>1452</v>
      </c>
      <c r="AX34" s="22">
        <f>AW34*1.4</f>
        <v>2032.8</v>
      </c>
      <c r="AY34" s="109"/>
      <c r="AZ34" s="110"/>
      <c r="BA34" s="110">
        <f>AZ34*0.18</f>
        <v>0</v>
      </c>
      <c r="BB34" s="110">
        <f>SUM(AG34:BA34)-AV34-AW34</f>
        <v>47224.12100000001</v>
      </c>
      <c r="BC34" s="117">
        <f>'[5]Т11'!$M$86+'[5]Т11'!$M$106+37.5</f>
        <v>358.62199999999996</v>
      </c>
      <c r="BD34" s="137">
        <f>AC34+AF34-BB34-BC34</f>
        <v>16753.20411999999</v>
      </c>
      <c r="BE34" s="138">
        <f>AB34-S34</f>
        <v>-9905.590000000004</v>
      </c>
    </row>
    <row r="35" spans="1:57" ht="13.5" hidden="1" thickBot="1">
      <c r="A35" s="139" t="s">
        <v>53</v>
      </c>
      <c r="B35" s="140"/>
      <c r="C35" s="140">
        <f>SUM(C23:C34)</f>
        <v>446853.81000000006</v>
      </c>
      <c r="D35" s="140">
        <f aca="true" t="shared" si="43" ref="D35:BE35">SUM(D23:D34)</f>
        <v>129074.42</v>
      </c>
      <c r="E35" s="140">
        <f t="shared" si="43"/>
        <v>42224.98</v>
      </c>
      <c r="F35" s="140">
        <f t="shared" si="43"/>
        <v>4533.799999999999</v>
      </c>
      <c r="G35" s="140">
        <f t="shared" si="43"/>
        <v>57230.33</v>
      </c>
      <c r="H35" s="140">
        <f t="shared" si="43"/>
        <v>6145.52</v>
      </c>
      <c r="I35" s="140">
        <f t="shared" si="43"/>
        <v>137532.80000000002</v>
      </c>
      <c r="J35" s="140">
        <f t="shared" si="43"/>
        <v>14759.31</v>
      </c>
      <c r="K35" s="140">
        <f t="shared" si="43"/>
        <v>95267.94</v>
      </c>
      <c r="L35" s="140">
        <f t="shared" si="43"/>
        <v>10225.85</v>
      </c>
      <c r="M35" s="140">
        <f t="shared" si="43"/>
        <v>33732.13</v>
      </c>
      <c r="N35" s="140">
        <f t="shared" si="43"/>
        <v>3626.7299999999996</v>
      </c>
      <c r="O35" s="140">
        <f t="shared" si="43"/>
        <v>0</v>
      </c>
      <c r="P35" s="140">
        <f t="shared" si="43"/>
        <v>0</v>
      </c>
      <c r="Q35" s="140">
        <f t="shared" si="43"/>
        <v>11107.55</v>
      </c>
      <c r="R35" s="140">
        <f t="shared" si="43"/>
        <v>0</v>
      </c>
      <c r="S35" s="140">
        <f t="shared" si="43"/>
        <v>377095.73</v>
      </c>
      <c r="T35" s="140">
        <f t="shared" si="43"/>
        <v>39291.21</v>
      </c>
      <c r="U35" s="140">
        <f t="shared" si="43"/>
        <v>38909.16</v>
      </c>
      <c r="V35" s="140">
        <f t="shared" si="43"/>
        <v>52748.76000000001</v>
      </c>
      <c r="W35" s="140">
        <f t="shared" si="43"/>
        <v>126771.92000000001</v>
      </c>
      <c r="X35" s="140">
        <f t="shared" si="43"/>
        <v>87811.77</v>
      </c>
      <c r="Y35" s="140">
        <f t="shared" si="43"/>
        <v>31167.84</v>
      </c>
      <c r="Z35" s="140">
        <f t="shared" si="43"/>
        <v>0</v>
      </c>
      <c r="AA35" s="140">
        <f t="shared" si="43"/>
        <v>0</v>
      </c>
      <c r="AB35" s="140">
        <f t="shared" si="43"/>
        <v>337409.44999999995</v>
      </c>
      <c r="AC35" s="140">
        <f t="shared" si="43"/>
        <v>505775.07999999996</v>
      </c>
      <c r="AD35" s="140">
        <f t="shared" si="43"/>
        <v>0</v>
      </c>
      <c r="AE35" s="140">
        <f t="shared" si="43"/>
        <v>0</v>
      </c>
      <c r="AF35" s="140">
        <f t="shared" si="43"/>
        <v>9519.253439999997</v>
      </c>
      <c r="AG35" s="140">
        <f t="shared" si="43"/>
        <v>30995.64</v>
      </c>
      <c r="AH35" s="140">
        <f t="shared" si="43"/>
        <v>10331.880000000001</v>
      </c>
      <c r="AI35" s="140">
        <f t="shared" si="43"/>
        <v>51659.399999999994</v>
      </c>
      <c r="AJ35" s="140">
        <f t="shared" si="43"/>
        <v>0</v>
      </c>
      <c r="AK35" s="140">
        <f t="shared" si="43"/>
        <v>50626.21200000001</v>
      </c>
      <c r="AL35" s="140">
        <f t="shared" si="43"/>
        <v>0</v>
      </c>
      <c r="AM35" s="140">
        <f t="shared" si="43"/>
        <v>116233.65</v>
      </c>
      <c r="AN35" s="140">
        <f t="shared" si="43"/>
        <v>0</v>
      </c>
      <c r="AO35" s="140">
        <f t="shared" si="43"/>
        <v>4968</v>
      </c>
      <c r="AP35" s="140">
        <f t="shared" si="43"/>
        <v>0</v>
      </c>
      <c r="AQ35" s="140">
        <f t="shared" si="43"/>
        <v>0</v>
      </c>
      <c r="AR35" s="140">
        <f t="shared" si="43"/>
        <v>0</v>
      </c>
      <c r="AS35" s="140">
        <f t="shared" si="43"/>
        <v>99016</v>
      </c>
      <c r="AT35" s="140">
        <f t="shared" si="43"/>
        <v>124657.21</v>
      </c>
      <c r="AU35" s="140">
        <f t="shared" si="43"/>
        <v>3766.2857999999997</v>
      </c>
      <c r="AV35" s="140">
        <f t="shared" si="43"/>
        <v>0</v>
      </c>
      <c r="AW35" s="140">
        <f t="shared" si="43"/>
        <v>10033</v>
      </c>
      <c r="AX35" s="140">
        <f t="shared" si="43"/>
        <v>14046.199999999997</v>
      </c>
      <c r="AY35" s="140">
        <f t="shared" si="43"/>
        <v>0</v>
      </c>
      <c r="AZ35" s="140">
        <f t="shared" si="43"/>
        <v>0</v>
      </c>
      <c r="BA35" s="140">
        <f t="shared" si="43"/>
        <v>0</v>
      </c>
      <c r="BB35" s="140">
        <f t="shared" si="43"/>
        <v>506300.4778</v>
      </c>
      <c r="BC35" s="140">
        <f t="shared" si="43"/>
        <v>3965.9639999999986</v>
      </c>
      <c r="BD35" s="140">
        <f t="shared" si="43"/>
        <v>5027.891639999962</v>
      </c>
      <c r="BE35" s="140">
        <f t="shared" si="43"/>
        <v>-39686.28000000002</v>
      </c>
    </row>
    <row r="36" spans="1:57" ht="13.5" hidden="1" thickBot="1">
      <c r="A36" s="12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26"/>
    </row>
    <row r="37" spans="1:57" ht="13.5" thickBot="1">
      <c r="A37" s="122" t="s">
        <v>90</v>
      </c>
      <c r="B37" s="123"/>
      <c r="C37" s="124">
        <f aca="true" t="shared" si="44" ref="C37:AH37">C21+C35</f>
        <v>894155.6900000002</v>
      </c>
      <c r="D37" s="124">
        <f t="shared" si="44"/>
        <v>179310.64475000004</v>
      </c>
      <c r="E37" s="124">
        <f t="shared" si="44"/>
        <v>77407.20000000001</v>
      </c>
      <c r="F37" s="124">
        <f t="shared" si="44"/>
        <v>12965.46</v>
      </c>
      <c r="G37" s="124">
        <f t="shared" si="44"/>
        <v>106210.62</v>
      </c>
      <c r="H37" s="124">
        <f t="shared" si="44"/>
        <v>17897.980000000003</v>
      </c>
      <c r="I37" s="124">
        <f t="shared" si="44"/>
        <v>255302.61000000002</v>
      </c>
      <c r="J37" s="124">
        <f t="shared" si="44"/>
        <v>43004.899999999994</v>
      </c>
      <c r="K37" s="124">
        <f t="shared" si="44"/>
        <v>176832.90000000002</v>
      </c>
      <c r="L37" s="124">
        <f t="shared" si="44"/>
        <v>29790.79</v>
      </c>
      <c r="M37" s="124">
        <f t="shared" si="44"/>
        <v>62696.350000000006</v>
      </c>
      <c r="N37" s="124">
        <f t="shared" si="44"/>
        <v>10571.07</v>
      </c>
      <c r="O37" s="124">
        <f t="shared" si="44"/>
        <v>0</v>
      </c>
      <c r="P37" s="124">
        <f t="shared" si="44"/>
        <v>0</v>
      </c>
      <c r="Q37" s="124">
        <f t="shared" si="44"/>
        <v>11107.55</v>
      </c>
      <c r="R37" s="124">
        <f t="shared" si="44"/>
        <v>0</v>
      </c>
      <c r="S37" s="124">
        <f t="shared" si="44"/>
        <v>689557.23</v>
      </c>
      <c r="T37" s="124">
        <f t="shared" si="44"/>
        <v>114230.19999999998</v>
      </c>
      <c r="U37" s="124">
        <f t="shared" si="44"/>
        <v>71403.22</v>
      </c>
      <c r="V37" s="124">
        <f t="shared" si="44"/>
        <v>98010.28</v>
      </c>
      <c r="W37" s="124">
        <f t="shared" si="44"/>
        <v>235615.2</v>
      </c>
      <c r="X37" s="124">
        <f t="shared" si="44"/>
        <v>163190.78999999998</v>
      </c>
      <c r="Y37" s="124">
        <f t="shared" si="44"/>
        <v>57939.18000000001</v>
      </c>
      <c r="Z37" s="124">
        <f t="shared" si="44"/>
        <v>0</v>
      </c>
      <c r="AA37" s="124">
        <f t="shared" si="44"/>
        <v>0</v>
      </c>
      <c r="AB37" s="124">
        <f t="shared" si="44"/>
        <v>626158.6699999999</v>
      </c>
      <c r="AC37" s="124">
        <f t="shared" si="44"/>
        <v>919699.51475</v>
      </c>
      <c r="AD37" s="124">
        <f t="shared" si="44"/>
        <v>0</v>
      </c>
      <c r="AE37" s="124">
        <f t="shared" si="44"/>
        <v>0</v>
      </c>
      <c r="AF37" s="124">
        <f t="shared" si="44"/>
        <v>13365.070499999996</v>
      </c>
      <c r="AG37" s="124">
        <f t="shared" si="44"/>
        <v>60988.365600000005</v>
      </c>
      <c r="AH37" s="124">
        <f t="shared" si="44"/>
        <v>20373.4348874</v>
      </c>
      <c r="AI37" s="124">
        <f aca="true" t="shared" si="45" ref="AI37:BE37">AI21+AI35</f>
        <v>93586.58018105</v>
      </c>
      <c r="AJ37" s="124">
        <f t="shared" si="45"/>
        <v>7546.892432588999</v>
      </c>
      <c r="AK37" s="124">
        <f t="shared" si="45"/>
        <v>91383.52219498</v>
      </c>
      <c r="AL37" s="124">
        <f t="shared" si="45"/>
        <v>7336.3158350964</v>
      </c>
      <c r="AM37" s="124">
        <f t="shared" si="45"/>
        <v>210009.81434041387</v>
      </c>
      <c r="AN37" s="124">
        <f t="shared" si="45"/>
        <v>16879.7095812745</v>
      </c>
      <c r="AO37" s="124">
        <f t="shared" si="45"/>
        <v>4968</v>
      </c>
      <c r="AP37" s="124">
        <f t="shared" si="45"/>
        <v>0</v>
      </c>
      <c r="AQ37" s="124">
        <f t="shared" si="45"/>
        <v>42127.33299999999</v>
      </c>
      <c r="AR37" s="124">
        <f t="shared" si="45"/>
        <v>7582.919939999999</v>
      </c>
      <c r="AS37" s="124">
        <f t="shared" si="45"/>
        <v>264883.89</v>
      </c>
      <c r="AT37" s="124">
        <f t="shared" si="45"/>
        <v>125569.21</v>
      </c>
      <c r="AU37" s="124">
        <f t="shared" si="45"/>
        <v>33786.67600000001</v>
      </c>
      <c r="AV37" s="124"/>
      <c r="AW37" s="124"/>
      <c r="AX37" s="124">
        <f t="shared" si="45"/>
        <v>29034.465599999996</v>
      </c>
      <c r="AY37" s="124">
        <f t="shared" si="45"/>
        <v>0</v>
      </c>
      <c r="AZ37" s="124">
        <f t="shared" si="45"/>
        <v>0</v>
      </c>
      <c r="BA37" s="124">
        <f t="shared" si="45"/>
        <v>0</v>
      </c>
      <c r="BB37" s="124">
        <f t="shared" si="45"/>
        <v>1016057.1295928038</v>
      </c>
      <c r="BC37" s="124">
        <f t="shared" si="45"/>
        <v>5560.560230350999</v>
      </c>
      <c r="BD37" s="124">
        <f t="shared" si="45"/>
        <v>-88553.10457315481</v>
      </c>
      <c r="BE37" s="124">
        <f t="shared" si="45"/>
        <v>-63398.56000000001</v>
      </c>
    </row>
  </sheetData>
  <sheetProtection/>
  <mergeCells count="67">
    <mergeCell ref="AV5:AX5"/>
    <mergeCell ref="Y5:Y6"/>
    <mergeCell ref="Z5:Z6"/>
    <mergeCell ref="AA5:AA6"/>
    <mergeCell ref="AG5:AG6"/>
    <mergeCell ref="AE3:AE6"/>
    <mergeCell ref="AG3:BB4"/>
    <mergeCell ref="AP5:AP6"/>
    <mergeCell ref="AS5:AS6"/>
    <mergeCell ref="AN5:AN6"/>
    <mergeCell ref="R5:R6"/>
    <mergeCell ref="S5:S6"/>
    <mergeCell ref="AD3:AD6"/>
    <mergeCell ref="T5:T6"/>
    <mergeCell ref="U5:U6"/>
    <mergeCell ref="V5:V6"/>
    <mergeCell ref="W5:W6"/>
    <mergeCell ref="AO5:AO6"/>
    <mergeCell ref="AL5:AL6"/>
    <mergeCell ref="AM5:AM6"/>
    <mergeCell ref="I5:I6"/>
    <mergeCell ref="J5:J6"/>
    <mergeCell ref="K5:K6"/>
    <mergeCell ref="L5:L6"/>
    <mergeCell ref="P5:P6"/>
    <mergeCell ref="AF3:AF6"/>
    <mergeCell ref="M4:N4"/>
    <mergeCell ref="E5:E6"/>
    <mergeCell ref="F5:F6"/>
    <mergeCell ref="G5:G6"/>
    <mergeCell ref="H5:H6"/>
    <mergeCell ref="BD3:BD6"/>
    <mergeCell ref="BE3:BE6"/>
    <mergeCell ref="AH5:AH6"/>
    <mergeCell ref="AI5:AI6"/>
    <mergeCell ref="AJ5:AJ6"/>
    <mergeCell ref="AK5:AK6"/>
    <mergeCell ref="O4:P4"/>
    <mergeCell ref="Q4:R4"/>
    <mergeCell ref="M5:M6"/>
    <mergeCell ref="N5:N6"/>
    <mergeCell ref="U3:AB4"/>
    <mergeCell ref="X5:X6"/>
    <mergeCell ref="O5:O6"/>
    <mergeCell ref="AB5:AB6"/>
    <mergeCell ref="S3:T4"/>
    <mergeCell ref="Q5:Q6"/>
    <mergeCell ref="BB5:BB6"/>
    <mergeCell ref="A1:N1"/>
    <mergeCell ref="A3:A6"/>
    <mergeCell ref="B3:B6"/>
    <mergeCell ref="C3:C6"/>
    <mergeCell ref="D3:D6"/>
    <mergeCell ref="E3:R3"/>
    <mergeCell ref="E4:F4"/>
    <mergeCell ref="G4:H4"/>
    <mergeCell ref="AC3:AC6"/>
    <mergeCell ref="I4:J4"/>
    <mergeCell ref="K4:L4"/>
    <mergeCell ref="BC3:BC6"/>
    <mergeCell ref="AQ5:AQ6"/>
    <mergeCell ref="AR5:AR6"/>
    <mergeCell ref="AT5:AT6"/>
    <mergeCell ref="AY5:AY6"/>
    <mergeCell ref="AZ5:AZ6"/>
    <mergeCell ref="AU5:AU6"/>
    <mergeCell ref="BA5:B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L52" sqref="L52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10.625" style="2" customWidth="1"/>
    <col min="5" max="5" width="10.125" style="2" bestFit="1" customWidth="1"/>
    <col min="6" max="6" width="9.875" style="2" customWidth="1"/>
    <col min="7" max="7" width="9.25390625" style="2" customWidth="1"/>
    <col min="8" max="8" width="10.875" style="2" customWidth="1"/>
    <col min="9" max="9" width="10.125" style="2" customWidth="1"/>
    <col min="10" max="10" width="9.25390625" style="2" customWidth="1"/>
    <col min="11" max="11" width="10.75390625" style="2" customWidth="1"/>
    <col min="12" max="12" width="10.375" style="2" customWidth="1"/>
    <col min="13" max="13" width="10.125" style="2" customWidth="1"/>
    <col min="14" max="14" width="8.875" style="2" customWidth="1"/>
    <col min="15" max="15" width="11.625" style="2" customWidth="1"/>
    <col min="16" max="16" width="8.375" style="2" customWidth="1"/>
    <col min="17" max="17" width="10.75390625" style="2" customWidth="1"/>
    <col min="18" max="18" width="13.25390625" style="2" customWidth="1"/>
    <col min="19" max="16384" width="9.125" style="2" customWidth="1"/>
  </cols>
  <sheetData>
    <row r="1" ht="18.75">
      <c r="E1" s="25" t="s">
        <v>54</v>
      </c>
    </row>
    <row r="2" ht="18.75">
      <c r="E2" s="25" t="s">
        <v>55</v>
      </c>
    </row>
    <row r="5" spans="1:17" ht="12.75">
      <c r="A5" s="334" t="s">
        <v>79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</row>
    <row r="6" spans="1:17" ht="12.75">
      <c r="A6" s="333" t="s">
        <v>93</v>
      </c>
      <c r="B6" s="333"/>
      <c r="C6" s="333"/>
      <c r="D6" s="333"/>
      <c r="E6" s="333"/>
      <c r="F6" s="333"/>
      <c r="G6" s="333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12.75">
      <c r="A7" s="26"/>
      <c r="B7" s="26"/>
      <c r="C7" s="26"/>
      <c r="D7" s="26"/>
      <c r="E7" s="26"/>
      <c r="F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5" ht="13.5" thickBot="1">
      <c r="A8" s="27" t="s">
        <v>56</v>
      </c>
      <c r="D8" s="4"/>
      <c r="E8" s="27">
        <v>8.65</v>
      </c>
    </row>
    <row r="9" spans="1:18" ht="12.75" customHeight="1">
      <c r="A9" s="303" t="s">
        <v>57</v>
      </c>
      <c r="B9" s="336" t="s">
        <v>1</v>
      </c>
      <c r="C9" s="339" t="s">
        <v>58</v>
      </c>
      <c r="D9" s="342" t="s">
        <v>3</v>
      </c>
      <c r="E9" s="352" t="s">
        <v>59</v>
      </c>
      <c r="F9" s="353"/>
      <c r="G9" s="361" t="str">
        <f>Лист1!AF3</f>
        <v>Доходы по нежил.помещениям</v>
      </c>
      <c r="H9" s="367" t="s">
        <v>75</v>
      </c>
      <c r="I9" s="368"/>
      <c r="J9" s="346" t="s">
        <v>10</v>
      </c>
      <c r="K9" s="330"/>
      <c r="L9" s="330"/>
      <c r="M9" s="330"/>
      <c r="N9" s="330"/>
      <c r="O9" s="347"/>
      <c r="P9" s="371" t="s">
        <v>88</v>
      </c>
      <c r="Q9" s="364" t="s">
        <v>60</v>
      </c>
      <c r="R9" s="364" t="s">
        <v>12</v>
      </c>
    </row>
    <row r="10" spans="1:18" ht="12.75" customHeight="1" thickBot="1">
      <c r="A10" s="304"/>
      <c r="B10" s="337"/>
      <c r="C10" s="340"/>
      <c r="D10" s="343"/>
      <c r="E10" s="354"/>
      <c r="F10" s="355"/>
      <c r="G10" s="362"/>
      <c r="H10" s="369"/>
      <c r="I10" s="370"/>
      <c r="J10" s="348"/>
      <c r="K10" s="300"/>
      <c r="L10" s="300"/>
      <c r="M10" s="300"/>
      <c r="N10" s="300"/>
      <c r="O10" s="349"/>
      <c r="P10" s="372"/>
      <c r="Q10" s="365"/>
      <c r="R10" s="365"/>
    </row>
    <row r="11" spans="1:18" ht="26.25" customHeight="1">
      <c r="A11" s="304"/>
      <c r="B11" s="337"/>
      <c r="C11" s="340"/>
      <c r="D11" s="344"/>
      <c r="E11" s="374" t="s">
        <v>61</v>
      </c>
      <c r="F11" s="375"/>
      <c r="G11" s="362"/>
      <c r="H11" s="77" t="s">
        <v>62</v>
      </c>
      <c r="I11" s="376" t="s">
        <v>7</v>
      </c>
      <c r="J11" s="378" t="s">
        <v>63</v>
      </c>
      <c r="K11" s="350" t="s">
        <v>32</v>
      </c>
      <c r="L11" s="350" t="s">
        <v>64</v>
      </c>
      <c r="M11" s="350" t="s">
        <v>37</v>
      </c>
      <c r="N11" s="350" t="s">
        <v>65</v>
      </c>
      <c r="O11" s="356" t="s">
        <v>39</v>
      </c>
      <c r="P11" s="372"/>
      <c r="Q11" s="365"/>
      <c r="R11" s="365"/>
    </row>
    <row r="12" spans="1:18" ht="66.75" customHeight="1" thickBot="1">
      <c r="A12" s="335"/>
      <c r="B12" s="338"/>
      <c r="C12" s="341"/>
      <c r="D12" s="345"/>
      <c r="E12" s="28" t="s">
        <v>66</v>
      </c>
      <c r="F12" s="29" t="s">
        <v>21</v>
      </c>
      <c r="G12" s="363"/>
      <c r="H12" s="30" t="s">
        <v>76</v>
      </c>
      <c r="I12" s="377"/>
      <c r="J12" s="379"/>
      <c r="K12" s="351"/>
      <c r="L12" s="351"/>
      <c r="M12" s="351"/>
      <c r="N12" s="351"/>
      <c r="O12" s="357"/>
      <c r="P12" s="373"/>
      <c r="Q12" s="366"/>
      <c r="R12" s="366"/>
    </row>
    <row r="13" spans="1:18" ht="13.5" thickBot="1">
      <c r="A13" s="31">
        <v>1</v>
      </c>
      <c r="B13" s="32">
        <v>2</v>
      </c>
      <c r="C13" s="33">
        <v>3</v>
      </c>
      <c r="D13" s="31">
        <v>4</v>
      </c>
      <c r="E13" s="32">
        <v>5</v>
      </c>
      <c r="F13" s="34">
        <v>6</v>
      </c>
      <c r="G13" s="35">
        <v>7</v>
      </c>
      <c r="H13" s="76">
        <v>8</v>
      </c>
      <c r="I13" s="32">
        <v>9</v>
      </c>
      <c r="J13" s="97">
        <v>10</v>
      </c>
      <c r="K13" s="32">
        <v>11</v>
      </c>
      <c r="L13" s="32">
        <v>12</v>
      </c>
      <c r="M13" s="32">
        <v>13</v>
      </c>
      <c r="N13" s="32">
        <v>14</v>
      </c>
      <c r="O13" s="34">
        <v>15</v>
      </c>
      <c r="P13" s="32">
        <v>16</v>
      </c>
      <c r="Q13" s="34">
        <v>17</v>
      </c>
      <c r="R13" s="34">
        <v>18</v>
      </c>
    </row>
    <row r="14" spans="1:20" ht="12.75" hidden="1">
      <c r="A14" s="6" t="s">
        <v>43</v>
      </c>
      <c r="B14" s="54"/>
      <c r="C14" s="44"/>
      <c r="D14" s="45"/>
      <c r="E14" s="46"/>
      <c r="F14" s="47"/>
      <c r="G14" s="90"/>
      <c r="H14" s="48"/>
      <c r="I14" s="91"/>
      <c r="J14" s="49"/>
      <c r="K14" s="46"/>
      <c r="L14" s="46"/>
      <c r="M14" s="55"/>
      <c r="N14" s="55"/>
      <c r="O14" s="92"/>
      <c r="P14" s="132"/>
      <c r="Q14" s="56"/>
      <c r="R14" s="56"/>
      <c r="S14" s="1"/>
      <c r="T14" s="1"/>
    </row>
    <row r="15" spans="1:20" ht="12.75" hidden="1">
      <c r="A15" s="8" t="s">
        <v>44</v>
      </c>
      <c r="B15" s="9">
        <f>Лист1!B9</f>
        <v>4308.3</v>
      </c>
      <c r="C15" s="36">
        <f>Лист1!C9</f>
        <v>37266.795000000006</v>
      </c>
      <c r="D15" s="37">
        <f>Лист1!D9</f>
        <v>4658.349375000001</v>
      </c>
      <c r="E15" s="15">
        <f>Лист1!S9</f>
        <v>23772.65</v>
      </c>
      <c r="F15" s="17">
        <f>Лист1!T9</f>
        <v>5559.410000000001</v>
      </c>
      <c r="G15" s="93">
        <f>Лист1!AF9</f>
        <v>0</v>
      </c>
      <c r="H15" s="38">
        <f>Лист1!AB9</f>
        <v>16349.92</v>
      </c>
      <c r="I15" s="94">
        <f>Лист1!AC9</f>
        <v>26567.679375000003</v>
      </c>
      <c r="J15" s="39">
        <f>Лист1!AG9</f>
        <v>2326.482</v>
      </c>
      <c r="K15" s="15">
        <f>Лист1!AI9+Лист1!AJ9</f>
        <v>3746.4783882999996</v>
      </c>
      <c r="L15" s="15">
        <f>Лист1!AH9+Лист1!AK9+Лист1!AL9+Лист1!AM9+Лист1!AN9+Лист1!AO9+Лист1!AP9+Лист1!AQ9+Лист1!AR9</f>
        <v>12866.985763416002</v>
      </c>
      <c r="M15" s="16">
        <f>Лист1!AS9+Лист1!AU9+Лист1!AT9</f>
        <v>13541.69</v>
      </c>
      <c r="N15" s="16">
        <f>Лист1!AX9</f>
        <v>2114.56</v>
      </c>
      <c r="O15" s="95">
        <f>Лист1!BB9</f>
        <v>34596.196151716</v>
      </c>
      <c r="P15" s="133">
        <f>Лист1!BC9</f>
        <v>0</v>
      </c>
      <c r="Q15" s="40">
        <f>Лист1!BD9</f>
        <v>-8028.516776715998</v>
      </c>
      <c r="R15" s="40">
        <f>Лист1!BE9</f>
        <v>-7422.730000000001</v>
      </c>
      <c r="S15" s="1"/>
      <c r="T15" s="1"/>
    </row>
    <row r="16" spans="1:20" ht="12.75" hidden="1">
      <c r="A16" s="8" t="s">
        <v>45</v>
      </c>
      <c r="B16" s="9">
        <f>Лист1!B10</f>
        <v>4308.3</v>
      </c>
      <c r="C16" s="36">
        <f>Лист1!C10</f>
        <v>37266.795000000006</v>
      </c>
      <c r="D16" s="37">
        <f>Лист1!D10</f>
        <v>4658.349375000001</v>
      </c>
      <c r="E16" s="15">
        <f>Лист1!S10</f>
        <v>24562.21</v>
      </c>
      <c r="F16" s="17">
        <f>Лист1!T10</f>
        <v>5903.09</v>
      </c>
      <c r="G16" s="93">
        <f>Лист1!AF10</f>
        <v>0</v>
      </c>
      <c r="H16" s="38">
        <f>Лист1!AB10</f>
        <v>16918.56</v>
      </c>
      <c r="I16" s="94">
        <f>Лист1!AC10</f>
        <v>27479.999375000003</v>
      </c>
      <c r="J16" s="39">
        <f>Лист1!AG10</f>
        <v>2326.482</v>
      </c>
      <c r="K16" s="15">
        <f>Лист1!AI10+Лист1!AJ10</f>
        <v>3742.1807633999997</v>
      </c>
      <c r="L16" s="15">
        <f>Лист1!AH10+Лист1!AK10+Лист1!AL10+Лист1!AM10+Лист1!AN10+Лист1!AO10+Лист1!AP10+Лист1!AQ10+Лист1!AR10</f>
        <v>12885.138182303997</v>
      </c>
      <c r="M16" s="16">
        <f>Лист1!AS10+Лист1!AU10+Лист1!AT10</f>
        <v>9081.28</v>
      </c>
      <c r="N16" s="16">
        <f>Лист1!AX10</f>
        <v>1330.8512</v>
      </c>
      <c r="O16" s="95">
        <f>Лист1!BB10</f>
        <v>29365.932145704</v>
      </c>
      <c r="P16" s="133">
        <f>Лист1!BC10</f>
        <v>0</v>
      </c>
      <c r="Q16" s="40">
        <f>Лист1!BD10</f>
        <v>-1885.9327707039956</v>
      </c>
      <c r="R16" s="40">
        <f>Лист1!BE10</f>
        <v>-7643.649999999998</v>
      </c>
      <c r="S16" s="1"/>
      <c r="T16" s="1"/>
    </row>
    <row r="17" spans="1:20" ht="12.75" hidden="1">
      <c r="A17" s="8" t="s">
        <v>46</v>
      </c>
      <c r="B17" s="9">
        <f>Лист1!B11</f>
        <v>4308.32</v>
      </c>
      <c r="C17" s="36">
        <f>Лист1!C11</f>
        <v>37266.968</v>
      </c>
      <c r="D17" s="37">
        <f>Лист1!D11</f>
        <v>4658.371</v>
      </c>
      <c r="E17" s="15">
        <f>Лист1!S11</f>
        <v>24201.2</v>
      </c>
      <c r="F17" s="17">
        <f>Лист1!T11</f>
        <v>5991.539999999999</v>
      </c>
      <c r="G17" s="93">
        <f>Лист1!AF11</f>
        <v>0</v>
      </c>
      <c r="H17" s="38">
        <f>Лист1!AB11</f>
        <v>22609.77</v>
      </c>
      <c r="I17" s="94">
        <f>Лист1!AC11</f>
        <v>33259.681</v>
      </c>
      <c r="J17" s="39">
        <f>Лист1!AG11</f>
        <v>2326.4928</v>
      </c>
      <c r="K17" s="15">
        <f>Лист1!AI11+Лист1!AJ11</f>
        <v>3748.6800028</v>
      </c>
      <c r="L17" s="15">
        <f>Лист1!AH11+Лист1!AK11+Лист1!AL11+Лист1!AM11+Лист1!AN11+Лист1!AO11+Лист1!AP11+Лист1!AQ11+Лист1!AR11</f>
        <v>25080.785921673596</v>
      </c>
      <c r="M17" s="16">
        <f>Лист1!AS11+Лист1!AU11+Лист1!AT11</f>
        <v>7628.7</v>
      </c>
      <c r="N17" s="16">
        <f>Лист1!AX11</f>
        <v>1139.2192</v>
      </c>
      <c r="O17" s="95">
        <f>Лист1!BB11</f>
        <v>39923.87792447359</v>
      </c>
      <c r="P17" s="133">
        <f>Лист1!BC11</f>
        <v>0</v>
      </c>
      <c r="Q17" s="40">
        <f>Лист1!BD11</f>
        <v>-6664.196924473596</v>
      </c>
      <c r="R17" s="40">
        <f>Лист1!BE11</f>
        <v>-1591.4300000000003</v>
      </c>
      <c r="S17" s="1"/>
      <c r="T17" s="1"/>
    </row>
    <row r="18" spans="1:20" ht="12.75" hidden="1">
      <c r="A18" s="8" t="s">
        <v>47</v>
      </c>
      <c r="B18" s="9">
        <f>Лист1!B12</f>
        <v>4308.32</v>
      </c>
      <c r="C18" s="36">
        <f>Лист1!C12</f>
        <v>37266.968</v>
      </c>
      <c r="D18" s="37">
        <f>Лист1!D12</f>
        <v>4658.371</v>
      </c>
      <c r="E18" s="15">
        <f>Лист1!S12</f>
        <v>25053.760000000002</v>
      </c>
      <c r="F18" s="17">
        <f>Лист1!T12</f>
        <v>5725.0599999999995</v>
      </c>
      <c r="G18" s="93">
        <f>Лист1!AF12</f>
        <v>0</v>
      </c>
      <c r="H18" s="38">
        <f>Лист1!AB12</f>
        <v>18183.92</v>
      </c>
      <c r="I18" s="94">
        <f>Лист1!AC12</f>
        <v>28567.350999999995</v>
      </c>
      <c r="J18" s="39">
        <f>Лист1!AG12</f>
        <v>2326.4928</v>
      </c>
      <c r="K18" s="15">
        <f>Лист1!AI12+Лист1!AJ12</f>
        <v>3860.6002472639993</v>
      </c>
      <c r="L18" s="15">
        <f>Лист1!AH12+Лист1!AK12+Лист1!AL12+Лист1!AM12+Лист1!AN12+Лист1!AO12+Лист1!AP12+Лист1!AQ12+Лист1!AR12</f>
        <v>22185.401735955198</v>
      </c>
      <c r="M18" s="16">
        <f>Лист1!AS12+Лист1!AU12+Лист1!AT12</f>
        <v>17861.966800000002</v>
      </c>
      <c r="N18" s="16">
        <f>Лист1!AX12</f>
        <v>1063.8880000000001</v>
      </c>
      <c r="O18" s="95">
        <f>Лист1!BB12</f>
        <v>47298.3495832192</v>
      </c>
      <c r="P18" s="133">
        <f>Лист1!BC12</f>
        <v>0</v>
      </c>
      <c r="Q18" s="40">
        <f>Лист1!BD12</f>
        <v>-18730.998583219203</v>
      </c>
      <c r="R18" s="40">
        <f>Лист1!BE12</f>
        <v>-6869.840000000004</v>
      </c>
      <c r="S18" s="1"/>
      <c r="T18" s="1"/>
    </row>
    <row r="19" spans="1:20" ht="12.75" hidden="1">
      <c r="A19" s="8" t="s">
        <v>48</v>
      </c>
      <c r="B19" s="9">
        <f>Лист1!B13</f>
        <v>4308.3</v>
      </c>
      <c r="C19" s="36">
        <f>Лист1!C13</f>
        <v>37266.795000000006</v>
      </c>
      <c r="D19" s="37">
        <f>Лист1!D13</f>
        <v>3668.865000000006</v>
      </c>
      <c r="E19" s="15">
        <f>Лист1!S13</f>
        <v>27382.14</v>
      </c>
      <c r="F19" s="17">
        <f>Лист1!T13</f>
        <v>6215.79</v>
      </c>
      <c r="G19" s="93">
        <f>Лист1!AF13</f>
        <v>0</v>
      </c>
      <c r="H19" s="38">
        <f>Лист1!AB13</f>
        <v>23066.510000000002</v>
      </c>
      <c r="I19" s="94">
        <f>Лист1!AC13</f>
        <v>32951.16500000001</v>
      </c>
      <c r="J19" s="39">
        <f>Лист1!AG13</f>
        <v>2584.98</v>
      </c>
      <c r="K19" s="15">
        <f>Лист1!AI13+Лист1!AJ13</f>
        <v>4321.2249</v>
      </c>
      <c r="L19" s="15">
        <f>Лист1!AH13+Лист1!AK13+Лист1!AL13+Лист1!AM13+Лист1!AN13+Лист1!AO13+Лист1!AP13+Лист1!AQ13+Лист1!AR13</f>
        <v>14799.872159999999</v>
      </c>
      <c r="M19" s="16">
        <f>Лист1!AS13+Лист1!AU13+Лист1!AT13</f>
        <v>46427.69</v>
      </c>
      <c r="N19" s="16">
        <f>Лист1!AX13</f>
        <v>775.7792000000001</v>
      </c>
      <c r="O19" s="95">
        <f>Лист1!BB13</f>
        <v>68909.54626</v>
      </c>
      <c r="P19" s="133">
        <f>Лист1!BC13</f>
        <v>0</v>
      </c>
      <c r="Q19" s="40">
        <f>Лист1!BD13</f>
        <v>-35958.381259999995</v>
      </c>
      <c r="R19" s="40">
        <f>Лист1!BE13</f>
        <v>-4315.629999999997</v>
      </c>
      <c r="S19" s="1"/>
      <c r="T19" s="1"/>
    </row>
    <row r="20" spans="1:20" ht="12.75" hidden="1">
      <c r="A20" s="8" t="s">
        <v>49</v>
      </c>
      <c r="B20" s="9">
        <f>Лист1!B14</f>
        <v>4308.3</v>
      </c>
      <c r="C20" s="36">
        <f>Лист1!C14</f>
        <v>37266.795000000006</v>
      </c>
      <c r="D20" s="37">
        <f>Лист1!D14</f>
        <v>3988.2550000000037</v>
      </c>
      <c r="E20" s="15">
        <f>Лист1!S14</f>
        <v>26909.72</v>
      </c>
      <c r="F20" s="17">
        <f>Лист1!T14</f>
        <v>6368.820000000001</v>
      </c>
      <c r="G20" s="93">
        <f>Лист1!AF14</f>
        <v>0</v>
      </c>
      <c r="H20" s="38">
        <f>Лист1!AB14</f>
        <v>26153.31</v>
      </c>
      <c r="I20" s="94">
        <f>Лист1!AC14</f>
        <v>36510.385</v>
      </c>
      <c r="J20" s="39">
        <f>Лист1!AG14</f>
        <v>2584.98</v>
      </c>
      <c r="K20" s="15">
        <f>Лист1!AI14+Лист1!AJ14</f>
        <v>4321.2249</v>
      </c>
      <c r="L20" s="15">
        <f>Лист1!AH14+Лист1!AK14+Лист1!AL14+Лист1!AM14+Лист1!AN14+Лист1!AO14+Лист1!AP14+Лист1!AQ14+Лист1!AR14</f>
        <v>34335.962306999994</v>
      </c>
      <c r="M20" s="16">
        <f>Лист1!AS14+Лист1!AU14+Лист1!AT14</f>
        <v>32180.4526</v>
      </c>
      <c r="N20" s="16">
        <f>Лист1!AX14</f>
        <v>1132.6112</v>
      </c>
      <c r="O20" s="95">
        <f>Лист1!BB14</f>
        <v>74555.231007</v>
      </c>
      <c r="P20" s="133">
        <f>Лист1!BC14</f>
        <v>0</v>
      </c>
      <c r="Q20" s="40">
        <f>Лист1!BD14</f>
        <v>-38044.84600699999</v>
      </c>
      <c r="R20" s="40">
        <f>Лист1!BE14</f>
        <v>-756.4099999999999</v>
      </c>
      <c r="S20" s="1"/>
      <c r="T20" s="1"/>
    </row>
    <row r="21" spans="1:20" ht="12.75" hidden="1">
      <c r="A21" s="8" t="s">
        <v>50</v>
      </c>
      <c r="B21" s="9">
        <f>Лист1!B15</f>
        <v>4307.1</v>
      </c>
      <c r="C21" s="36">
        <f>Лист1!C15</f>
        <v>37256.41500000001</v>
      </c>
      <c r="D21" s="37">
        <f>Лист1!D15</f>
        <v>5354.0750000000035</v>
      </c>
      <c r="E21" s="15">
        <f>Лист1!S15</f>
        <v>25488.33</v>
      </c>
      <c r="F21" s="17">
        <f>Лист1!T15</f>
        <v>6414.01</v>
      </c>
      <c r="G21" s="93">
        <f>Лист1!AF15</f>
        <v>526.1678999999999</v>
      </c>
      <c r="H21" s="38">
        <f>Лист1!AB15</f>
        <v>27232.61</v>
      </c>
      <c r="I21" s="94">
        <f>Лист1!AC15</f>
        <v>39000.69500000001</v>
      </c>
      <c r="J21" s="39">
        <f>Лист1!AG15</f>
        <v>2584.26</v>
      </c>
      <c r="K21" s="15">
        <f>Лист1!AI15+Лист1!AJ15</f>
        <v>4258.24499541</v>
      </c>
      <c r="L21" s="15">
        <f>Лист1!AH15+Лист1!AK15+Лист1!AL15+Лист1!AM15+Лист1!AN15+Лист1!AO15+Лист1!AP15+Лист1!AQ15+Лист1!AR15</f>
        <v>14648.917521461997</v>
      </c>
      <c r="M21" s="16">
        <f>Лист1!AS15+Лист1!AU15+Лист1!AT15</f>
        <v>24575.4588</v>
      </c>
      <c r="N21" s="16">
        <f>Лист1!AX15</f>
        <v>923.7984000000001</v>
      </c>
      <c r="O21" s="95">
        <f>Лист1!BB15</f>
        <v>46990.679716872</v>
      </c>
      <c r="P21" s="133">
        <f>Лист1!BC15</f>
        <v>210.25342530000003</v>
      </c>
      <c r="Q21" s="40">
        <f>Лист1!BD15</f>
        <v>-7674.070242171993</v>
      </c>
      <c r="R21" s="40">
        <f>Лист1!BE15</f>
        <v>1744.2799999999988</v>
      </c>
      <c r="S21" s="1"/>
      <c r="T21" s="1"/>
    </row>
    <row r="22" spans="1:20" ht="12.75" hidden="1">
      <c r="A22" s="8" t="s">
        <v>51</v>
      </c>
      <c r="B22" s="9">
        <f>Лист1!B16</f>
        <v>4307.1</v>
      </c>
      <c r="C22" s="36">
        <f>Лист1!C16</f>
        <v>37256.41500000001</v>
      </c>
      <c r="D22" s="37">
        <f>Лист1!D16</f>
        <v>3587.355000000005</v>
      </c>
      <c r="E22" s="15">
        <f>Лист1!S16</f>
        <v>27181.530000000002</v>
      </c>
      <c r="F22" s="17">
        <f>Лист1!T16</f>
        <v>6487.53</v>
      </c>
      <c r="G22" s="93">
        <f>Лист1!AF16</f>
        <v>526.1678999999999</v>
      </c>
      <c r="H22" s="38">
        <f>Лист1!AB16</f>
        <v>26916.84</v>
      </c>
      <c r="I22" s="94">
        <f>Лист1!AC16</f>
        <v>36991.725000000006</v>
      </c>
      <c r="J22" s="39">
        <f>Лист1!AG16</f>
        <v>2584.26</v>
      </c>
      <c r="K22" s="15">
        <f>Лист1!AI16+Лист1!AJ16</f>
        <v>4256.300985825001</v>
      </c>
      <c r="L22" s="15">
        <f>Лист1!AH16+Лист1!AK16+Лист1!AL16+Лист1!AM16+Лист1!AN16+Лист1!AO16+Лист1!AP16+Лист1!AQ16+Лист1!AR16</f>
        <v>14645.842853602002</v>
      </c>
      <c r="M22" s="16">
        <f>Лист1!AS16+Лист1!AU16+Лист1!AT16</f>
        <v>27550.8288</v>
      </c>
      <c r="N22" s="16">
        <f>Лист1!AX16</f>
        <v>874.8992000000001</v>
      </c>
      <c r="O22" s="95">
        <f>Лист1!BB16</f>
        <v>49912.131839427</v>
      </c>
      <c r="P22" s="133">
        <f>Лист1!BC16</f>
        <v>210.15789309000002</v>
      </c>
      <c r="Q22" s="40">
        <f>Лист1!BD16</f>
        <v>-12604.396832516992</v>
      </c>
      <c r="R22" s="40">
        <f>Лист1!BE16</f>
        <v>-264.6900000000023</v>
      </c>
      <c r="S22" s="1"/>
      <c r="T22" s="1"/>
    </row>
    <row r="23" spans="1:20" ht="12.75" hidden="1">
      <c r="A23" s="8" t="s">
        <v>52</v>
      </c>
      <c r="B23" s="9">
        <f>Лист1!B17</f>
        <v>4306</v>
      </c>
      <c r="C23" s="36">
        <f>Лист1!C17</f>
        <v>37246.9</v>
      </c>
      <c r="D23" s="37">
        <f>Лист1!D17</f>
        <v>3979.640000000006</v>
      </c>
      <c r="E23" s="15">
        <f>Лист1!S17</f>
        <v>26774.67</v>
      </c>
      <c r="F23" s="17">
        <f>Лист1!T17</f>
        <v>6492.59</v>
      </c>
      <c r="G23" s="93">
        <f>Лист1!AF17</f>
        <v>526.1678999999999</v>
      </c>
      <c r="H23" s="38">
        <f>Лист1!AB17</f>
        <v>23499.77</v>
      </c>
      <c r="I23" s="94">
        <f>Лист1!AC17</f>
        <v>33972.00000000001</v>
      </c>
      <c r="J23" s="39">
        <f>Лист1!AG17</f>
        <v>2583.6</v>
      </c>
      <c r="K23" s="15">
        <f>Лист1!AI17+Лист1!AJ17</f>
        <v>4254.47974344</v>
      </c>
      <c r="L23" s="15">
        <f>Лист1!AH17+Лист1!AK17+Лист1!AL17+Лист1!AM17+Лист1!AN17+Лист1!AO17+Лист1!AP17+Лист1!AQ17+Лист1!AR17</f>
        <v>14641.234037752</v>
      </c>
      <c r="M23" s="16">
        <f>Лист1!AS17+Лист1!AU17+Лист1!AT17</f>
        <v>0</v>
      </c>
      <c r="N23" s="16">
        <f>Лист1!AX17</f>
        <v>1342.7456</v>
      </c>
      <c r="O23" s="95">
        <f>Лист1!BB17</f>
        <v>22822.059381191997</v>
      </c>
      <c r="P23" s="133">
        <f>Лист1!BC17</f>
        <v>210.126107961</v>
      </c>
      <c r="Q23" s="40">
        <f>Лист1!BD17</f>
        <v>11465.982410847011</v>
      </c>
      <c r="R23" s="40">
        <f>Лист1!BE17</f>
        <v>-3274.899999999998</v>
      </c>
      <c r="S23" s="1"/>
      <c r="T23" s="1"/>
    </row>
    <row r="24" spans="1:20" ht="12.75" hidden="1">
      <c r="A24" s="8" t="s">
        <v>40</v>
      </c>
      <c r="B24" s="9">
        <f>Лист1!B18</f>
        <v>4329.32</v>
      </c>
      <c r="C24" s="36">
        <f>Лист1!C18</f>
        <v>37448.618</v>
      </c>
      <c r="D24" s="37">
        <f>Лист1!D18</f>
        <v>3809.7980000000043</v>
      </c>
      <c r="E24" s="15">
        <f>Лист1!S18</f>
        <v>27027.39</v>
      </c>
      <c r="F24" s="17">
        <f>Лист1!T18</f>
        <v>6611.430000000001</v>
      </c>
      <c r="G24" s="93">
        <f>Лист1!AF18</f>
        <v>755.7711199999999</v>
      </c>
      <c r="H24" s="38">
        <f>Лист1!AB18</f>
        <v>27671.75</v>
      </c>
      <c r="I24" s="94">
        <f>Лист1!AC18</f>
        <v>38092.978</v>
      </c>
      <c r="J24" s="39">
        <f>Лист1!AG18</f>
        <v>2597.5919999999996</v>
      </c>
      <c r="K24" s="15">
        <f>Лист1!AI18+Лист1!AJ18</f>
        <v>4326.9821672</v>
      </c>
      <c r="L24" s="15">
        <f>Лист1!AH18+Лист1!AK18+Лист1!AL18+Лист1!AM18+Лист1!AN18+Лист1!AO18+Лист1!AP18+Лист1!AQ18+Лист1!AR18</f>
        <v>22844.998208</v>
      </c>
      <c r="M24" s="16">
        <f>Лист1!AS18+Лист1!AU18+Лист1!AT18</f>
        <v>5328.5732</v>
      </c>
      <c r="N24" s="16">
        <f>Лист1!AX18</f>
        <v>1184.1536</v>
      </c>
      <c r="O24" s="95">
        <f>Лист1!BB18</f>
        <v>36282.299175199994</v>
      </c>
      <c r="P24" s="133">
        <f>Лист1!BC18</f>
        <v>321.053444</v>
      </c>
      <c r="Q24" s="40">
        <f>Лист1!BD18</f>
        <v>2245.396500800006</v>
      </c>
      <c r="R24" s="40">
        <f>Лист1!BE18</f>
        <v>644.3600000000006</v>
      </c>
      <c r="S24" s="1"/>
      <c r="T24" s="1"/>
    </row>
    <row r="25" spans="1:20" ht="12.75" hidden="1">
      <c r="A25" s="8" t="s">
        <v>41</v>
      </c>
      <c r="B25" s="9">
        <f>Лист1!B19</f>
        <v>4305.92</v>
      </c>
      <c r="C25" s="36">
        <f>Лист1!C19</f>
        <v>37246.208</v>
      </c>
      <c r="D25" s="37">
        <f>Лист1!D19</f>
        <v>3632.7679999999955</v>
      </c>
      <c r="E25" s="15">
        <f>Лист1!S19</f>
        <v>27040.28</v>
      </c>
      <c r="F25" s="17">
        <f>Лист1!T19</f>
        <v>6573.16</v>
      </c>
      <c r="G25" s="93">
        <f>Лист1!AF19</f>
        <v>755.7711199999999</v>
      </c>
      <c r="H25" s="38">
        <f>Лист1!AB19</f>
        <v>26225.160000000003</v>
      </c>
      <c r="I25" s="94">
        <f>Лист1!AC19</f>
        <v>36431.088</v>
      </c>
      <c r="J25" s="39">
        <f>Лист1!AG19</f>
        <v>2583.552</v>
      </c>
      <c r="K25" s="15">
        <f>Лист1!AI19+Лист1!AJ19</f>
        <v>4318.83776</v>
      </c>
      <c r="L25" s="15">
        <f>Лист1!AH19+Лист1!AK19+Лист1!AL19+Лист1!AM19+Лист1!AN19+Лист1!AO19+Лист1!AP19+Лист1!AQ19+Лист1!AR19</f>
        <v>14783.084544</v>
      </c>
      <c r="M25" s="16">
        <f>Лист1!AS19+Лист1!AU19+Лист1!AT19</f>
        <v>8090.08</v>
      </c>
      <c r="N25" s="16">
        <f>Лист1!AX19</f>
        <v>1443.1872</v>
      </c>
      <c r="O25" s="95">
        <f>Лист1!BB19</f>
        <v>31218.741503999998</v>
      </c>
      <c r="P25" s="133">
        <f>Лист1!BC19</f>
        <v>321.50268</v>
      </c>
      <c r="Q25" s="40">
        <f>Лист1!BD19</f>
        <v>5646.614936000004</v>
      </c>
      <c r="R25" s="40">
        <f>Лист1!BE19</f>
        <v>-815.1199999999953</v>
      </c>
      <c r="S25" s="1"/>
      <c r="T25" s="1"/>
    </row>
    <row r="26" spans="1:20" ht="15" customHeight="1" hidden="1" thickBot="1">
      <c r="A26" s="41" t="s">
        <v>42</v>
      </c>
      <c r="B26" s="129">
        <f>Лист1!B20</f>
        <v>4305.92</v>
      </c>
      <c r="C26" s="36">
        <f>Лист1!C20</f>
        <v>37246.208</v>
      </c>
      <c r="D26" s="37">
        <f>Лист1!D20</f>
        <v>3582.0279999999984</v>
      </c>
      <c r="E26" s="15">
        <f>Лист1!S20</f>
        <v>27067.62</v>
      </c>
      <c r="F26" s="17">
        <f>Лист1!T20</f>
        <v>6596.5599999999995</v>
      </c>
      <c r="G26" s="93">
        <f>Лист1!AF20</f>
        <v>755.7711199999999</v>
      </c>
      <c r="H26" s="38">
        <f>Лист1!AB20</f>
        <v>33921.1</v>
      </c>
      <c r="I26" s="94">
        <f>Лист1!AC20</f>
        <v>44099.687999999995</v>
      </c>
      <c r="J26" s="39">
        <f>Лист1!AG20</f>
        <v>2583.552</v>
      </c>
      <c r="K26" s="15">
        <f>Лист1!AI20+Лист1!AJ20</f>
        <v>4318.83776</v>
      </c>
      <c r="L26" s="15">
        <f>Лист1!AH20+Лист1!AK20+Лист1!AL20+Лист1!AM20+Лист1!AN20+Лист1!AO20+Лист1!AP20+Лист1!AQ20+Лист1!AR20</f>
        <v>14783.084544</v>
      </c>
      <c r="M26" s="16">
        <f>Лист1!AS20+Лист1!AU20+Лист1!AT20</f>
        <v>4533.5599999999995</v>
      </c>
      <c r="N26" s="16">
        <f>Лист1!AX20</f>
        <v>1662.5728</v>
      </c>
      <c r="O26" s="95">
        <f>Лист1!BB20</f>
        <v>27881.607103999995</v>
      </c>
      <c r="P26" s="133">
        <f>Лист1!BC20</f>
        <v>321.50268</v>
      </c>
      <c r="Q26" s="40">
        <f>Лист1!BD20</f>
        <v>16652.349335999996</v>
      </c>
      <c r="R26" s="40">
        <f>Лист1!BE20</f>
        <v>6853.48</v>
      </c>
      <c r="S26" s="1"/>
      <c r="T26" s="1"/>
    </row>
    <row r="27" spans="1:20" ht="15" customHeight="1" thickBot="1">
      <c r="A27" s="131" t="s">
        <v>53</v>
      </c>
      <c r="B27" s="130"/>
      <c r="C27" s="128">
        <f>SUM(C15:C26)</f>
        <v>447301.88000000006</v>
      </c>
      <c r="D27" s="42">
        <f aca="true" t="shared" si="0" ref="D27:R27">SUM(D15:D26)</f>
        <v>50236.22475000002</v>
      </c>
      <c r="E27" s="42">
        <f t="shared" si="0"/>
        <v>312461.5</v>
      </c>
      <c r="F27" s="42">
        <f t="shared" si="0"/>
        <v>74938.98999999999</v>
      </c>
      <c r="G27" s="42">
        <f t="shared" si="0"/>
        <v>3845.8170599999994</v>
      </c>
      <c r="H27" s="42">
        <f t="shared" si="0"/>
        <v>288749.22</v>
      </c>
      <c r="I27" s="42">
        <f t="shared" si="0"/>
        <v>413924.43475</v>
      </c>
      <c r="J27" s="42">
        <f t="shared" si="0"/>
        <v>29992.7256</v>
      </c>
      <c r="K27" s="42">
        <f t="shared" si="0"/>
        <v>49474.072613639</v>
      </c>
      <c r="L27" s="42">
        <f t="shared" si="0"/>
        <v>218501.3077791648</v>
      </c>
      <c r="M27" s="42">
        <f t="shared" si="0"/>
        <v>196800.2802</v>
      </c>
      <c r="N27" s="42">
        <f>SUM(N15:N26)</f>
        <v>14988.2656</v>
      </c>
      <c r="O27" s="42">
        <f>SUM(O15:O26)</f>
        <v>509756.6517928037</v>
      </c>
      <c r="P27" s="42">
        <f>SUM(P15:P26)</f>
        <v>1594.596230351</v>
      </c>
      <c r="Q27" s="42">
        <f t="shared" si="0"/>
        <v>-93580.99621315477</v>
      </c>
      <c r="R27" s="88">
        <f t="shared" si="0"/>
        <v>-23712.279999999995</v>
      </c>
      <c r="S27" s="1"/>
      <c r="T27" s="1"/>
    </row>
    <row r="28" spans="1:20" ht="15" customHeight="1">
      <c r="A28" s="168" t="s">
        <v>89</v>
      </c>
      <c r="B28" s="169"/>
      <c r="C28" s="170"/>
      <c r="D28" s="170"/>
      <c r="E28" s="171"/>
      <c r="F28" s="171"/>
      <c r="G28" s="170"/>
      <c r="H28" s="170"/>
      <c r="I28" s="170"/>
      <c r="J28" s="170"/>
      <c r="K28" s="171"/>
      <c r="L28" s="171"/>
      <c r="M28" s="171"/>
      <c r="N28" s="171"/>
      <c r="O28" s="171"/>
      <c r="P28" s="170"/>
      <c r="Q28" s="170"/>
      <c r="R28" s="172"/>
      <c r="S28" s="1"/>
      <c r="T28" s="1"/>
    </row>
    <row r="29" spans="1:20" ht="12" customHeight="1">
      <c r="A29" s="8" t="s">
        <v>44</v>
      </c>
      <c r="B29" s="9">
        <f>Лист1!B23</f>
        <v>4305.92</v>
      </c>
      <c r="C29" s="176">
        <f>Лист1!C23</f>
        <v>37246.208</v>
      </c>
      <c r="D29" s="176">
        <f>Лист1!D23</f>
        <v>3569.2180000000017</v>
      </c>
      <c r="E29" s="15">
        <f>Лист1!S23</f>
        <v>27098.690000000002</v>
      </c>
      <c r="F29" s="15">
        <f>Лист1!T23</f>
        <v>6578.299999999999</v>
      </c>
      <c r="G29" s="177">
        <f>Лист1!AF23</f>
        <v>755.7711199999999</v>
      </c>
      <c r="H29" s="15">
        <f>Лист1!AB23</f>
        <v>17217.98</v>
      </c>
      <c r="I29" s="177">
        <f>Лист1!AC23</f>
        <v>27365.498</v>
      </c>
      <c r="J29" s="15">
        <f>Лист1!AG23</f>
        <v>2583.552</v>
      </c>
      <c r="K29" s="15">
        <f>Лист1!AI23+Лист1!AJ23</f>
        <v>4305.92</v>
      </c>
      <c r="L29" s="15">
        <f>Лист1!AH23+Лист1!AK23+Лист1!AL23+Лист1!AM23+Лист1!AN23+Лист1!AO23+Лист1!AP23+Лист1!AQ23+Лист1!AR23</f>
        <v>14769.3056</v>
      </c>
      <c r="M29" s="16">
        <f>Лист1!AS23+Лист1!AU23+Лист1!AT23</f>
        <v>10661</v>
      </c>
      <c r="N29" s="16">
        <f>Лист1!AX23</f>
        <v>1521.8</v>
      </c>
      <c r="O29" s="177">
        <f>Лист1!BB23</f>
        <v>33841.577600000004</v>
      </c>
      <c r="P29" s="177">
        <f>Лист1!BC23</f>
        <v>321.12199999999996</v>
      </c>
      <c r="Q29" s="15">
        <f>Лист1!BD23</f>
        <v>-6041.430480000004</v>
      </c>
      <c r="R29" s="17">
        <f>Лист1!BE23</f>
        <v>-9880.710000000003</v>
      </c>
      <c r="S29" s="1"/>
      <c r="T29" s="1"/>
    </row>
    <row r="30" spans="1:20" ht="12" customHeight="1">
      <c r="A30" s="8" t="s">
        <v>45</v>
      </c>
      <c r="B30" s="9">
        <f>Лист1!B24</f>
        <v>4305.92</v>
      </c>
      <c r="C30" s="176">
        <f>Лист1!C24</f>
        <v>37246.208</v>
      </c>
      <c r="D30" s="176">
        <f>Лист1!D24</f>
        <v>3506.6180000000036</v>
      </c>
      <c r="E30" s="15">
        <f>Лист1!S24</f>
        <v>27257.61</v>
      </c>
      <c r="F30" s="15">
        <f>Лист1!T24</f>
        <v>6481.9800000000005</v>
      </c>
      <c r="G30" s="177">
        <f>Лист1!AF24</f>
        <v>755.7711199999999</v>
      </c>
      <c r="H30" s="15">
        <f>Лист1!AB24</f>
        <v>28269.360000000004</v>
      </c>
      <c r="I30" s="177">
        <f>Лист1!AC24</f>
        <v>38257.958000000006</v>
      </c>
      <c r="J30" s="15">
        <f>Лист1!AG24</f>
        <v>2583.552</v>
      </c>
      <c r="K30" s="15">
        <f>Лист1!AI24+Лист1!AJ24</f>
        <v>4305.92</v>
      </c>
      <c r="L30" s="15">
        <f>Лист1!AH24+Лист1!AK24+Лист1!AL24+Лист1!AM24+Лист1!AN24+Лист1!AO24+Лист1!AP24+Лист1!AQ24+Лист1!AR24</f>
        <v>14769.3056</v>
      </c>
      <c r="M30" s="16">
        <f>Лист1!AS24+Лист1!AU24+Лист1!AT24</f>
        <v>1812</v>
      </c>
      <c r="N30" s="16">
        <f>Лист1!AX24</f>
        <v>1332.8</v>
      </c>
      <c r="O30" s="177">
        <f>Лист1!BB24</f>
        <v>24803.5776</v>
      </c>
      <c r="P30" s="177">
        <f>Лист1!BC24</f>
        <v>321.12199999999996</v>
      </c>
      <c r="Q30" s="15">
        <f>Лист1!BD24</f>
        <v>13889.029520000004</v>
      </c>
      <c r="R30" s="17">
        <f>Лист1!BE24</f>
        <v>1011.7500000000036</v>
      </c>
      <c r="S30" s="1"/>
      <c r="T30" s="1"/>
    </row>
    <row r="31" spans="1:20" ht="12" customHeight="1">
      <c r="A31" s="8" t="s">
        <v>46</v>
      </c>
      <c r="B31" s="9">
        <f>Лист1!B25</f>
        <v>4305.92</v>
      </c>
      <c r="C31" s="176">
        <f>Лист1!C25</f>
        <v>37246.208</v>
      </c>
      <c r="D31" s="176">
        <f>Лист1!D25</f>
        <v>3498.1779999999953</v>
      </c>
      <c r="E31" s="15">
        <f>Лист1!S25</f>
        <v>27304.540000000005</v>
      </c>
      <c r="F31" s="15">
        <f>Лист1!T25</f>
        <v>6443.49</v>
      </c>
      <c r="G31" s="177">
        <f>Лист1!AF25</f>
        <v>755.7711199999999</v>
      </c>
      <c r="H31" s="15">
        <f>Лист1!AB25</f>
        <v>24071.030000000002</v>
      </c>
      <c r="I31" s="177">
        <f>Лист1!AC25</f>
        <v>34012.698</v>
      </c>
      <c r="J31" s="15">
        <f>Лист1!AG25</f>
        <v>2583.552</v>
      </c>
      <c r="K31" s="15">
        <f>Лист1!AI25+Лист1!AJ25</f>
        <v>4305.92</v>
      </c>
      <c r="L31" s="15">
        <f>Лист1!AH25+Лист1!AK25+Лист1!AL25+Лист1!AM25+Лист1!AN25+Лист1!AO25+Лист1!AP25+Лист1!AQ25+Лист1!AR25</f>
        <v>14769.3056</v>
      </c>
      <c r="M31" s="16">
        <f>Лист1!AS25+Лист1!AU25+Лист1!AT25</f>
        <v>16209</v>
      </c>
      <c r="N31" s="16">
        <f>Лист1!AX25</f>
        <v>1115.8</v>
      </c>
      <c r="O31" s="177">
        <f>Лист1!BB25</f>
        <v>38983.577600000004</v>
      </c>
      <c r="P31" s="177">
        <f>Лист1!BC25</f>
        <v>321.12199999999996</v>
      </c>
      <c r="Q31" s="15">
        <f>Лист1!BD25</f>
        <v>-4536.23048000001</v>
      </c>
      <c r="R31" s="17">
        <f>Лист1!BE25</f>
        <v>-3233.510000000002</v>
      </c>
      <c r="S31" s="1"/>
      <c r="T31" s="1"/>
    </row>
    <row r="32" spans="1:20" ht="12" customHeight="1">
      <c r="A32" s="8" t="s">
        <v>47</v>
      </c>
      <c r="B32" s="9">
        <f>Лист1!B26</f>
        <v>4305.92</v>
      </c>
      <c r="C32" s="176">
        <f>Лист1!C26</f>
        <v>37246.208</v>
      </c>
      <c r="D32" s="176">
        <f>Лист1!D26</f>
        <v>3529.897999999993</v>
      </c>
      <c r="E32" s="15">
        <f>Лист1!S26</f>
        <v>27092.270000000004</v>
      </c>
      <c r="F32" s="15">
        <f>Лист1!T26</f>
        <v>6624.040000000001</v>
      </c>
      <c r="G32" s="177">
        <f>Лист1!AF26</f>
        <v>755.7711199999999</v>
      </c>
      <c r="H32" s="15">
        <f>Лист1!AB26</f>
        <v>18183.92</v>
      </c>
      <c r="I32" s="177">
        <f>Лист1!AC26</f>
        <v>28337.857999999993</v>
      </c>
      <c r="J32" s="15">
        <f>Лист1!AG26</f>
        <v>2583.552</v>
      </c>
      <c r="K32" s="15">
        <f>Лист1!AI26+Лист1!AJ26</f>
        <v>4305.92</v>
      </c>
      <c r="L32" s="15">
        <f>Лист1!AH26+Лист1!AK26+Лист1!AL26+Лист1!AM26+Лист1!AN26+Лист1!AO26+Лист1!AP26+Лист1!AQ26+Лист1!AR26</f>
        <v>14769.3056</v>
      </c>
      <c r="M32" s="16">
        <f>Лист1!AS26+Лист1!AU26+Лист1!AT26</f>
        <v>8395</v>
      </c>
      <c r="N32" s="16">
        <f>Лист1!AX26</f>
        <v>876.4</v>
      </c>
      <c r="O32" s="177">
        <f>Лист1!BB26</f>
        <v>30930.177600000003</v>
      </c>
      <c r="P32" s="177">
        <f>Лист1!BC26</f>
        <v>321.12199999999996</v>
      </c>
      <c r="Q32" s="15">
        <f>Лист1!BD26</f>
        <v>-2157.6704800000084</v>
      </c>
      <c r="R32" s="17">
        <f>Лист1!BE26</f>
        <v>-8908.350000000006</v>
      </c>
      <c r="S32" s="1"/>
      <c r="T32" s="1"/>
    </row>
    <row r="33" spans="1:20" ht="12" customHeight="1">
      <c r="A33" s="8" t="s">
        <v>48</v>
      </c>
      <c r="B33" s="9">
        <f>Лист1!B27</f>
        <v>4305.84</v>
      </c>
      <c r="C33" s="176">
        <f>Лист1!C27</f>
        <v>37245.516</v>
      </c>
      <c r="D33" s="176">
        <f>Лист1!D27</f>
        <v>3523.9559999999983</v>
      </c>
      <c r="E33" s="15">
        <f>Лист1!S27</f>
        <v>27126.409999999996</v>
      </c>
      <c r="F33" s="15">
        <f>Лист1!T27</f>
        <v>6595.150000000001</v>
      </c>
      <c r="G33" s="177">
        <f>Лист1!AF27</f>
        <v>755.7711199999999</v>
      </c>
      <c r="H33" s="15">
        <f>Лист1!AB27</f>
        <v>24115.199999999997</v>
      </c>
      <c r="I33" s="177">
        <f>Лист1!AC27</f>
        <v>34234.306</v>
      </c>
      <c r="J33" s="15">
        <f>Лист1!AG27</f>
        <v>2583.504</v>
      </c>
      <c r="K33" s="15">
        <f>Лист1!AI27+Лист1!AJ27</f>
        <v>4305.84</v>
      </c>
      <c r="L33" s="15">
        <f>Лист1!AH27+Лист1!AK27+Лист1!AL27+Лист1!AM27+Лист1!AN27+Лист1!AO27+Лист1!AP27+Лист1!AQ27+Лист1!AR27</f>
        <v>19737.031199999998</v>
      </c>
      <c r="M33" s="16">
        <f>Лист1!AS27+Лист1!AU27+Лист1!AT27</f>
        <v>8082</v>
      </c>
      <c r="N33" s="16">
        <f>Лист1!AX27</f>
        <v>872.1999999999999</v>
      </c>
      <c r="O33" s="177">
        <f>Лист1!BB27</f>
        <v>35580.5752</v>
      </c>
      <c r="P33" s="177">
        <f>Лист1!BC27</f>
        <v>321.12199999999996</v>
      </c>
      <c r="Q33" s="15">
        <f>Лист1!BD27</f>
        <v>-911.6200800000048</v>
      </c>
      <c r="R33" s="17">
        <f>Лист1!BE27</f>
        <v>-3011.209999999999</v>
      </c>
      <c r="S33" s="1"/>
      <c r="T33" s="1"/>
    </row>
    <row r="34" spans="1:20" ht="12" customHeight="1">
      <c r="A34" s="8" t="s">
        <v>49</v>
      </c>
      <c r="B34" s="9">
        <f>Лист1!B28</f>
        <v>4304.84</v>
      </c>
      <c r="C34" s="176">
        <f>Лист1!C28</f>
        <v>37236.866</v>
      </c>
      <c r="D34" s="176">
        <f>Лист1!D28</f>
        <v>3517.7059999999983</v>
      </c>
      <c r="E34" s="15">
        <f>Лист1!S28</f>
        <v>27150.91</v>
      </c>
      <c r="F34" s="15">
        <f>Лист1!T28</f>
        <v>6568.25</v>
      </c>
      <c r="G34" s="177">
        <f>Лист1!AF28</f>
        <v>755.7711199999999</v>
      </c>
      <c r="H34" s="15">
        <f>Лист1!AB28</f>
        <v>23782.96</v>
      </c>
      <c r="I34" s="177">
        <f>Лист1!AC28</f>
        <v>33868.916</v>
      </c>
      <c r="J34" s="15">
        <f>Лист1!AG28</f>
        <v>2582.904</v>
      </c>
      <c r="K34" s="15">
        <f>Лист1!AI28+Лист1!AJ28</f>
        <v>4304.84</v>
      </c>
      <c r="L34" s="15">
        <f>Лист1!AH28+Лист1!AK28+Лист1!AL28+Лист1!AM28+Лист1!AN28+Лист1!AO28+Лист1!AP28+Лист1!AQ28+Лист1!AR28</f>
        <v>14765.6012</v>
      </c>
      <c r="M34" s="16">
        <f>Лист1!AS28+Лист1!AU28+Лист1!AT28</f>
        <v>37969.09</v>
      </c>
      <c r="N34" s="16">
        <f>Лист1!AX28</f>
        <v>705.5999999999999</v>
      </c>
      <c r="O34" s="177">
        <f>Лист1!BB28</f>
        <v>60328.03519999999</v>
      </c>
      <c r="P34" s="177">
        <f>Лист1!BC28</f>
        <v>321.12199999999996</v>
      </c>
      <c r="Q34" s="15">
        <f>Лист1!BD28</f>
        <v>-26024.470079999996</v>
      </c>
      <c r="R34" s="17">
        <f>Лист1!BE28</f>
        <v>-3367.9500000000007</v>
      </c>
      <c r="S34" s="1"/>
      <c r="T34" s="1"/>
    </row>
    <row r="35" spans="1:20" ht="12" customHeight="1">
      <c r="A35" s="8" t="s">
        <v>50</v>
      </c>
      <c r="B35" s="9">
        <f>Лист1!B29</f>
        <v>4304.84</v>
      </c>
      <c r="C35" s="176">
        <f>Лист1!C29</f>
        <v>37236.866</v>
      </c>
      <c r="D35" s="176">
        <f>Лист1!D29</f>
        <v>3401.0459999999994</v>
      </c>
      <c r="E35" s="15">
        <f>Лист1!S29</f>
        <v>33835.82</v>
      </c>
      <c r="F35" s="15">
        <f>Лист1!T29</f>
        <v>0</v>
      </c>
      <c r="G35" s="177">
        <f>Лист1!AF29</f>
        <v>755.7711199999999</v>
      </c>
      <c r="H35" s="15">
        <f>Лист1!AB29</f>
        <v>27777.329999999998</v>
      </c>
      <c r="I35" s="177">
        <f>Лист1!AC29</f>
        <v>31178.375999999997</v>
      </c>
      <c r="J35" s="15">
        <f>Лист1!AG29</f>
        <v>2582.904</v>
      </c>
      <c r="K35" s="15">
        <f>Лист1!AI29+Лист1!AJ29</f>
        <v>4304.84</v>
      </c>
      <c r="L35" s="15">
        <f>Лист1!AH29+Лист1!AK29+Лист1!AL29+Лист1!AM29+Лист1!AN29+Лист1!AO29+Лист1!AP29+Лист1!AQ29+Лист1!AR29</f>
        <v>14765.6012</v>
      </c>
      <c r="M35" s="16">
        <f>Лист1!AS29+Лист1!AU29+Лист1!AT29</f>
        <v>0</v>
      </c>
      <c r="N35" s="16">
        <f>Лист1!AX29</f>
        <v>1010.8</v>
      </c>
      <c r="O35" s="177">
        <f>Лист1!BB29</f>
        <v>22664.1452</v>
      </c>
      <c r="P35" s="177">
        <f>Лист1!BC29</f>
        <v>321.12199999999996</v>
      </c>
      <c r="Q35" s="15">
        <f>Лист1!BD29</f>
        <v>8948.87992</v>
      </c>
      <c r="R35" s="17">
        <f>Лист1!BE29</f>
        <v>-6058.490000000002</v>
      </c>
      <c r="S35" s="1"/>
      <c r="T35" s="1"/>
    </row>
    <row r="36" spans="1:20" ht="13.5" customHeight="1">
      <c r="A36" s="8" t="s">
        <v>51</v>
      </c>
      <c r="B36" s="9">
        <f>Лист1!B30</f>
        <v>4304.84</v>
      </c>
      <c r="C36" s="176">
        <f>Лист1!C30</f>
        <v>37236.866</v>
      </c>
      <c r="D36" s="176">
        <f>Лист1!D30</f>
        <v>53442.476</v>
      </c>
      <c r="E36" s="15">
        <f>Лист1!S30</f>
        <v>33794.39</v>
      </c>
      <c r="F36" s="15">
        <f>Лист1!T30</f>
        <v>0</v>
      </c>
      <c r="G36" s="177">
        <f>Лист1!AF30</f>
        <v>755.7711199999999</v>
      </c>
      <c r="H36" s="15">
        <f>Лист1!AB30</f>
        <v>32830.27</v>
      </c>
      <c r="I36" s="177">
        <f>Лист1!AC30</f>
        <v>86272.746</v>
      </c>
      <c r="J36" s="15">
        <f>Лист1!AG30</f>
        <v>2582.904</v>
      </c>
      <c r="K36" s="15">
        <f>Лист1!AI30+Лист1!AJ30</f>
        <v>4304.84</v>
      </c>
      <c r="L36" s="15">
        <f>Лист1!AH30+Лист1!AK30+Лист1!AL30+Лист1!AM30+Лист1!AN30+Лист1!AO30+Лист1!AP30+Лист1!AQ30+Лист1!AR30</f>
        <v>14765.6012</v>
      </c>
      <c r="M36" s="16">
        <f>Лист1!AS30+Лист1!AU30+Лист1!AT30</f>
        <v>7252.8</v>
      </c>
      <c r="N36" s="16">
        <f>Лист1!AX30</f>
        <v>830.1999999999999</v>
      </c>
      <c r="O36" s="177">
        <f>Лист1!BB30</f>
        <v>29736.3452</v>
      </c>
      <c r="P36" s="177">
        <f>Лист1!BC30</f>
        <v>321.12199999999996</v>
      </c>
      <c r="Q36" s="15">
        <f>Лист1!BD30</f>
        <v>56971.049920000005</v>
      </c>
      <c r="R36" s="17">
        <f>Лист1!BE30</f>
        <v>-964.1200000000026</v>
      </c>
      <c r="S36" s="1"/>
      <c r="T36" s="1"/>
    </row>
    <row r="37" spans="1:20" ht="13.5" customHeight="1">
      <c r="A37" s="8" t="s">
        <v>52</v>
      </c>
      <c r="B37" s="9">
        <f>Лист1!B31</f>
        <v>4303.84</v>
      </c>
      <c r="C37" s="176">
        <f>Лист1!C31</f>
        <v>37228.216</v>
      </c>
      <c r="D37" s="176">
        <f>Лист1!D31</f>
        <v>3113.0459999999994</v>
      </c>
      <c r="E37" s="15">
        <f>Лист1!S31</f>
        <v>34115.170000000006</v>
      </c>
      <c r="F37" s="15">
        <f>Лист1!T31</f>
        <v>0</v>
      </c>
      <c r="G37" s="177">
        <f>Лист1!AF31</f>
        <v>755.7711199999999</v>
      </c>
      <c r="H37" s="15">
        <f>Лист1!AB31</f>
        <v>34099.159999999996</v>
      </c>
      <c r="I37" s="177">
        <f>Лист1!AC31</f>
        <v>37212.206</v>
      </c>
      <c r="J37" s="15">
        <f>Лист1!AG31</f>
        <v>2582.304</v>
      </c>
      <c r="K37" s="15">
        <f>Лист1!AI31+Лист1!AJ31</f>
        <v>4303.84</v>
      </c>
      <c r="L37" s="15">
        <f>Лист1!AH31+Лист1!AK31+Лист1!AL31+Лист1!AM31+Лист1!AN31+Лист1!AO31+Лист1!AP31+Лист1!AQ31+Лист1!AR31</f>
        <v>14762.1712</v>
      </c>
      <c r="M37" s="16">
        <f>Лист1!AS31+Лист1!AU31+Лист1!AT31</f>
        <v>70599.6</v>
      </c>
      <c r="N37" s="16">
        <f>Лист1!AX31</f>
        <v>1145.1999999999998</v>
      </c>
      <c r="O37" s="177">
        <f>Лист1!BB31</f>
        <v>93393.1152</v>
      </c>
      <c r="P37" s="177">
        <f>Лист1!BC31</f>
        <v>321.12199999999996</v>
      </c>
      <c r="Q37" s="15">
        <f>Лист1!BD31</f>
        <v>-55746.26008000001</v>
      </c>
      <c r="R37" s="17">
        <f>Лист1!BE31</f>
        <v>-16.010000000009313</v>
      </c>
      <c r="S37" s="1"/>
      <c r="T37" s="1"/>
    </row>
    <row r="38" spans="1:18" ht="12.75">
      <c r="A38" s="178" t="s">
        <v>40</v>
      </c>
      <c r="B38" s="9">
        <f>Лист1!B32</f>
        <v>4303.84</v>
      </c>
      <c r="C38" s="176">
        <f>Лист1!C32</f>
        <v>37228.216</v>
      </c>
      <c r="D38" s="176">
        <f>Лист1!D32</f>
        <v>3463.9359999999956</v>
      </c>
      <c r="E38" s="15">
        <f>Лист1!S32</f>
        <v>33764.28</v>
      </c>
      <c r="F38" s="15">
        <f>Лист1!T32</f>
        <v>0</v>
      </c>
      <c r="G38" s="177">
        <f>Лист1!AF32</f>
        <v>905.7711199999999</v>
      </c>
      <c r="H38" s="15">
        <f>Лист1!AB32</f>
        <v>33304.72</v>
      </c>
      <c r="I38" s="177">
        <f>Лист1!AC32</f>
        <v>36768.655999999995</v>
      </c>
      <c r="J38" s="15">
        <f>Лист1!AG32</f>
        <v>2582.304</v>
      </c>
      <c r="K38" s="15">
        <f>Лист1!AI32+Лист1!AJ32</f>
        <v>4303.84</v>
      </c>
      <c r="L38" s="15">
        <f>Лист1!AH32+Лист1!AK32+Лист1!AL32+Лист1!AM32+Лист1!AN32+Лист1!AO32+Лист1!AP32+Лист1!AQ32+Лист1!AR32</f>
        <v>14762.1712</v>
      </c>
      <c r="M38" s="16">
        <f>Лист1!AS32+Лист1!AU32+Лист1!AT32</f>
        <v>4226</v>
      </c>
      <c r="N38" s="16">
        <f>Лист1!AX32</f>
        <v>1213.8</v>
      </c>
      <c r="O38" s="177">
        <f>Лист1!BB32</f>
        <v>27088.1152</v>
      </c>
      <c r="P38" s="177">
        <f>Лист1!BC32</f>
        <v>358.62199999999996</v>
      </c>
      <c r="Q38" s="15">
        <f>Лист1!BD32</f>
        <v>10227.689919999993</v>
      </c>
      <c r="R38" s="17">
        <f>Лист1!BE32</f>
        <v>-459.5599999999977</v>
      </c>
    </row>
    <row r="39" spans="1:18" ht="12.75">
      <c r="A39" s="178" t="s">
        <v>41</v>
      </c>
      <c r="B39" s="9">
        <f>Лист1!B33</f>
        <v>4303.84</v>
      </c>
      <c r="C39" s="176">
        <f>Лист1!C33</f>
        <v>37228.216</v>
      </c>
      <c r="D39" s="176">
        <f>Лист1!D33</f>
        <v>16005.076000000001</v>
      </c>
      <c r="E39" s="15">
        <f>Лист1!S33</f>
        <v>33723.14</v>
      </c>
      <c r="F39" s="15">
        <f>Лист1!T33</f>
        <v>0</v>
      </c>
      <c r="G39" s="177">
        <f>Лист1!AF33</f>
        <v>905.7711199999999</v>
      </c>
      <c r="H39" s="15">
        <f>Лист1!AB33</f>
        <v>38830.61</v>
      </c>
      <c r="I39" s="177">
        <f>Лист1!AC33</f>
        <v>54835.686</v>
      </c>
      <c r="J39" s="15">
        <f>Лист1!AG33</f>
        <v>2582.304</v>
      </c>
      <c r="K39" s="15">
        <f>Лист1!AI33+Лист1!AJ33</f>
        <v>4303.84</v>
      </c>
      <c r="L39" s="15">
        <f>Лист1!AH33+Лист1!AK33+Лист1!AL33+Лист1!AM33+Лист1!AN33+Лист1!AO33+Лист1!AP33+Лист1!AQ33+Лист1!AR33</f>
        <v>14762.1712</v>
      </c>
      <c r="M39" s="16">
        <f>Лист1!AS33+Лист1!AU33+Лист1!AT33</f>
        <v>38690</v>
      </c>
      <c r="N39" s="16">
        <f>Лист1!AX33</f>
        <v>1388.8</v>
      </c>
      <c r="O39" s="177">
        <f>Лист1!BB33</f>
        <v>61727.1152</v>
      </c>
      <c r="P39" s="177">
        <f>Лист1!BC33</f>
        <v>358.62199999999996</v>
      </c>
      <c r="Q39" s="15">
        <f>Лист1!BD33</f>
        <v>-6344.280080000001</v>
      </c>
      <c r="R39" s="17">
        <f>Лист1!BE33</f>
        <v>5107.470000000001</v>
      </c>
    </row>
    <row r="40" spans="1:18" ht="13.5" thickBot="1">
      <c r="A40" s="179" t="s">
        <v>42</v>
      </c>
      <c r="B40" s="180">
        <f>Лист1!B34</f>
        <v>4303.84</v>
      </c>
      <c r="C40" s="181">
        <f>Лист1!C34</f>
        <v>37228.216</v>
      </c>
      <c r="D40" s="181">
        <f>Лист1!D34</f>
        <v>28503.266000000003</v>
      </c>
      <c r="E40" s="182">
        <f>Лист1!S34</f>
        <v>44832.5</v>
      </c>
      <c r="F40" s="182">
        <f>Лист1!T34</f>
        <v>0</v>
      </c>
      <c r="G40" s="183">
        <f>Лист1!AF34</f>
        <v>905.7711199999999</v>
      </c>
      <c r="H40" s="182">
        <f>Лист1!AB34</f>
        <v>34926.909999999996</v>
      </c>
      <c r="I40" s="183">
        <f>Лист1!AC34</f>
        <v>63430.176</v>
      </c>
      <c r="J40" s="182">
        <f>Лист1!AG34</f>
        <v>2582.304</v>
      </c>
      <c r="K40" s="182">
        <f>Лист1!AI34+Лист1!AJ34</f>
        <v>4303.84</v>
      </c>
      <c r="L40" s="182">
        <f>Лист1!AH34+Лист1!AK34+Лист1!AL34+Лист1!AM34+Лист1!AN34+Лист1!AO34+Лист1!AP34+Лист1!AQ34+Лист1!AR34</f>
        <v>14762.1712</v>
      </c>
      <c r="M40" s="184">
        <f>Лист1!AS34+Лист1!AU34+Лист1!AT34</f>
        <v>23543.0058</v>
      </c>
      <c r="N40" s="184">
        <f>Лист1!AX34</f>
        <v>2032.8</v>
      </c>
      <c r="O40" s="183">
        <f>Лист1!BB34</f>
        <v>47224.12100000001</v>
      </c>
      <c r="P40" s="183">
        <f>Лист1!BC34</f>
        <v>358.62199999999996</v>
      </c>
      <c r="Q40" s="182">
        <f>Лист1!BD34</f>
        <v>16753.20411999999</v>
      </c>
      <c r="R40" s="185">
        <f>Лист1!BE34</f>
        <v>-9905.590000000004</v>
      </c>
    </row>
    <row r="41" spans="1:20" ht="17.25" customHeight="1" thickBot="1">
      <c r="A41" s="173" t="s">
        <v>91</v>
      </c>
      <c r="B41" s="174"/>
      <c r="C41" s="175">
        <f>SUM(C29:C40)</f>
        <v>446853.81000000006</v>
      </c>
      <c r="D41" s="175">
        <f aca="true" t="shared" si="1" ref="D41:R41">SUM(D29:D40)</f>
        <v>129074.42</v>
      </c>
      <c r="E41" s="175">
        <f t="shared" si="1"/>
        <v>377095.73</v>
      </c>
      <c r="F41" s="175">
        <f t="shared" si="1"/>
        <v>39291.21</v>
      </c>
      <c r="G41" s="175">
        <f t="shared" si="1"/>
        <v>9519.253439999997</v>
      </c>
      <c r="H41" s="175">
        <f t="shared" si="1"/>
        <v>337409.44999999995</v>
      </c>
      <c r="I41" s="175">
        <f t="shared" si="1"/>
        <v>505775.07999999996</v>
      </c>
      <c r="J41" s="175">
        <f t="shared" si="1"/>
        <v>30995.64</v>
      </c>
      <c r="K41" s="175">
        <f t="shared" si="1"/>
        <v>51659.399999999994</v>
      </c>
      <c r="L41" s="175">
        <f t="shared" si="1"/>
        <v>182159.74200000006</v>
      </c>
      <c r="M41" s="175">
        <f t="shared" si="1"/>
        <v>227439.49579999998</v>
      </c>
      <c r="N41" s="175">
        <f t="shared" si="1"/>
        <v>14046.199999999997</v>
      </c>
      <c r="O41" s="175">
        <f t="shared" si="1"/>
        <v>506300.4778</v>
      </c>
      <c r="P41" s="175">
        <f t="shared" si="1"/>
        <v>3965.9639999999986</v>
      </c>
      <c r="Q41" s="175">
        <f t="shared" si="1"/>
        <v>5027.891639999962</v>
      </c>
      <c r="R41" s="175">
        <f t="shared" si="1"/>
        <v>-39686.28000000002</v>
      </c>
      <c r="S41" s="1"/>
      <c r="T41" s="1"/>
    </row>
    <row r="42" spans="1:20" ht="17.25" customHeight="1" thickBot="1">
      <c r="A42" s="73" t="s">
        <v>67</v>
      </c>
      <c r="B42" s="74"/>
      <c r="C42" s="74"/>
      <c r="D42" s="74"/>
      <c r="E42" s="74"/>
      <c r="F42" s="74"/>
      <c r="G42" s="96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50"/>
      <c r="S42" s="1"/>
      <c r="T42" s="1"/>
    </row>
    <row r="43" spans="1:20" s="19" customFormat="1" ht="17.25" customHeight="1" thickBot="1">
      <c r="A43" s="51" t="s">
        <v>53</v>
      </c>
      <c r="B43" s="186"/>
      <c r="C43" s="187">
        <f>C27+C41</f>
        <v>894155.6900000002</v>
      </c>
      <c r="D43" s="187">
        <f aca="true" t="shared" si="2" ref="D43:R43">D27+D41</f>
        <v>179310.64475000004</v>
      </c>
      <c r="E43" s="187">
        <f t="shared" si="2"/>
        <v>689557.23</v>
      </c>
      <c r="F43" s="187">
        <f t="shared" si="2"/>
        <v>114230.19999999998</v>
      </c>
      <c r="G43" s="187">
        <f t="shared" si="2"/>
        <v>13365.070499999996</v>
      </c>
      <c r="H43" s="187">
        <f t="shared" si="2"/>
        <v>626158.6699999999</v>
      </c>
      <c r="I43" s="187">
        <f t="shared" si="2"/>
        <v>919699.51475</v>
      </c>
      <c r="J43" s="187">
        <f t="shared" si="2"/>
        <v>60988.365600000005</v>
      </c>
      <c r="K43" s="187">
        <f t="shared" si="2"/>
        <v>101133.472613639</v>
      </c>
      <c r="L43" s="187">
        <f t="shared" si="2"/>
        <v>400661.04977916484</v>
      </c>
      <c r="M43" s="187">
        <f t="shared" si="2"/>
        <v>424239.77599999995</v>
      </c>
      <c r="N43" s="187">
        <f t="shared" si="2"/>
        <v>29034.465599999996</v>
      </c>
      <c r="O43" s="187">
        <f t="shared" si="2"/>
        <v>1016057.1295928038</v>
      </c>
      <c r="P43" s="187">
        <f t="shared" si="2"/>
        <v>5560.560230350999</v>
      </c>
      <c r="Q43" s="187">
        <f t="shared" si="2"/>
        <v>-88553.10457315481</v>
      </c>
      <c r="R43" s="187">
        <f t="shared" si="2"/>
        <v>-63398.56000000001</v>
      </c>
      <c r="S43" s="52"/>
      <c r="T43" s="43"/>
    </row>
    <row r="44" spans="19:20" ht="17.25" customHeight="1">
      <c r="S44" s="1"/>
      <c r="T44" s="1"/>
    </row>
    <row r="45" spans="1:20" ht="17.25" customHeight="1">
      <c r="A45" s="53"/>
      <c r="S45" s="1"/>
      <c r="T45" s="1"/>
    </row>
    <row r="46" spans="1:20" ht="17.25" customHeight="1">
      <c r="A46" s="19" t="s">
        <v>68</v>
      </c>
      <c r="D46" s="164" t="s">
        <v>92</v>
      </c>
      <c r="S46" s="1"/>
      <c r="T46" s="1"/>
    </row>
    <row r="47" spans="1:20" ht="17.25" customHeight="1">
      <c r="A47" s="23" t="s">
        <v>69</v>
      </c>
      <c r="B47" s="23" t="s">
        <v>70</v>
      </c>
      <c r="C47" s="358" t="s">
        <v>71</v>
      </c>
      <c r="D47" s="358"/>
      <c r="S47" s="1"/>
      <c r="T47" s="1"/>
    </row>
    <row r="48" spans="1:20" ht="17.25" customHeight="1">
      <c r="A48" s="58">
        <v>273775.58</v>
      </c>
      <c r="B48" s="61">
        <v>121043</v>
      </c>
      <c r="C48" s="359">
        <f>A48-B48</f>
        <v>152732.58000000002</v>
      </c>
      <c r="D48" s="360"/>
      <c r="S48" s="1"/>
      <c r="T48" s="1"/>
    </row>
    <row r="49" spans="1:20" ht="17.25" customHeight="1">
      <c r="A49" s="53"/>
      <c r="S49" s="1"/>
      <c r="T49" s="1"/>
    </row>
    <row r="50" spans="1:20" ht="17.25" customHeight="1">
      <c r="A50" s="53"/>
      <c r="S50" s="1"/>
      <c r="T50" s="1"/>
    </row>
    <row r="51" spans="1:20" ht="17.25" customHeight="1">
      <c r="A51" s="2" t="s">
        <v>72</v>
      </c>
      <c r="H51" s="2" t="s">
        <v>73</v>
      </c>
      <c r="S51" s="1"/>
      <c r="T51" s="1"/>
    </row>
    <row r="52" ht="12.75">
      <c r="A52" s="1"/>
    </row>
    <row r="53" ht="12.75">
      <c r="A53" s="1" t="s">
        <v>80</v>
      </c>
    </row>
    <row r="54" ht="12.75">
      <c r="A54" s="2" t="s">
        <v>74</v>
      </c>
    </row>
  </sheetData>
  <sheetProtection/>
  <mergeCells count="23">
    <mergeCell ref="R9:R12"/>
    <mergeCell ref="E11:F11"/>
    <mergeCell ref="I11:I12"/>
    <mergeCell ref="J11:J12"/>
    <mergeCell ref="K11:K12"/>
    <mergeCell ref="L11:L12"/>
    <mergeCell ref="M11:M12"/>
    <mergeCell ref="C47:D47"/>
    <mergeCell ref="C48:D48"/>
    <mergeCell ref="G9:G12"/>
    <mergeCell ref="Q9:Q12"/>
    <mergeCell ref="H9:I10"/>
    <mergeCell ref="P9:P12"/>
    <mergeCell ref="A6:G6"/>
    <mergeCell ref="A5:Q5"/>
    <mergeCell ref="A9:A12"/>
    <mergeCell ref="B9:B12"/>
    <mergeCell ref="C9:C12"/>
    <mergeCell ref="D9:D12"/>
    <mergeCell ref="J9:O10"/>
    <mergeCell ref="N11:N12"/>
    <mergeCell ref="E9:F10"/>
    <mergeCell ref="O11:O12"/>
  </mergeCells>
  <printOptions/>
  <pageMargins left="0.17" right="0.16" top="0.17" bottom="0.16" header="0.18" footer="0.17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N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36" sqref="BG36"/>
    </sheetView>
  </sheetViews>
  <sheetFormatPr defaultColWidth="9.00390625" defaultRowHeight="12.75"/>
  <cols>
    <col min="1" max="1" width="8.75390625" style="189" bestFit="1" customWidth="1"/>
    <col min="2" max="2" width="9.125" style="189" customWidth="1"/>
    <col min="3" max="3" width="11.375" style="189" customWidth="1"/>
    <col min="4" max="4" width="10.375" style="189" customWidth="1"/>
    <col min="5" max="5" width="10.125" style="189" bestFit="1" customWidth="1"/>
    <col min="6" max="6" width="9.125" style="189" customWidth="1"/>
    <col min="7" max="7" width="10.25390625" style="189" customWidth="1"/>
    <col min="8" max="8" width="9.125" style="189" customWidth="1"/>
    <col min="9" max="9" width="9.875" style="189" customWidth="1"/>
    <col min="10" max="10" width="9.125" style="189" customWidth="1"/>
    <col min="11" max="11" width="10.375" style="189" customWidth="1"/>
    <col min="12" max="12" width="9.125" style="189" customWidth="1"/>
    <col min="13" max="13" width="10.125" style="189" bestFit="1" customWidth="1"/>
    <col min="14" max="14" width="9.125" style="189" customWidth="1"/>
    <col min="15" max="15" width="10.125" style="189" bestFit="1" customWidth="1"/>
    <col min="16" max="18" width="9.125" style="189" customWidth="1"/>
    <col min="19" max="19" width="10.125" style="189" bestFit="1" customWidth="1"/>
    <col min="20" max="20" width="10.125" style="189" customWidth="1"/>
    <col min="21" max="21" width="11.75390625" style="189" bestFit="1" customWidth="1"/>
    <col min="22" max="22" width="10.25390625" style="189" customWidth="1"/>
    <col min="23" max="23" width="10.625" style="189" customWidth="1"/>
    <col min="24" max="24" width="10.125" style="189" customWidth="1"/>
    <col min="25" max="28" width="10.125" style="189" bestFit="1" customWidth="1"/>
    <col min="29" max="30" width="11.375" style="189" customWidth="1"/>
    <col min="31" max="31" width="9.25390625" style="189" bestFit="1" customWidth="1"/>
    <col min="32" max="32" width="11.75390625" style="189" bestFit="1" customWidth="1"/>
    <col min="33" max="33" width="11.375" style="189" customWidth="1"/>
    <col min="34" max="35" width="9.25390625" style="189" bestFit="1" customWidth="1"/>
    <col min="36" max="36" width="10.875" style="189" customWidth="1"/>
    <col min="37" max="38" width="9.25390625" style="189" bestFit="1" customWidth="1"/>
    <col min="39" max="39" width="10.125" style="189" bestFit="1" customWidth="1"/>
    <col min="40" max="40" width="9.25390625" style="189" bestFit="1" customWidth="1"/>
    <col min="41" max="42" width="10.125" style="189" bestFit="1" customWidth="1"/>
    <col min="43" max="44" width="9.25390625" style="189" customWidth="1"/>
    <col min="45" max="45" width="10.125" style="189" bestFit="1" customWidth="1"/>
    <col min="46" max="46" width="11.625" style="189" customWidth="1"/>
    <col min="47" max="47" width="10.875" style="189" customWidth="1"/>
    <col min="48" max="48" width="10.625" style="189" customWidth="1"/>
    <col min="49" max="49" width="10.25390625" style="189" customWidth="1"/>
    <col min="50" max="50" width="10.625" style="189" customWidth="1"/>
    <col min="51" max="51" width="9.25390625" style="189" bestFit="1" customWidth="1"/>
    <col min="52" max="53" width="10.125" style="189" bestFit="1" customWidth="1"/>
    <col min="54" max="54" width="11.625" style="189" customWidth="1"/>
    <col min="55" max="55" width="11.75390625" style="189" customWidth="1"/>
    <col min="56" max="56" width="12.125" style="189" customWidth="1"/>
    <col min="57" max="57" width="14.00390625" style="471" customWidth="1"/>
    <col min="58" max="58" width="11.00390625" style="471" customWidth="1"/>
    <col min="59" max="59" width="10.625" style="471" customWidth="1"/>
    <col min="60" max="16384" width="9.125" style="189" customWidth="1"/>
  </cols>
  <sheetData>
    <row r="1" spans="1:18" ht="21" customHeight="1">
      <c r="A1" s="302" t="s">
        <v>125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188"/>
      <c r="P1" s="188"/>
      <c r="Q1" s="188"/>
      <c r="R1" s="188"/>
    </row>
    <row r="2" spans="1:18" ht="13.5" thickBot="1">
      <c r="A2" s="188"/>
      <c r="B2" s="190"/>
      <c r="C2" s="191"/>
      <c r="D2" s="191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59" ht="29.25" customHeight="1" thickBot="1">
      <c r="A3" s="352" t="s">
        <v>0</v>
      </c>
      <c r="B3" s="431" t="s">
        <v>1</v>
      </c>
      <c r="C3" s="433" t="s">
        <v>2</v>
      </c>
      <c r="D3" s="435" t="s">
        <v>3</v>
      </c>
      <c r="E3" s="352" t="s">
        <v>94</v>
      </c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437"/>
      <c r="S3" s="352"/>
      <c r="T3" s="353"/>
      <c r="U3" s="352" t="s">
        <v>5</v>
      </c>
      <c r="V3" s="353"/>
      <c r="W3" s="413" t="s">
        <v>6</v>
      </c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5"/>
      <c r="AJ3" s="419" t="s">
        <v>77</v>
      </c>
      <c r="AK3" s="422" t="s">
        <v>10</v>
      </c>
      <c r="AL3" s="423"/>
      <c r="AM3" s="423"/>
      <c r="AN3" s="423"/>
      <c r="AO3" s="423"/>
      <c r="AP3" s="423"/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3"/>
      <c r="BB3" s="423"/>
      <c r="BC3" s="423"/>
      <c r="BD3" s="423"/>
      <c r="BE3" s="424"/>
      <c r="BF3" s="472" t="s">
        <v>11</v>
      </c>
      <c r="BG3" s="473" t="s">
        <v>12</v>
      </c>
    </row>
    <row r="4" spans="1:59" ht="51.75" customHeight="1" hidden="1" thickBot="1">
      <c r="A4" s="430"/>
      <c r="B4" s="432"/>
      <c r="C4" s="434"/>
      <c r="D4" s="436"/>
      <c r="E4" s="430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375"/>
      <c r="S4" s="354"/>
      <c r="T4" s="355"/>
      <c r="U4" s="354"/>
      <c r="V4" s="355"/>
      <c r="W4" s="416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8"/>
      <c r="AJ4" s="420"/>
      <c r="AK4" s="425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7"/>
      <c r="BF4" s="474"/>
      <c r="BG4" s="475"/>
    </row>
    <row r="5" spans="1:59" ht="19.5" customHeight="1">
      <c r="A5" s="430"/>
      <c r="B5" s="432"/>
      <c r="C5" s="434"/>
      <c r="D5" s="436"/>
      <c r="E5" s="404" t="s">
        <v>13</v>
      </c>
      <c r="F5" s="405"/>
      <c r="G5" s="404" t="s">
        <v>95</v>
      </c>
      <c r="H5" s="405"/>
      <c r="I5" s="404" t="s">
        <v>14</v>
      </c>
      <c r="J5" s="405"/>
      <c r="K5" s="404" t="s">
        <v>16</v>
      </c>
      <c r="L5" s="405"/>
      <c r="M5" s="404" t="s">
        <v>15</v>
      </c>
      <c r="N5" s="405"/>
      <c r="O5" s="408" t="s">
        <v>17</v>
      </c>
      <c r="P5" s="408"/>
      <c r="Q5" s="404" t="s">
        <v>96</v>
      </c>
      <c r="R5" s="405"/>
      <c r="S5" s="408" t="s">
        <v>97</v>
      </c>
      <c r="T5" s="405"/>
      <c r="U5" s="411" t="s">
        <v>20</v>
      </c>
      <c r="V5" s="428" t="s">
        <v>21</v>
      </c>
      <c r="W5" s="400" t="s">
        <v>22</v>
      </c>
      <c r="X5" s="400" t="s">
        <v>98</v>
      </c>
      <c r="Y5" s="400" t="s">
        <v>23</v>
      </c>
      <c r="Z5" s="400" t="s">
        <v>25</v>
      </c>
      <c r="AA5" s="400" t="s">
        <v>24</v>
      </c>
      <c r="AB5" s="400" t="s">
        <v>26</v>
      </c>
      <c r="AC5" s="400" t="s">
        <v>27</v>
      </c>
      <c r="AD5" s="402" t="s">
        <v>28</v>
      </c>
      <c r="AE5" s="402" t="s">
        <v>99</v>
      </c>
      <c r="AF5" s="390" t="s">
        <v>29</v>
      </c>
      <c r="AG5" s="392" t="s">
        <v>100</v>
      </c>
      <c r="AH5" s="394" t="s">
        <v>8</v>
      </c>
      <c r="AI5" s="396" t="s">
        <v>9</v>
      </c>
      <c r="AJ5" s="420"/>
      <c r="AK5" s="398" t="s">
        <v>101</v>
      </c>
      <c r="AL5" s="388" t="s">
        <v>102</v>
      </c>
      <c r="AM5" s="388" t="s">
        <v>103</v>
      </c>
      <c r="AN5" s="382" t="s">
        <v>104</v>
      </c>
      <c r="AO5" s="388" t="s">
        <v>105</v>
      </c>
      <c r="AP5" s="382" t="s">
        <v>106</v>
      </c>
      <c r="AQ5" s="382" t="s">
        <v>107</v>
      </c>
      <c r="AR5" s="382" t="s">
        <v>108</v>
      </c>
      <c r="AS5" s="382" t="s">
        <v>109</v>
      </c>
      <c r="AT5" s="382" t="s">
        <v>36</v>
      </c>
      <c r="AU5" s="331" t="s">
        <v>110</v>
      </c>
      <c r="AV5" s="296" t="s">
        <v>111</v>
      </c>
      <c r="AW5" s="331" t="s">
        <v>112</v>
      </c>
      <c r="AX5" s="298" t="s">
        <v>113</v>
      </c>
      <c r="AY5" s="165"/>
      <c r="AZ5" s="380" t="s">
        <v>19</v>
      </c>
      <c r="BA5" s="382" t="s">
        <v>38</v>
      </c>
      <c r="BB5" s="382" t="s">
        <v>33</v>
      </c>
      <c r="BC5" s="384" t="s">
        <v>39</v>
      </c>
      <c r="BD5" s="386" t="s">
        <v>88</v>
      </c>
      <c r="BE5" s="476" t="s">
        <v>114</v>
      </c>
      <c r="BF5" s="474"/>
      <c r="BG5" s="475"/>
    </row>
    <row r="6" spans="1:59" ht="56.25" customHeight="1" thickBot="1">
      <c r="A6" s="430"/>
      <c r="B6" s="432"/>
      <c r="C6" s="434"/>
      <c r="D6" s="436"/>
      <c r="E6" s="406"/>
      <c r="F6" s="407"/>
      <c r="G6" s="406"/>
      <c r="H6" s="407"/>
      <c r="I6" s="406"/>
      <c r="J6" s="407"/>
      <c r="K6" s="406"/>
      <c r="L6" s="407"/>
      <c r="M6" s="406"/>
      <c r="N6" s="407"/>
      <c r="O6" s="409"/>
      <c r="P6" s="409"/>
      <c r="Q6" s="406"/>
      <c r="R6" s="407"/>
      <c r="S6" s="410"/>
      <c r="T6" s="407"/>
      <c r="U6" s="412"/>
      <c r="V6" s="429"/>
      <c r="W6" s="401"/>
      <c r="X6" s="401"/>
      <c r="Y6" s="401"/>
      <c r="Z6" s="401"/>
      <c r="AA6" s="401"/>
      <c r="AB6" s="401"/>
      <c r="AC6" s="401"/>
      <c r="AD6" s="403"/>
      <c r="AE6" s="403"/>
      <c r="AF6" s="391"/>
      <c r="AG6" s="393"/>
      <c r="AH6" s="395"/>
      <c r="AI6" s="397"/>
      <c r="AJ6" s="421"/>
      <c r="AK6" s="399"/>
      <c r="AL6" s="389"/>
      <c r="AM6" s="389"/>
      <c r="AN6" s="383"/>
      <c r="AO6" s="389"/>
      <c r="AP6" s="383"/>
      <c r="AQ6" s="383"/>
      <c r="AR6" s="383"/>
      <c r="AS6" s="383"/>
      <c r="AT6" s="383"/>
      <c r="AU6" s="332"/>
      <c r="AV6" s="297"/>
      <c r="AW6" s="332"/>
      <c r="AX6" s="299"/>
      <c r="AY6" s="166" t="s">
        <v>115</v>
      </c>
      <c r="AZ6" s="381"/>
      <c r="BA6" s="383"/>
      <c r="BB6" s="383"/>
      <c r="BC6" s="385"/>
      <c r="BD6" s="387"/>
      <c r="BE6" s="477"/>
      <c r="BF6" s="478"/>
      <c r="BG6" s="479"/>
    </row>
    <row r="7" spans="1:59" ht="19.5" customHeight="1" thickBot="1">
      <c r="A7" s="192">
        <v>1</v>
      </c>
      <c r="B7" s="35">
        <v>2</v>
      </c>
      <c r="C7" s="35">
        <v>3</v>
      </c>
      <c r="D7" s="192">
        <v>4</v>
      </c>
      <c r="E7" s="35">
        <v>5</v>
      </c>
      <c r="F7" s="35">
        <v>6</v>
      </c>
      <c r="G7" s="192">
        <v>7</v>
      </c>
      <c r="H7" s="35">
        <v>8</v>
      </c>
      <c r="I7" s="35">
        <v>9</v>
      </c>
      <c r="J7" s="192">
        <v>10</v>
      </c>
      <c r="K7" s="35">
        <v>11</v>
      </c>
      <c r="L7" s="35">
        <v>12</v>
      </c>
      <c r="M7" s="192">
        <v>13</v>
      </c>
      <c r="N7" s="35">
        <v>14</v>
      </c>
      <c r="O7" s="35">
        <v>15</v>
      </c>
      <c r="P7" s="192">
        <v>16</v>
      </c>
      <c r="Q7" s="35">
        <v>17</v>
      </c>
      <c r="R7" s="35">
        <v>18</v>
      </c>
      <c r="S7" s="192">
        <v>19</v>
      </c>
      <c r="T7" s="35">
        <v>20</v>
      </c>
      <c r="U7" s="35">
        <v>21</v>
      </c>
      <c r="V7" s="192">
        <v>22</v>
      </c>
      <c r="W7" s="35">
        <v>23</v>
      </c>
      <c r="X7" s="192">
        <v>24</v>
      </c>
      <c r="Y7" s="35">
        <v>25</v>
      </c>
      <c r="Z7" s="192">
        <v>26</v>
      </c>
      <c r="AA7" s="35">
        <v>27</v>
      </c>
      <c r="AB7" s="192">
        <v>28</v>
      </c>
      <c r="AC7" s="35">
        <v>29</v>
      </c>
      <c r="AD7" s="192">
        <v>30</v>
      </c>
      <c r="AE7" s="192">
        <v>31</v>
      </c>
      <c r="AF7" s="35">
        <v>32</v>
      </c>
      <c r="AG7" s="192">
        <v>33</v>
      </c>
      <c r="AH7" s="35">
        <v>34</v>
      </c>
      <c r="AI7" s="192">
        <v>35</v>
      </c>
      <c r="AJ7" s="35">
        <v>36</v>
      </c>
      <c r="AK7" s="192">
        <v>37</v>
      </c>
      <c r="AL7" s="35">
        <v>38</v>
      </c>
      <c r="AM7" s="192">
        <v>39</v>
      </c>
      <c r="AN7" s="192">
        <v>40</v>
      </c>
      <c r="AO7" s="35">
        <v>41</v>
      </c>
      <c r="AP7" s="192">
        <v>42</v>
      </c>
      <c r="AQ7" s="35">
        <v>43</v>
      </c>
      <c r="AR7" s="192"/>
      <c r="AS7" s="192">
        <v>44</v>
      </c>
      <c r="AT7" s="35">
        <v>45</v>
      </c>
      <c r="AU7" s="192">
        <v>46</v>
      </c>
      <c r="AV7" s="35">
        <v>47</v>
      </c>
      <c r="AW7" s="192">
        <v>48</v>
      </c>
      <c r="AX7" s="192">
        <v>49</v>
      </c>
      <c r="AY7" s="35"/>
      <c r="AZ7" s="35">
        <v>50</v>
      </c>
      <c r="BA7" s="35">
        <v>51</v>
      </c>
      <c r="BB7" s="35">
        <v>52</v>
      </c>
      <c r="BC7" s="35">
        <v>53</v>
      </c>
      <c r="BD7" s="35">
        <v>54</v>
      </c>
      <c r="BE7" s="480"/>
      <c r="BF7" s="480">
        <v>55</v>
      </c>
      <c r="BG7" s="480">
        <v>56</v>
      </c>
    </row>
    <row r="8" spans="1:59" s="19" customFormat="1" ht="13.5" thickBot="1">
      <c r="A8" s="24" t="s">
        <v>53</v>
      </c>
      <c r="B8" s="193"/>
      <c r="C8" s="193">
        <f>Лист1!C37</f>
        <v>894155.6900000002</v>
      </c>
      <c r="D8" s="193">
        <f>Лист1!D37</f>
        <v>179310.64475000004</v>
      </c>
      <c r="E8" s="193">
        <f>Лист1!E37</f>
        <v>77407.20000000001</v>
      </c>
      <c r="F8" s="193">
        <f>Лист1!F37</f>
        <v>12965.46</v>
      </c>
      <c r="G8" s="193">
        <f>0</f>
        <v>0</v>
      </c>
      <c r="H8" s="193">
        <f>0</f>
        <v>0</v>
      </c>
      <c r="I8" s="193">
        <f>Лист1!G37</f>
        <v>106210.62</v>
      </c>
      <c r="J8" s="193">
        <f>Лист1!H37</f>
        <v>17897.980000000003</v>
      </c>
      <c r="K8" s="193">
        <f>Лист1!K37</f>
        <v>176832.90000000002</v>
      </c>
      <c r="L8" s="193">
        <f>Лист1!L37</f>
        <v>29790.79</v>
      </c>
      <c r="M8" s="193">
        <f>Лист1!I37</f>
        <v>255302.61000000002</v>
      </c>
      <c r="N8" s="193">
        <f>Лист1!J37</f>
        <v>43004.899999999994</v>
      </c>
      <c r="O8" s="193">
        <f>Лист1!M37</f>
        <v>62696.350000000006</v>
      </c>
      <c r="P8" s="193">
        <f>Лист1!N37</f>
        <v>10571.07</v>
      </c>
      <c r="Q8" s="193">
        <f>'[9]Лист1'!O44</f>
        <v>0</v>
      </c>
      <c r="R8" s="193">
        <f>'[9]Лист1'!P44</f>
        <v>0</v>
      </c>
      <c r="S8" s="193">
        <f>'[9]Лист1'!Q44</f>
        <v>0</v>
      </c>
      <c r="T8" s="193">
        <f>'[9]Лист1'!R44</f>
        <v>0</v>
      </c>
      <c r="U8" s="193">
        <f>Лист1!S37</f>
        <v>689557.23</v>
      </c>
      <c r="V8" s="193">
        <f>Лист1!T37</f>
        <v>114230.19999999998</v>
      </c>
      <c r="W8" s="193">
        <f>Лист1!U37</f>
        <v>71403.22</v>
      </c>
      <c r="X8" s="193">
        <v>0</v>
      </c>
      <c r="Y8" s="193">
        <f>Лист1!V37</f>
        <v>98010.28</v>
      </c>
      <c r="Z8" s="193">
        <f>Лист1!X37</f>
        <v>163190.78999999998</v>
      </c>
      <c r="AA8" s="193">
        <f>Лист1!W37</f>
        <v>235615.2</v>
      </c>
      <c r="AB8" s="193">
        <f>Лист1!Y37</f>
        <v>57939.18000000001</v>
      </c>
      <c r="AC8" s="193">
        <f>'[10]Лист1'!Z42</f>
        <v>0</v>
      </c>
      <c r="AD8" s="193">
        <f>'[10]Лист1'!AA42</f>
        <v>0</v>
      </c>
      <c r="AE8" s="193">
        <f>0</f>
        <v>0</v>
      </c>
      <c r="AF8" s="193">
        <f>Лист1!AB37</f>
        <v>626158.6699999999</v>
      </c>
      <c r="AG8" s="193">
        <f>Лист1!AC37</f>
        <v>919699.51475</v>
      </c>
      <c r="AH8" s="193">
        <f>'[10]Лист1'!AD42</f>
        <v>0</v>
      </c>
      <c r="AI8" s="193">
        <f>'[10]Лист1'!AE42</f>
        <v>0</v>
      </c>
      <c r="AJ8" s="193">
        <f>Лист1!AF37</f>
        <v>13365.070499999996</v>
      </c>
      <c r="AK8" s="193">
        <f>Лист1!AG37</f>
        <v>60988.365600000005</v>
      </c>
      <c r="AL8" s="193">
        <f>Лист1!AH37</f>
        <v>20373.4348874</v>
      </c>
      <c r="AM8" s="193">
        <f>Лист1!AI37+Лист1!AJ37</f>
        <v>101133.472613639</v>
      </c>
      <c r="AN8" s="193">
        <v>0</v>
      </c>
      <c r="AO8" s="193">
        <f>Лист1!AK37+Лист1!AL37</f>
        <v>98719.83803007641</v>
      </c>
      <c r="AP8" s="193">
        <f>Лист1!AM37+Лист1!AN37</f>
        <v>226889.52392168838</v>
      </c>
      <c r="AQ8" s="193">
        <v>0</v>
      </c>
      <c r="AR8" s="193">
        <v>0</v>
      </c>
      <c r="AS8" s="193">
        <v>0</v>
      </c>
      <c r="AT8" s="193">
        <f>Лист1!AO37</f>
        <v>4968</v>
      </c>
      <c r="AU8" s="193">
        <f>Лист1!AS37+Лист1!AU37</f>
        <v>298670.566</v>
      </c>
      <c r="AV8" s="193">
        <v>0</v>
      </c>
      <c r="AW8" s="193">
        <f>Лист1!AT37</f>
        <v>125569.21</v>
      </c>
      <c r="AX8" s="193">
        <f>Лист1!AQ37+Лист1!AR37</f>
        <v>49710.25293999999</v>
      </c>
      <c r="AY8" s="194">
        <f>Лист1!AX37</f>
        <v>29034.465599999996</v>
      </c>
      <c r="AZ8" s="194">
        <f>'[9]Лист1'!AY44</f>
        <v>0</v>
      </c>
      <c r="BA8" s="194">
        <v>0</v>
      </c>
      <c r="BB8" s="194">
        <v>0</v>
      </c>
      <c r="BC8" s="194">
        <f>Лист1!BB37</f>
        <v>1016057.1295928038</v>
      </c>
      <c r="BD8" s="193">
        <f>Лист1!BC37</f>
        <v>5560.560230350999</v>
      </c>
      <c r="BE8" s="481">
        <f>BC8+BD8</f>
        <v>1021617.6898231548</v>
      </c>
      <c r="BF8" s="482">
        <f>Лист1!BD37</f>
        <v>-88553.10457315481</v>
      </c>
      <c r="BG8" s="482">
        <f>Лист1!BE37</f>
        <v>-63398.56000000001</v>
      </c>
    </row>
    <row r="9" spans="1:59" ht="12.75">
      <c r="A9" s="5" t="s">
        <v>116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51">
        <f>'[11]Лист1'!AB44</f>
        <v>440391.95999999996</v>
      </c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483"/>
      <c r="BF9" s="482"/>
      <c r="BG9" s="484"/>
    </row>
    <row r="10" spans="1:59" ht="12.75">
      <c r="A10" s="196" t="s">
        <v>44</v>
      </c>
      <c r="B10" s="143">
        <v>4303.84</v>
      </c>
      <c r="C10" s="115">
        <f aca="true" t="shared" si="0" ref="C10:C21">B10*8.55</f>
        <v>36797.832</v>
      </c>
      <c r="D10" s="197">
        <v>374.646</v>
      </c>
      <c r="E10" s="144">
        <v>0</v>
      </c>
      <c r="F10" s="145">
        <v>0</v>
      </c>
      <c r="G10" s="144">
        <v>22777.68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10863.55</v>
      </c>
      <c r="N10" s="144">
        <v>0</v>
      </c>
      <c r="O10" s="144">
        <v>3768.13</v>
      </c>
      <c r="P10" s="145">
        <v>0</v>
      </c>
      <c r="Q10" s="198">
        <v>0</v>
      </c>
      <c r="R10" s="199">
        <v>0</v>
      </c>
      <c r="S10" s="198">
        <v>0</v>
      </c>
      <c r="T10" s="199">
        <v>0</v>
      </c>
      <c r="U10" s="200">
        <f aca="true" t="shared" si="1" ref="U10:V21">E10+G10+I10+K10+M10+O10+Q10+S10</f>
        <v>37409.35999999999</v>
      </c>
      <c r="V10" s="201">
        <f t="shared" si="1"/>
        <v>0</v>
      </c>
      <c r="W10" s="146">
        <v>2837.11</v>
      </c>
      <c r="X10" s="146"/>
      <c r="Y10" s="146">
        <v>3842.6</v>
      </c>
      <c r="Z10" s="146">
        <v>6396.02</v>
      </c>
      <c r="AA10" s="146">
        <v>12858.24</v>
      </c>
      <c r="AB10" s="146">
        <v>2269.71</v>
      </c>
      <c r="AC10" s="148">
        <v>0</v>
      </c>
      <c r="AD10" s="148">
        <v>0</v>
      </c>
      <c r="AE10" s="202">
        <v>0</v>
      </c>
      <c r="AF10" s="202">
        <f>SUM(W10:AE10)</f>
        <v>28203.68</v>
      </c>
      <c r="AG10" s="203">
        <f>AF10+V10+D10</f>
        <v>28578.326</v>
      </c>
      <c r="AH10" s="204">
        <f aca="true" t="shared" si="2" ref="AH10:AI21">AC10</f>
        <v>0</v>
      </c>
      <c r="AI10" s="204">
        <f t="shared" si="2"/>
        <v>0</v>
      </c>
      <c r="AJ10" s="150">
        <f>'[12]Т01'!$I$84+'[12]Т01'!$I$106+'[12]Т01'!$I$187</f>
        <v>869.172</v>
      </c>
      <c r="AK10" s="151">
        <f aca="true" t="shared" si="3" ref="AK10:AK21">0.67*B10</f>
        <v>2883.5728000000004</v>
      </c>
      <c r="AL10" s="151">
        <f aca="true" t="shared" si="4" ref="AL10:AL21">B10*0.2</f>
        <v>860.768</v>
      </c>
      <c r="AM10" s="151">
        <f aca="true" t="shared" si="5" ref="AM10:AM21">B10*1</f>
        <v>4303.84</v>
      </c>
      <c r="AN10" s="151">
        <f aca="true" t="shared" si="6" ref="AN10:AN21">B10*0.21</f>
        <v>903.8064</v>
      </c>
      <c r="AO10" s="151">
        <f aca="true" t="shared" si="7" ref="AO10:AO21">2.02*B10</f>
        <v>8693.756800000001</v>
      </c>
      <c r="AP10" s="151">
        <f aca="true" t="shared" si="8" ref="AP10:AP21">B10*1.03</f>
        <v>4432.9552</v>
      </c>
      <c r="AQ10" s="151">
        <f aca="true" t="shared" si="9" ref="AQ10:AQ21">B10*0.75</f>
        <v>3227.88</v>
      </c>
      <c r="AR10" s="151">
        <f aca="true" t="shared" si="10" ref="AR10:AR21">B10*0.75</f>
        <v>3227.88</v>
      </c>
      <c r="AS10" s="151">
        <f>B10*1.15</f>
        <v>4949.416</v>
      </c>
      <c r="AT10" s="151">
        <f>920*0.45</f>
        <v>414</v>
      </c>
      <c r="AU10" s="153"/>
      <c r="AV10" s="152"/>
      <c r="AW10" s="153"/>
      <c r="AX10" s="153">
        <f>180+29.1</f>
        <v>209.1</v>
      </c>
      <c r="AY10" s="153"/>
      <c r="AZ10" s="109"/>
      <c r="BA10" s="156"/>
      <c r="BB10" s="156">
        <f>BA10*0.18</f>
        <v>0</v>
      </c>
      <c r="BC10" s="156">
        <f aca="true" t="shared" si="11" ref="BC10:BC21">SUM(AK10:BB10)</f>
        <v>34106.9752</v>
      </c>
      <c r="BD10" s="157">
        <f>'[12]Т01'!$R$84+'[12]Т01'!$R$106+'[12]Т01'!$R$187</f>
        <v>514.174</v>
      </c>
      <c r="BE10" s="205">
        <f>BC10+BD10</f>
        <v>34621.1492</v>
      </c>
      <c r="BF10" s="205">
        <f>AG10+AJ10-BE10</f>
        <v>-5173.6512</v>
      </c>
      <c r="BG10" s="205">
        <f>AF10-U10</f>
        <v>-9205.679999999993</v>
      </c>
    </row>
    <row r="11" spans="1:59" ht="12.75">
      <c r="A11" s="196" t="s">
        <v>45</v>
      </c>
      <c r="B11" s="143">
        <v>4303.84</v>
      </c>
      <c r="C11" s="115">
        <f t="shared" si="0"/>
        <v>36797.832</v>
      </c>
      <c r="D11" s="197">
        <v>374.646</v>
      </c>
      <c r="E11" s="144">
        <v>-1.32</v>
      </c>
      <c r="F11" s="145">
        <v>0</v>
      </c>
      <c r="G11" s="144">
        <v>21980.21</v>
      </c>
      <c r="H11" s="144">
        <v>0</v>
      </c>
      <c r="I11" s="144">
        <v>-1.79</v>
      </c>
      <c r="J11" s="144">
        <v>0</v>
      </c>
      <c r="K11" s="144">
        <v>-2.98</v>
      </c>
      <c r="L11" s="144">
        <v>0</v>
      </c>
      <c r="M11" s="144">
        <v>10867.85</v>
      </c>
      <c r="N11" s="144">
        <v>0</v>
      </c>
      <c r="O11" s="144">
        <v>3770.17</v>
      </c>
      <c r="P11" s="144">
        <v>0</v>
      </c>
      <c r="Q11" s="145">
        <v>0</v>
      </c>
      <c r="R11" s="145">
        <v>0</v>
      </c>
      <c r="S11" s="148">
        <v>0</v>
      </c>
      <c r="T11" s="146">
        <v>0</v>
      </c>
      <c r="U11" s="206">
        <f t="shared" si="1"/>
        <v>36612.14</v>
      </c>
      <c r="V11" s="201">
        <f t="shared" si="1"/>
        <v>0</v>
      </c>
      <c r="W11" s="146">
        <v>356.03</v>
      </c>
      <c r="X11" s="148">
        <v>16900.32</v>
      </c>
      <c r="Y11" s="146">
        <v>481.99</v>
      </c>
      <c r="Z11" s="146">
        <v>802.75</v>
      </c>
      <c r="AA11" s="146">
        <v>9331.76</v>
      </c>
      <c r="AB11" s="146">
        <v>3139.29</v>
      </c>
      <c r="AC11" s="148">
        <v>0</v>
      </c>
      <c r="AD11" s="148">
        <v>0</v>
      </c>
      <c r="AE11" s="148">
        <v>0</v>
      </c>
      <c r="AF11" s="202">
        <f>SUM(W11:AE11)</f>
        <v>31012.14</v>
      </c>
      <c r="AG11" s="203">
        <f>AF11+V11+D11</f>
        <v>31386.786</v>
      </c>
      <c r="AH11" s="204">
        <f t="shared" si="2"/>
        <v>0</v>
      </c>
      <c r="AI11" s="204">
        <f t="shared" si="2"/>
        <v>0</v>
      </c>
      <c r="AJ11" s="150">
        <f>'[12]Т02'!$J$84+'[12]Т02'!$J$106+'[12]Т02'!$J$188</f>
        <v>869.172</v>
      </c>
      <c r="AK11" s="151">
        <f t="shared" si="3"/>
        <v>2883.5728000000004</v>
      </c>
      <c r="AL11" s="151">
        <f t="shared" si="4"/>
        <v>860.768</v>
      </c>
      <c r="AM11" s="151">
        <f t="shared" si="5"/>
        <v>4303.84</v>
      </c>
      <c r="AN11" s="151">
        <f t="shared" si="6"/>
        <v>903.8064</v>
      </c>
      <c r="AO11" s="151">
        <f t="shared" si="7"/>
        <v>8693.756800000001</v>
      </c>
      <c r="AP11" s="151">
        <f t="shared" si="8"/>
        <v>4432.9552</v>
      </c>
      <c r="AQ11" s="151">
        <f t="shared" si="9"/>
        <v>3227.88</v>
      </c>
      <c r="AR11" s="151">
        <f t="shared" si="10"/>
        <v>3227.88</v>
      </c>
      <c r="AS11" s="151">
        <f>B11*1.15</f>
        <v>4949.416</v>
      </c>
      <c r="AT11" s="151">
        <f>920*0.45</f>
        <v>414</v>
      </c>
      <c r="AU11" s="153">
        <v>2185</v>
      </c>
      <c r="AV11" s="152">
        <v>640</v>
      </c>
      <c r="AW11" s="153"/>
      <c r="AX11" s="153">
        <f>22.56+20</f>
        <v>42.56</v>
      </c>
      <c r="AY11" s="153"/>
      <c r="AZ11" s="109"/>
      <c r="BA11" s="156"/>
      <c r="BB11" s="156">
        <f>BA11*0.18</f>
        <v>0</v>
      </c>
      <c r="BC11" s="156">
        <f t="shared" si="11"/>
        <v>36765.4352</v>
      </c>
      <c r="BD11" s="157">
        <f>'[12]Т02'!$S$84+'[12]Т02'!$S$106+'[12]Т02'!$S$187</f>
        <v>514.174</v>
      </c>
      <c r="BE11" s="205">
        <f aca="true" t="shared" si="12" ref="BE11:BE21">BC11+BD11</f>
        <v>37279.6092</v>
      </c>
      <c r="BF11" s="205">
        <f aca="true" t="shared" si="13" ref="BF11:BF21">AG11+AJ11-BE11</f>
        <v>-5023.6512</v>
      </c>
      <c r="BG11" s="205">
        <f aca="true" t="shared" si="14" ref="BG11:BG21">AF11-U11</f>
        <v>-5600</v>
      </c>
    </row>
    <row r="12" spans="1:59" ht="12.75">
      <c r="A12" s="196" t="s">
        <v>46</v>
      </c>
      <c r="B12" s="143">
        <v>4303.84</v>
      </c>
      <c r="C12" s="115">
        <f t="shared" si="0"/>
        <v>36797.832</v>
      </c>
      <c r="D12" s="197">
        <v>374.646</v>
      </c>
      <c r="E12" s="144">
        <v>0</v>
      </c>
      <c r="F12" s="145">
        <v>0</v>
      </c>
      <c r="G12" s="144">
        <v>22391.37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10873.97</v>
      </c>
      <c r="N12" s="144">
        <v>0</v>
      </c>
      <c r="O12" s="144">
        <v>3771.85</v>
      </c>
      <c r="P12" s="144">
        <v>0</v>
      </c>
      <c r="Q12" s="144">
        <v>0</v>
      </c>
      <c r="R12" s="144">
        <v>0</v>
      </c>
      <c r="S12" s="144">
        <v>0</v>
      </c>
      <c r="T12" s="146">
        <v>0</v>
      </c>
      <c r="U12" s="146">
        <f t="shared" si="1"/>
        <v>37037.189999999995</v>
      </c>
      <c r="V12" s="147">
        <f t="shared" si="1"/>
        <v>0</v>
      </c>
      <c r="W12" s="163">
        <v>300.93</v>
      </c>
      <c r="X12" s="148">
        <v>21495.44</v>
      </c>
      <c r="Y12" s="146">
        <v>407.59</v>
      </c>
      <c r="Z12" s="146">
        <v>678.51</v>
      </c>
      <c r="AA12" s="146">
        <v>11129.7</v>
      </c>
      <c r="AB12" s="146">
        <v>3787.51</v>
      </c>
      <c r="AC12" s="148">
        <v>0</v>
      </c>
      <c r="AD12" s="148">
        <v>0</v>
      </c>
      <c r="AE12" s="146">
        <v>0</v>
      </c>
      <c r="AF12" s="207">
        <f>SUM(W12:AE12)</f>
        <v>37799.68</v>
      </c>
      <c r="AG12" s="203">
        <f>AF12+V12+D12</f>
        <v>38174.326</v>
      </c>
      <c r="AH12" s="204">
        <f t="shared" si="2"/>
        <v>0</v>
      </c>
      <c r="AI12" s="204">
        <f t="shared" si="2"/>
        <v>0</v>
      </c>
      <c r="AJ12" s="150">
        <f>'[12]Т03'!$J$84+'[12]Т03'!$J$106+'[12]Т03'!$J$135+'[12]Т03'!$J$188</f>
        <v>9130.524000000001</v>
      </c>
      <c r="AK12" s="151">
        <f t="shared" si="3"/>
        <v>2883.5728000000004</v>
      </c>
      <c r="AL12" s="151">
        <f t="shared" si="4"/>
        <v>860.768</v>
      </c>
      <c r="AM12" s="151">
        <f t="shared" si="5"/>
        <v>4303.84</v>
      </c>
      <c r="AN12" s="151">
        <f t="shared" si="6"/>
        <v>903.8064</v>
      </c>
      <c r="AO12" s="151">
        <f t="shared" si="7"/>
        <v>8693.756800000001</v>
      </c>
      <c r="AP12" s="151">
        <f t="shared" si="8"/>
        <v>4432.9552</v>
      </c>
      <c r="AQ12" s="151">
        <f t="shared" si="9"/>
        <v>3227.88</v>
      </c>
      <c r="AR12" s="151">
        <f t="shared" si="10"/>
        <v>3227.88</v>
      </c>
      <c r="AS12" s="151">
        <f>B12*1.15</f>
        <v>4949.416</v>
      </c>
      <c r="AT12" s="151">
        <f>920*0.45</f>
        <v>414</v>
      </c>
      <c r="AU12" s="153">
        <v>12320</v>
      </c>
      <c r="AV12" s="152">
        <v>933</v>
      </c>
      <c r="AW12" s="153"/>
      <c r="AX12" s="153">
        <f>49+162+44+62+138+15.6+12+60</f>
        <v>542.6</v>
      </c>
      <c r="AY12" s="153"/>
      <c r="AZ12" s="109"/>
      <c r="BA12" s="156"/>
      <c r="BB12" s="156">
        <f>BA12*0.18</f>
        <v>0</v>
      </c>
      <c r="BC12" s="156">
        <f t="shared" si="11"/>
        <v>47693.4752</v>
      </c>
      <c r="BD12" s="157">
        <f>'[12]Т03'!$S$84+'[12]Т03'!$S$106+'[12]Т03'!$S$135+'[12]Т03'!$S$188</f>
        <v>1175.4499999999998</v>
      </c>
      <c r="BE12" s="205">
        <f t="shared" si="12"/>
        <v>48868.9252</v>
      </c>
      <c r="BF12" s="205">
        <f t="shared" si="13"/>
        <v>-1564.075199999992</v>
      </c>
      <c r="BG12" s="205">
        <f t="shared" si="14"/>
        <v>762.4900000000052</v>
      </c>
    </row>
    <row r="13" spans="1:59" ht="12.75">
      <c r="A13" s="196" t="s">
        <v>47</v>
      </c>
      <c r="B13" s="143">
        <v>4303.84</v>
      </c>
      <c r="C13" s="115">
        <f t="shared" si="0"/>
        <v>36797.832</v>
      </c>
      <c r="D13" s="197">
        <v>374.646</v>
      </c>
      <c r="E13" s="198">
        <v>0</v>
      </c>
      <c r="F13" s="145">
        <v>0</v>
      </c>
      <c r="G13" s="162">
        <v>22391.37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10873.97</v>
      </c>
      <c r="N13" s="144">
        <v>0</v>
      </c>
      <c r="O13" s="144">
        <v>3771.85</v>
      </c>
      <c r="P13" s="144">
        <v>0</v>
      </c>
      <c r="Q13" s="144">
        <v>0</v>
      </c>
      <c r="R13" s="145">
        <v>0</v>
      </c>
      <c r="S13" s="208">
        <v>0</v>
      </c>
      <c r="T13" s="209">
        <v>0</v>
      </c>
      <c r="U13" s="206">
        <f t="shared" si="1"/>
        <v>37037.189999999995</v>
      </c>
      <c r="V13" s="147">
        <f t="shared" si="1"/>
        <v>0</v>
      </c>
      <c r="W13" s="146">
        <v>77.87</v>
      </c>
      <c r="X13" s="148">
        <v>19733.39</v>
      </c>
      <c r="Y13" s="146">
        <v>105.48</v>
      </c>
      <c r="Z13" s="146">
        <v>175.56</v>
      </c>
      <c r="AA13" s="146">
        <v>9802.88</v>
      </c>
      <c r="AB13" s="148">
        <v>3381.31</v>
      </c>
      <c r="AC13" s="146">
        <v>0</v>
      </c>
      <c r="AD13" s="148">
        <v>0</v>
      </c>
      <c r="AE13" s="148">
        <v>0</v>
      </c>
      <c r="AF13" s="202">
        <f>SUM(W13:AD13)</f>
        <v>33276.49</v>
      </c>
      <c r="AG13" s="210">
        <f>AF13+V13+D13</f>
        <v>33651.136</v>
      </c>
      <c r="AH13" s="211">
        <f t="shared" si="2"/>
        <v>0</v>
      </c>
      <c r="AI13" s="211">
        <f t="shared" si="2"/>
        <v>0</v>
      </c>
      <c r="AJ13" s="212">
        <f>'[13]Т04'!$J$85+'[13]Т04'!$J$107+'[13]Т04'!$J$136+'[13]Т04'!$J$190</f>
        <v>1787.1</v>
      </c>
      <c r="AK13" s="151">
        <f t="shared" si="3"/>
        <v>2883.5728000000004</v>
      </c>
      <c r="AL13" s="151">
        <f t="shared" si="4"/>
        <v>860.768</v>
      </c>
      <c r="AM13" s="151">
        <f t="shared" si="5"/>
        <v>4303.84</v>
      </c>
      <c r="AN13" s="151">
        <f t="shared" si="6"/>
        <v>903.8064</v>
      </c>
      <c r="AO13" s="151">
        <f t="shared" si="7"/>
        <v>8693.756800000001</v>
      </c>
      <c r="AP13" s="151">
        <f t="shared" si="8"/>
        <v>4432.9552</v>
      </c>
      <c r="AQ13" s="151">
        <f t="shared" si="9"/>
        <v>3227.88</v>
      </c>
      <c r="AR13" s="151">
        <f t="shared" si="10"/>
        <v>3227.88</v>
      </c>
      <c r="AS13" s="151"/>
      <c r="AT13" s="213">
        <f aca="true" t="shared" si="15" ref="AT13:AT21">0.45*920</f>
        <v>414</v>
      </c>
      <c r="AU13" s="214">
        <v>1894</v>
      </c>
      <c r="AV13" s="214"/>
      <c r="AW13" s="214"/>
      <c r="AX13" s="214">
        <f>15+15+55+24+25.5+8+49.15+60</f>
        <v>251.65</v>
      </c>
      <c r="AY13" s="214"/>
      <c r="AZ13" s="109"/>
      <c r="BA13" s="213"/>
      <c r="BB13" s="213"/>
      <c r="BC13" s="144">
        <f t="shared" si="11"/>
        <v>31094.109200000003</v>
      </c>
      <c r="BD13" s="215">
        <f>'[12]Т04'!$S$85+'[12]Т04'!$S$107+'[12]Т04'!$S$136+'[12]Т04'!$S$190</f>
        <v>1175.4499999999998</v>
      </c>
      <c r="BE13" s="205">
        <f t="shared" si="12"/>
        <v>32269.559200000003</v>
      </c>
      <c r="BF13" s="205">
        <f t="shared" si="13"/>
        <v>3168.676799999994</v>
      </c>
      <c r="BG13" s="205">
        <f t="shared" si="14"/>
        <v>-3760.699999999997</v>
      </c>
    </row>
    <row r="14" spans="1:59" ht="12.75">
      <c r="A14" s="196" t="s">
        <v>48</v>
      </c>
      <c r="B14" s="216">
        <v>4303.84</v>
      </c>
      <c r="C14" s="115">
        <f t="shared" si="0"/>
        <v>36797.832</v>
      </c>
      <c r="D14" s="197">
        <v>374.646</v>
      </c>
      <c r="E14" s="162">
        <v>0</v>
      </c>
      <c r="F14" s="145">
        <v>0</v>
      </c>
      <c r="G14" s="144">
        <v>22399.41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10877.93</v>
      </c>
      <c r="N14" s="144">
        <v>0</v>
      </c>
      <c r="O14" s="144">
        <v>3773.28</v>
      </c>
      <c r="P14" s="144">
        <v>0</v>
      </c>
      <c r="Q14" s="144">
        <v>0</v>
      </c>
      <c r="R14" s="145">
        <v>0</v>
      </c>
      <c r="S14" s="144">
        <v>0</v>
      </c>
      <c r="T14" s="148">
        <v>0</v>
      </c>
      <c r="U14" s="217">
        <f t="shared" si="1"/>
        <v>37050.619999999995</v>
      </c>
      <c r="V14" s="218">
        <f>F14+H14+J14+L14+N14++R14+T14</f>
        <v>0</v>
      </c>
      <c r="W14" s="146">
        <v>-13.56</v>
      </c>
      <c r="X14" s="148">
        <v>18760.01</v>
      </c>
      <c r="Y14" s="146">
        <v>-18.29</v>
      </c>
      <c r="Z14" s="146">
        <v>-30.45</v>
      </c>
      <c r="AA14" s="146">
        <v>11882.55</v>
      </c>
      <c r="AB14" s="146">
        <v>3191.32</v>
      </c>
      <c r="AC14" s="148">
        <v>0</v>
      </c>
      <c r="AD14" s="148">
        <v>0</v>
      </c>
      <c r="AE14" s="202">
        <v>0</v>
      </c>
      <c r="AF14" s="219">
        <f>SUM(W14:AE14)</f>
        <v>33771.579999999994</v>
      </c>
      <c r="AG14" s="210">
        <f aca="true" t="shared" si="16" ref="AG14:AG21">D14+V14+AF14</f>
        <v>34146.225999999995</v>
      </c>
      <c r="AH14" s="211">
        <f t="shared" si="2"/>
        <v>0</v>
      </c>
      <c r="AI14" s="211">
        <f t="shared" si="2"/>
        <v>0</v>
      </c>
      <c r="AJ14" s="212">
        <f>'[12]Т05'!$J$83+'[12]Т05'!$J$105+'[12]Т05'!$J$134+'[12]Т05'!$J$188</f>
        <v>1787.1</v>
      </c>
      <c r="AK14" s="151">
        <f t="shared" si="3"/>
        <v>2883.5728000000004</v>
      </c>
      <c r="AL14" s="151">
        <f t="shared" si="4"/>
        <v>860.768</v>
      </c>
      <c r="AM14" s="151">
        <f t="shared" si="5"/>
        <v>4303.84</v>
      </c>
      <c r="AN14" s="151">
        <f t="shared" si="6"/>
        <v>903.8064</v>
      </c>
      <c r="AO14" s="151">
        <f t="shared" si="7"/>
        <v>8693.756800000001</v>
      </c>
      <c r="AP14" s="151">
        <f t="shared" si="8"/>
        <v>4432.9552</v>
      </c>
      <c r="AQ14" s="151">
        <f t="shared" si="9"/>
        <v>3227.88</v>
      </c>
      <c r="AR14" s="151">
        <f t="shared" si="10"/>
        <v>3227.88</v>
      </c>
      <c r="AS14" s="151"/>
      <c r="AT14" s="213">
        <f t="shared" si="15"/>
        <v>414</v>
      </c>
      <c r="AU14" s="214"/>
      <c r="AV14" s="214"/>
      <c r="AW14" s="214"/>
      <c r="AX14" s="214">
        <f>51+13+312</f>
        <v>376</v>
      </c>
      <c r="AY14" s="214"/>
      <c r="AZ14" s="109"/>
      <c r="BA14" s="213"/>
      <c r="BB14" s="213"/>
      <c r="BC14" s="144">
        <f t="shared" si="11"/>
        <v>29324.4592</v>
      </c>
      <c r="BD14" s="215">
        <f>'[12]Т05'!$S$83+'[12]Т05'!$S$105+'[12]Т05'!$S$134+'[12]Т05'!$S$188</f>
        <v>1175.4499999999998</v>
      </c>
      <c r="BE14" s="205">
        <f t="shared" si="12"/>
        <v>30499.909200000002</v>
      </c>
      <c r="BF14" s="205">
        <f t="shared" si="13"/>
        <v>5433.416799999992</v>
      </c>
      <c r="BG14" s="205">
        <f t="shared" si="14"/>
        <v>-3279.040000000001</v>
      </c>
    </row>
    <row r="15" spans="1:59" ht="12.75">
      <c r="A15" s="196" t="s">
        <v>49</v>
      </c>
      <c r="B15" s="143">
        <v>4303.84</v>
      </c>
      <c r="C15" s="115">
        <f t="shared" si="0"/>
        <v>36797.832</v>
      </c>
      <c r="D15" s="197">
        <v>374.646</v>
      </c>
      <c r="E15" s="220">
        <v>0</v>
      </c>
      <c r="F15" s="220"/>
      <c r="G15" s="220">
        <v>22364.21</v>
      </c>
      <c r="H15" s="220"/>
      <c r="I15" s="221">
        <v>0</v>
      </c>
      <c r="J15" s="221"/>
      <c r="K15" s="221">
        <v>0</v>
      </c>
      <c r="L15" s="221"/>
      <c r="M15" s="221">
        <v>10860.59</v>
      </c>
      <c r="N15" s="221"/>
      <c r="O15" s="221">
        <v>3767.1</v>
      </c>
      <c r="P15" s="221"/>
      <c r="Q15" s="221">
        <v>0</v>
      </c>
      <c r="R15" s="222"/>
      <c r="S15" s="222">
        <v>0</v>
      </c>
      <c r="T15" s="221"/>
      <c r="U15" s="223">
        <f t="shared" si="1"/>
        <v>36991.9</v>
      </c>
      <c r="V15" s="224">
        <f t="shared" si="1"/>
        <v>0</v>
      </c>
      <c r="W15" s="225">
        <v>119.4</v>
      </c>
      <c r="X15" s="220">
        <v>20393.09</v>
      </c>
      <c r="Y15" s="220">
        <v>161.6</v>
      </c>
      <c r="Z15" s="220">
        <v>269.09</v>
      </c>
      <c r="AA15" s="220">
        <v>9785.32</v>
      </c>
      <c r="AB15" s="220">
        <v>5672.59</v>
      </c>
      <c r="AC15" s="220">
        <v>0</v>
      </c>
      <c r="AD15" s="220">
        <v>0</v>
      </c>
      <c r="AE15" s="226">
        <v>0</v>
      </c>
      <c r="AF15" s="227">
        <f aca="true" t="shared" si="17" ref="AF15:AF21">SUM(W15:AE15)</f>
        <v>36401.09</v>
      </c>
      <c r="AG15" s="210">
        <f t="shared" si="16"/>
        <v>36775.736</v>
      </c>
      <c r="AH15" s="211">
        <f t="shared" si="2"/>
        <v>0</v>
      </c>
      <c r="AI15" s="211">
        <f t="shared" si="2"/>
        <v>0</v>
      </c>
      <c r="AJ15" s="212">
        <f>'[12]Т06'!$J$83+'[12]Т06'!$J$105+'[12]Т06'!$J$134+'[12]Т06'!$J$188</f>
        <v>1787.1</v>
      </c>
      <c r="AK15" s="151">
        <f t="shared" si="3"/>
        <v>2883.5728000000004</v>
      </c>
      <c r="AL15" s="151">
        <f t="shared" si="4"/>
        <v>860.768</v>
      </c>
      <c r="AM15" s="151">
        <f t="shared" si="5"/>
        <v>4303.84</v>
      </c>
      <c r="AN15" s="151">
        <f t="shared" si="6"/>
        <v>903.8064</v>
      </c>
      <c r="AO15" s="151">
        <f t="shared" si="7"/>
        <v>8693.756800000001</v>
      </c>
      <c r="AP15" s="151">
        <f t="shared" si="8"/>
        <v>4432.9552</v>
      </c>
      <c r="AQ15" s="151">
        <f t="shared" si="9"/>
        <v>3227.88</v>
      </c>
      <c r="AR15" s="151">
        <f t="shared" si="10"/>
        <v>3227.88</v>
      </c>
      <c r="AS15" s="151"/>
      <c r="AT15" s="213">
        <f t="shared" si="15"/>
        <v>414</v>
      </c>
      <c r="AU15" s="214">
        <v>1028</v>
      </c>
      <c r="AV15" s="214"/>
      <c r="AW15" s="214"/>
      <c r="AX15" s="214">
        <f>51</f>
        <v>51</v>
      </c>
      <c r="AY15" s="214"/>
      <c r="AZ15" s="151"/>
      <c r="BA15" s="213"/>
      <c r="BB15" s="213"/>
      <c r="BC15" s="228">
        <f t="shared" si="11"/>
        <v>30027.4592</v>
      </c>
      <c r="BD15" s="215">
        <f>'[12]Т06'!$S$83+'[12]Т06'!$S$105+'[12]Т06'!$S$134+'[12]Т06'!$S$188</f>
        <v>1175.4499999999998</v>
      </c>
      <c r="BE15" s="205">
        <f t="shared" si="12"/>
        <v>31202.909200000002</v>
      </c>
      <c r="BF15" s="205">
        <f t="shared" si="13"/>
        <v>7359.926799999994</v>
      </c>
      <c r="BG15" s="205">
        <f t="shared" si="14"/>
        <v>-590.810000000005</v>
      </c>
    </row>
    <row r="16" spans="1:59" ht="12.75">
      <c r="A16" s="196" t="s">
        <v>50</v>
      </c>
      <c r="B16" s="143">
        <v>4303.84</v>
      </c>
      <c r="C16" s="115">
        <f t="shared" si="0"/>
        <v>36797.832</v>
      </c>
      <c r="D16" s="197">
        <v>374.646</v>
      </c>
      <c r="E16" s="229"/>
      <c r="F16" s="229"/>
      <c r="G16" s="229">
        <v>22363.88</v>
      </c>
      <c r="H16" s="229"/>
      <c r="I16" s="229"/>
      <c r="J16" s="229"/>
      <c r="K16" s="229"/>
      <c r="L16" s="229"/>
      <c r="M16" s="229">
        <v>10860.46</v>
      </c>
      <c r="N16" s="229"/>
      <c r="O16" s="229">
        <v>3767.04</v>
      </c>
      <c r="P16" s="229"/>
      <c r="Q16" s="229"/>
      <c r="R16" s="229"/>
      <c r="S16" s="230"/>
      <c r="T16" s="225"/>
      <c r="U16" s="231">
        <f t="shared" si="1"/>
        <v>36991.38</v>
      </c>
      <c r="V16" s="232">
        <f t="shared" si="1"/>
        <v>0</v>
      </c>
      <c r="W16" s="233">
        <v>112.49</v>
      </c>
      <c r="X16" s="229">
        <v>19007.34</v>
      </c>
      <c r="Y16" s="229">
        <v>152.29</v>
      </c>
      <c r="Z16" s="229">
        <v>253.53</v>
      </c>
      <c r="AA16" s="229">
        <v>8922.84</v>
      </c>
      <c r="AB16" s="229">
        <v>3172.94</v>
      </c>
      <c r="AC16" s="220"/>
      <c r="AD16" s="229"/>
      <c r="AE16" s="230"/>
      <c r="AF16" s="227">
        <f t="shared" si="17"/>
        <v>31621.43</v>
      </c>
      <c r="AG16" s="234">
        <f t="shared" si="16"/>
        <v>31996.076</v>
      </c>
      <c r="AH16" s="211">
        <f t="shared" si="2"/>
        <v>0</v>
      </c>
      <c r="AI16" s="211">
        <f t="shared" si="2"/>
        <v>0</v>
      </c>
      <c r="AJ16" s="212">
        <f>'[12]Т07'!$J$83+'[12]Т07'!$J$105+'[12]Т07'!$J$134+'[12]Т07'!$J$192</f>
        <v>1787.1</v>
      </c>
      <c r="AK16" s="151">
        <f t="shared" si="3"/>
        <v>2883.5728000000004</v>
      </c>
      <c r="AL16" s="151">
        <f t="shared" si="4"/>
        <v>860.768</v>
      </c>
      <c r="AM16" s="151">
        <f t="shared" si="5"/>
        <v>4303.84</v>
      </c>
      <c r="AN16" s="151">
        <f t="shared" si="6"/>
        <v>903.8064</v>
      </c>
      <c r="AO16" s="151">
        <f t="shared" si="7"/>
        <v>8693.756800000001</v>
      </c>
      <c r="AP16" s="151">
        <f t="shared" si="8"/>
        <v>4432.9552</v>
      </c>
      <c r="AQ16" s="151">
        <f t="shared" si="9"/>
        <v>3227.88</v>
      </c>
      <c r="AR16" s="151">
        <f t="shared" si="10"/>
        <v>3227.88</v>
      </c>
      <c r="AS16" s="151"/>
      <c r="AT16" s="213">
        <f t="shared" si="15"/>
        <v>414</v>
      </c>
      <c r="AU16" s="214">
        <v>718</v>
      </c>
      <c r="AV16" s="214"/>
      <c r="AW16" s="214">
        <v>4700</v>
      </c>
      <c r="AX16" s="214">
        <f>74.43+9.43+32.56</f>
        <v>116.42000000000002</v>
      </c>
      <c r="AY16" s="214"/>
      <c r="AZ16" s="109"/>
      <c r="BA16" s="213">
        <v>15955.8</v>
      </c>
      <c r="BB16" s="213"/>
      <c r="BC16" s="144">
        <f t="shared" si="11"/>
        <v>50438.6792</v>
      </c>
      <c r="BD16" s="215">
        <f>'[12]Т07'!$S$83+'[12]Т07'!$S$105+'[12]Т07'!$S$134+'[12]Т07'!$S$192</f>
        <v>1175.4499999999998</v>
      </c>
      <c r="BE16" s="205">
        <f t="shared" si="12"/>
        <v>51614.129199999996</v>
      </c>
      <c r="BF16" s="205">
        <f t="shared" si="13"/>
        <v>-17830.953199999996</v>
      </c>
      <c r="BG16" s="205">
        <f t="shared" si="14"/>
        <v>-5369.949999999997</v>
      </c>
    </row>
    <row r="17" spans="1:59" ht="12.75">
      <c r="A17" s="196" t="s">
        <v>51</v>
      </c>
      <c r="B17" s="143">
        <v>4303.84</v>
      </c>
      <c r="C17" s="115">
        <f t="shared" si="0"/>
        <v>36797.832</v>
      </c>
      <c r="D17" s="197">
        <v>374.646</v>
      </c>
      <c r="E17" s="288"/>
      <c r="F17" s="288"/>
      <c r="G17" s="288">
        <v>22360</v>
      </c>
      <c r="H17" s="288"/>
      <c r="I17" s="288"/>
      <c r="J17" s="288"/>
      <c r="K17" s="288"/>
      <c r="L17" s="288"/>
      <c r="M17" s="288">
        <v>10858.55</v>
      </c>
      <c r="N17" s="288"/>
      <c r="O17" s="288">
        <v>3766.35</v>
      </c>
      <c r="P17" s="288"/>
      <c r="Q17" s="288"/>
      <c r="R17" s="288"/>
      <c r="S17" s="289"/>
      <c r="T17" s="226"/>
      <c r="U17" s="235">
        <f t="shared" si="1"/>
        <v>36984.9</v>
      </c>
      <c r="V17" s="236">
        <f t="shared" si="1"/>
        <v>0</v>
      </c>
      <c r="W17" s="229">
        <v>78.16</v>
      </c>
      <c r="X17" s="229">
        <v>22171.02</v>
      </c>
      <c r="Y17" s="229">
        <v>105.78</v>
      </c>
      <c r="Z17" s="229">
        <v>176.12</v>
      </c>
      <c r="AA17" s="229">
        <v>10741.68</v>
      </c>
      <c r="AB17" s="229">
        <v>3797.77</v>
      </c>
      <c r="AC17" s="229"/>
      <c r="AD17" s="229"/>
      <c r="AE17" s="230"/>
      <c r="AF17" s="227">
        <f t="shared" si="17"/>
        <v>37070.52999999999</v>
      </c>
      <c r="AG17" s="234">
        <f t="shared" si="16"/>
        <v>37445.17599999999</v>
      </c>
      <c r="AH17" s="211">
        <f t="shared" si="2"/>
        <v>0</v>
      </c>
      <c r="AI17" s="211">
        <f t="shared" si="2"/>
        <v>0</v>
      </c>
      <c r="AJ17" s="212">
        <f>'[12]Т08'!$J$83+'[12]Т08'!$J$105+'[12]Т08'!$J$134+'[12]Т08'!$J$196</f>
        <v>1787.1</v>
      </c>
      <c r="AK17" s="151">
        <f t="shared" si="3"/>
        <v>2883.5728000000004</v>
      </c>
      <c r="AL17" s="151">
        <f t="shared" si="4"/>
        <v>860.768</v>
      </c>
      <c r="AM17" s="151">
        <f t="shared" si="5"/>
        <v>4303.84</v>
      </c>
      <c r="AN17" s="151">
        <f t="shared" si="6"/>
        <v>903.8064</v>
      </c>
      <c r="AO17" s="151">
        <f t="shared" si="7"/>
        <v>8693.756800000001</v>
      </c>
      <c r="AP17" s="151">
        <f t="shared" si="8"/>
        <v>4432.9552</v>
      </c>
      <c r="AQ17" s="151">
        <f t="shared" si="9"/>
        <v>3227.88</v>
      </c>
      <c r="AR17" s="151">
        <f t="shared" si="10"/>
        <v>3227.88</v>
      </c>
      <c r="AS17" s="151"/>
      <c r="AT17" s="213">
        <f t="shared" si="15"/>
        <v>414</v>
      </c>
      <c r="AU17" s="214"/>
      <c r="AV17" s="214"/>
      <c r="AW17" s="214">
        <v>538</v>
      </c>
      <c r="AX17" s="214">
        <f>24+38</f>
        <v>62</v>
      </c>
      <c r="AY17" s="214"/>
      <c r="AZ17" s="109"/>
      <c r="BA17" s="213"/>
      <c r="BB17" s="213"/>
      <c r="BC17" s="144">
        <f t="shared" si="11"/>
        <v>29548.4592</v>
      </c>
      <c r="BD17" s="215">
        <f>'[12]Т08'!$S$83+'[12]Т08'!$S$105+'[12]Т08'!$S$134+'[12]Т08'!$S$196</f>
        <v>1175.4499999999998</v>
      </c>
      <c r="BE17" s="205">
        <f t="shared" si="12"/>
        <v>30723.909200000002</v>
      </c>
      <c r="BF17" s="205">
        <f t="shared" si="13"/>
        <v>8508.366799999989</v>
      </c>
      <c r="BG17" s="205">
        <f t="shared" si="14"/>
        <v>85.6299999999901</v>
      </c>
    </row>
    <row r="18" spans="1:59" ht="12.75">
      <c r="A18" s="196" t="s">
        <v>52</v>
      </c>
      <c r="B18" s="143">
        <v>4303.84</v>
      </c>
      <c r="C18" s="115">
        <f t="shared" si="0"/>
        <v>36797.832</v>
      </c>
      <c r="D18" s="197">
        <v>374.646</v>
      </c>
      <c r="E18" s="229"/>
      <c r="F18" s="229"/>
      <c r="G18" s="229">
        <v>22769.61</v>
      </c>
      <c r="H18" s="229"/>
      <c r="I18" s="229"/>
      <c r="J18" s="229"/>
      <c r="K18" s="229"/>
      <c r="L18" s="229"/>
      <c r="M18" s="229">
        <v>11057.47</v>
      </c>
      <c r="N18" s="229"/>
      <c r="O18" s="229">
        <v>3835.42</v>
      </c>
      <c r="P18" s="229"/>
      <c r="Q18" s="229"/>
      <c r="R18" s="229"/>
      <c r="S18" s="230"/>
      <c r="T18" s="237"/>
      <c r="U18" s="237">
        <f t="shared" si="1"/>
        <v>37662.5</v>
      </c>
      <c r="V18" s="238">
        <f t="shared" si="1"/>
        <v>0</v>
      </c>
      <c r="W18" s="229">
        <v>89.97</v>
      </c>
      <c r="X18" s="229">
        <v>19995.5</v>
      </c>
      <c r="Y18" s="229">
        <v>121.92</v>
      </c>
      <c r="Z18" s="229">
        <v>202.88</v>
      </c>
      <c r="AA18" s="229">
        <v>8109.61</v>
      </c>
      <c r="AB18" s="229">
        <v>1384.43</v>
      </c>
      <c r="AC18" s="229"/>
      <c r="AD18" s="229"/>
      <c r="AE18" s="230"/>
      <c r="AF18" s="227">
        <f t="shared" si="17"/>
        <v>29904.31</v>
      </c>
      <c r="AG18" s="234">
        <f t="shared" si="16"/>
        <v>30278.956000000002</v>
      </c>
      <c r="AH18" s="211">
        <f t="shared" si="2"/>
        <v>0</v>
      </c>
      <c r="AI18" s="211">
        <f t="shared" si="2"/>
        <v>0</v>
      </c>
      <c r="AJ18" s="212">
        <f>'[12]Т09'!$J$83+'[12]Т09'!$J$105+'[12]Т09'!$J$134+'[12]Т09'!$J$196</f>
        <v>1787.1</v>
      </c>
      <c r="AK18" s="151">
        <f t="shared" si="3"/>
        <v>2883.5728000000004</v>
      </c>
      <c r="AL18" s="151">
        <f t="shared" si="4"/>
        <v>860.768</v>
      </c>
      <c r="AM18" s="151">
        <f t="shared" si="5"/>
        <v>4303.84</v>
      </c>
      <c r="AN18" s="151">
        <f t="shared" si="6"/>
        <v>903.8064</v>
      </c>
      <c r="AO18" s="151">
        <f t="shared" si="7"/>
        <v>8693.756800000001</v>
      </c>
      <c r="AP18" s="151">
        <f t="shared" si="8"/>
        <v>4432.9552</v>
      </c>
      <c r="AQ18" s="151">
        <f t="shared" si="9"/>
        <v>3227.88</v>
      </c>
      <c r="AR18" s="151">
        <f t="shared" si="10"/>
        <v>3227.88</v>
      </c>
      <c r="AS18" s="151"/>
      <c r="AT18" s="213">
        <f t="shared" si="15"/>
        <v>414</v>
      </c>
      <c r="AU18" s="214"/>
      <c r="AV18" s="214"/>
      <c r="AW18" s="214">
        <v>226</v>
      </c>
      <c r="AX18" s="214">
        <f>312.6</f>
        <v>312.6</v>
      </c>
      <c r="AY18" s="214"/>
      <c r="AZ18" s="109"/>
      <c r="BA18" s="213"/>
      <c r="BB18" s="213"/>
      <c r="BC18" s="144">
        <f t="shared" si="11"/>
        <v>29487.0592</v>
      </c>
      <c r="BD18" s="215">
        <f>'[12]Т08'!$S$83+'[12]Т08'!$S$105+'[12]Т08'!$S$134+'[12]Т08'!$S$196</f>
        <v>1175.4499999999998</v>
      </c>
      <c r="BE18" s="205">
        <f t="shared" si="12"/>
        <v>30662.5092</v>
      </c>
      <c r="BF18" s="205">
        <f t="shared" si="13"/>
        <v>1403.5468</v>
      </c>
      <c r="BG18" s="205">
        <f t="shared" si="14"/>
        <v>-7758.189999999999</v>
      </c>
    </row>
    <row r="19" spans="1:59" ht="12.75">
      <c r="A19" s="196" t="s">
        <v>40</v>
      </c>
      <c r="B19" s="143">
        <v>4303.84</v>
      </c>
      <c r="C19" s="115">
        <f t="shared" si="0"/>
        <v>36797.832</v>
      </c>
      <c r="D19" s="197">
        <v>374.646</v>
      </c>
      <c r="E19" s="220"/>
      <c r="F19" s="220"/>
      <c r="G19" s="220">
        <v>22769.61</v>
      </c>
      <c r="H19" s="220"/>
      <c r="I19" s="220"/>
      <c r="J19" s="220"/>
      <c r="K19" s="220"/>
      <c r="L19" s="220"/>
      <c r="M19" s="220">
        <v>11057.48</v>
      </c>
      <c r="N19" s="220"/>
      <c r="O19" s="220">
        <v>3835.41</v>
      </c>
      <c r="P19" s="220"/>
      <c r="Q19" s="220"/>
      <c r="R19" s="220"/>
      <c r="S19" s="226"/>
      <c r="T19" s="239"/>
      <c r="U19" s="240">
        <f t="shared" si="1"/>
        <v>37662.5</v>
      </c>
      <c r="V19" s="241">
        <f t="shared" si="1"/>
        <v>0</v>
      </c>
      <c r="W19" s="220">
        <v>0</v>
      </c>
      <c r="X19" s="220">
        <v>21237.85</v>
      </c>
      <c r="Y19" s="220">
        <v>0</v>
      </c>
      <c r="Z19" s="220">
        <v>0</v>
      </c>
      <c r="AA19" s="220">
        <v>10646.65</v>
      </c>
      <c r="AB19" s="220">
        <v>4116.2</v>
      </c>
      <c r="AC19" s="220"/>
      <c r="AD19" s="220"/>
      <c r="AE19" s="226"/>
      <c r="AF19" s="227">
        <f t="shared" si="17"/>
        <v>36000.7</v>
      </c>
      <c r="AG19" s="234">
        <f t="shared" si="16"/>
        <v>36375.346</v>
      </c>
      <c r="AH19" s="211">
        <f t="shared" si="2"/>
        <v>0</v>
      </c>
      <c r="AI19" s="211">
        <f t="shared" si="2"/>
        <v>0</v>
      </c>
      <c r="AJ19" s="212">
        <f>'[14]Т10'!$J$83+'[14]Т10'!$J$105+'[14]Т10'!$J$134+'[14]Т10'!$J$196</f>
        <v>1787.1</v>
      </c>
      <c r="AK19" s="151">
        <f t="shared" si="3"/>
        <v>2883.5728000000004</v>
      </c>
      <c r="AL19" s="151">
        <f t="shared" si="4"/>
        <v>860.768</v>
      </c>
      <c r="AM19" s="151">
        <f t="shared" si="5"/>
        <v>4303.84</v>
      </c>
      <c r="AN19" s="151">
        <f t="shared" si="6"/>
        <v>903.8064</v>
      </c>
      <c r="AO19" s="151">
        <f t="shared" si="7"/>
        <v>8693.756800000001</v>
      </c>
      <c r="AP19" s="151">
        <f t="shared" si="8"/>
        <v>4432.9552</v>
      </c>
      <c r="AQ19" s="151">
        <f t="shared" si="9"/>
        <v>3227.88</v>
      </c>
      <c r="AR19" s="151">
        <f t="shared" si="10"/>
        <v>3227.88</v>
      </c>
      <c r="AS19" s="242">
        <f>B19*1.15</f>
        <v>4949.416</v>
      </c>
      <c r="AT19" s="213">
        <f t="shared" si="15"/>
        <v>414</v>
      </c>
      <c r="AU19" s="214"/>
      <c r="AV19" s="214"/>
      <c r="AW19" s="214"/>
      <c r="AX19" s="214">
        <f>28+44.12+88.24+140+70+440.01</f>
        <v>810.37</v>
      </c>
      <c r="AY19" s="214"/>
      <c r="AZ19" s="109"/>
      <c r="BA19" s="213"/>
      <c r="BB19" s="213"/>
      <c r="BC19" s="144">
        <f t="shared" si="11"/>
        <v>34708.245200000005</v>
      </c>
      <c r="BD19" s="215">
        <f>'[12]Т10'!$S$83+'[12]Т10'!$S$105+'[12]Т10'!$S$134+'[12]Т10'!$S$196</f>
        <v>1175.4499999999998</v>
      </c>
      <c r="BE19" s="205">
        <f t="shared" si="12"/>
        <v>35883.6952</v>
      </c>
      <c r="BF19" s="205">
        <f t="shared" si="13"/>
        <v>2278.7507999999943</v>
      </c>
      <c r="BG19" s="205">
        <f t="shared" si="14"/>
        <v>-1661.800000000003</v>
      </c>
    </row>
    <row r="20" spans="1:59" ht="12.75">
      <c r="A20" s="196" t="s">
        <v>41</v>
      </c>
      <c r="B20" s="143">
        <v>4303.84</v>
      </c>
      <c r="C20" s="115">
        <f t="shared" si="0"/>
        <v>36797.832</v>
      </c>
      <c r="D20" s="197">
        <v>374.646</v>
      </c>
      <c r="E20" s="220"/>
      <c r="F20" s="220"/>
      <c r="G20" s="220">
        <v>22769.61</v>
      </c>
      <c r="H20" s="220"/>
      <c r="I20" s="220"/>
      <c r="J20" s="220"/>
      <c r="K20" s="220"/>
      <c r="L20" s="220"/>
      <c r="M20" s="220">
        <v>11057.47</v>
      </c>
      <c r="N20" s="220"/>
      <c r="O20" s="220">
        <v>3835.42</v>
      </c>
      <c r="P20" s="220"/>
      <c r="Q20" s="220"/>
      <c r="R20" s="220"/>
      <c r="S20" s="226"/>
      <c r="T20" s="239"/>
      <c r="U20" s="240">
        <f t="shared" si="1"/>
        <v>37662.5</v>
      </c>
      <c r="V20" s="241">
        <f t="shared" si="1"/>
        <v>0</v>
      </c>
      <c r="W20" s="220">
        <v>0</v>
      </c>
      <c r="X20" s="220">
        <v>22610.25</v>
      </c>
      <c r="Y20" s="220">
        <v>0</v>
      </c>
      <c r="Z20" s="220">
        <v>0</v>
      </c>
      <c r="AA20" s="220">
        <v>10976.63</v>
      </c>
      <c r="AB20" s="220">
        <v>3802.96</v>
      </c>
      <c r="AC20" s="220"/>
      <c r="AD20" s="220"/>
      <c r="AE20" s="226"/>
      <c r="AF20" s="227">
        <f t="shared" si="17"/>
        <v>37389.84</v>
      </c>
      <c r="AG20" s="234">
        <f t="shared" si="16"/>
        <v>37764.486</v>
      </c>
      <c r="AH20" s="211">
        <f t="shared" si="2"/>
        <v>0</v>
      </c>
      <c r="AI20" s="211">
        <f t="shared" si="2"/>
        <v>0</v>
      </c>
      <c r="AJ20" s="212">
        <f>'[12]Т11'!$J$83+'[12]Т11'!$J$105+'[12]Т11'!$J$134+'[12]Т11'!$J$196</f>
        <v>1787.1</v>
      </c>
      <c r="AK20" s="151">
        <f t="shared" si="3"/>
        <v>2883.5728000000004</v>
      </c>
      <c r="AL20" s="151">
        <f t="shared" si="4"/>
        <v>860.768</v>
      </c>
      <c r="AM20" s="151">
        <f t="shared" si="5"/>
        <v>4303.84</v>
      </c>
      <c r="AN20" s="151">
        <f t="shared" si="6"/>
        <v>903.8064</v>
      </c>
      <c r="AO20" s="151">
        <f t="shared" si="7"/>
        <v>8693.756800000001</v>
      </c>
      <c r="AP20" s="151">
        <f t="shared" si="8"/>
        <v>4432.9552</v>
      </c>
      <c r="AQ20" s="151">
        <f t="shared" si="9"/>
        <v>3227.88</v>
      </c>
      <c r="AR20" s="151">
        <f t="shared" si="10"/>
        <v>3227.88</v>
      </c>
      <c r="AS20" s="242">
        <f>B20*1.15</f>
        <v>4949.416</v>
      </c>
      <c r="AT20" s="213">
        <f t="shared" si="15"/>
        <v>414</v>
      </c>
      <c r="AU20" s="214">
        <v>3540</v>
      </c>
      <c r="AV20" s="214"/>
      <c r="AW20" s="214"/>
      <c r="AX20" s="214">
        <f>8.78+348+772</f>
        <v>1128.78</v>
      </c>
      <c r="AY20" s="214"/>
      <c r="AZ20" s="109"/>
      <c r="BA20" s="213"/>
      <c r="BB20" s="213"/>
      <c r="BC20" s="144">
        <f t="shared" si="11"/>
        <v>38566.6552</v>
      </c>
      <c r="BD20" s="215">
        <f>'[12]Т11'!$S$83+'[12]Т11'!$S$105+'[12]Т11'!$S$134+'[12]Т11'!$S$196</f>
        <v>1175.4499999999998</v>
      </c>
      <c r="BE20" s="205">
        <f t="shared" si="12"/>
        <v>39742.1052</v>
      </c>
      <c r="BF20" s="205">
        <f t="shared" si="13"/>
        <v>-190.51920000000246</v>
      </c>
      <c r="BG20" s="205">
        <f t="shared" si="14"/>
        <v>-272.6600000000035</v>
      </c>
    </row>
    <row r="21" spans="1:59" ht="13.5" thickBot="1">
      <c r="A21" s="196" t="s">
        <v>42</v>
      </c>
      <c r="B21" s="143">
        <v>4303.84</v>
      </c>
      <c r="C21" s="115">
        <f t="shared" si="0"/>
        <v>36797.832</v>
      </c>
      <c r="D21" s="197">
        <v>374.646</v>
      </c>
      <c r="E21" s="243"/>
      <c r="F21" s="243"/>
      <c r="G21" s="243">
        <v>22758.12</v>
      </c>
      <c r="H21" s="243"/>
      <c r="I21" s="243"/>
      <c r="J21" s="243"/>
      <c r="K21" s="243"/>
      <c r="L21" s="243"/>
      <c r="M21" s="243">
        <v>11051.85</v>
      </c>
      <c r="N21" s="243"/>
      <c r="O21" s="243">
        <v>3833.38</v>
      </c>
      <c r="P21" s="243"/>
      <c r="Q21" s="243"/>
      <c r="R21" s="243"/>
      <c r="S21" s="244"/>
      <c r="T21" s="245"/>
      <c r="U21" s="240">
        <f t="shared" si="1"/>
        <v>37643.35</v>
      </c>
      <c r="V21" s="241">
        <f t="shared" si="1"/>
        <v>0</v>
      </c>
      <c r="W21" s="220">
        <v>0</v>
      </c>
      <c r="X21" s="220">
        <v>27981.75</v>
      </c>
      <c r="Y21" s="220">
        <v>0</v>
      </c>
      <c r="Z21" s="220">
        <v>0</v>
      </c>
      <c r="AA21" s="220">
        <v>13540.69</v>
      </c>
      <c r="AB21" s="220">
        <v>4696.44</v>
      </c>
      <c r="AC21" s="220"/>
      <c r="AD21" s="220"/>
      <c r="AE21" s="226"/>
      <c r="AF21" s="227">
        <f t="shared" si="17"/>
        <v>46218.880000000005</v>
      </c>
      <c r="AG21" s="234">
        <f t="shared" si="16"/>
        <v>46593.526000000005</v>
      </c>
      <c r="AH21" s="211">
        <f t="shared" si="2"/>
        <v>0</v>
      </c>
      <c r="AI21" s="211">
        <f t="shared" si="2"/>
        <v>0</v>
      </c>
      <c r="AJ21" s="212">
        <f>'[12]Т12'!$J$83+'[12]Т12'!$J$105+'[12]Т12'!$J$134+'[12]Т12'!$J$216</f>
        <v>1787.1</v>
      </c>
      <c r="AK21" s="151">
        <f t="shared" si="3"/>
        <v>2883.5728000000004</v>
      </c>
      <c r="AL21" s="151">
        <f t="shared" si="4"/>
        <v>860.768</v>
      </c>
      <c r="AM21" s="151">
        <f t="shared" si="5"/>
        <v>4303.84</v>
      </c>
      <c r="AN21" s="151">
        <f t="shared" si="6"/>
        <v>903.8064</v>
      </c>
      <c r="AO21" s="151">
        <f t="shared" si="7"/>
        <v>8693.756800000001</v>
      </c>
      <c r="AP21" s="151">
        <f t="shared" si="8"/>
        <v>4432.9552</v>
      </c>
      <c r="AQ21" s="151">
        <f t="shared" si="9"/>
        <v>3227.88</v>
      </c>
      <c r="AR21" s="151">
        <f t="shared" si="10"/>
        <v>3227.88</v>
      </c>
      <c r="AS21" s="242">
        <f>B21*1.15</f>
        <v>4949.416</v>
      </c>
      <c r="AT21" s="213">
        <f t="shared" si="15"/>
        <v>414</v>
      </c>
      <c r="AU21" s="214">
        <v>1931</v>
      </c>
      <c r="AV21" s="214">
        <v>54</v>
      </c>
      <c r="AW21" s="214"/>
      <c r="AX21" s="214">
        <f>96+593+1500</f>
        <v>2189</v>
      </c>
      <c r="AY21" s="214"/>
      <c r="AZ21" s="109"/>
      <c r="BA21" s="213"/>
      <c r="BB21" s="213"/>
      <c r="BC21" s="144">
        <f t="shared" si="11"/>
        <v>38071.8752</v>
      </c>
      <c r="BD21" s="215">
        <f>'[12]Т12'!$S$83+'[12]Т12'!$S$105+'[12]Т12'!$S$134+'[12]Т12'!$S$216</f>
        <v>1175.4499999999998</v>
      </c>
      <c r="BE21" s="205">
        <f t="shared" si="12"/>
        <v>39247.3252</v>
      </c>
      <c r="BF21" s="205">
        <f t="shared" si="13"/>
        <v>9133.300800000005</v>
      </c>
      <c r="BG21" s="205">
        <f t="shared" si="14"/>
        <v>8575.530000000006</v>
      </c>
    </row>
    <row r="22" spans="1:59" s="19" customFormat="1" ht="13.5" thickBot="1">
      <c r="A22" s="246" t="s">
        <v>5</v>
      </c>
      <c r="B22" s="247"/>
      <c r="C22" s="248">
        <f aca="true" t="shared" si="18" ref="C22:BF22">SUM(C10:C21)</f>
        <v>441573.984</v>
      </c>
      <c r="D22" s="248">
        <f t="shared" si="18"/>
        <v>4495.752</v>
      </c>
      <c r="E22" s="248">
        <f t="shared" si="18"/>
        <v>-1.32</v>
      </c>
      <c r="F22" s="248">
        <f t="shared" si="18"/>
        <v>0</v>
      </c>
      <c r="G22" s="248">
        <f t="shared" si="18"/>
        <v>270095.07999999996</v>
      </c>
      <c r="H22" s="248">
        <f t="shared" si="18"/>
        <v>0</v>
      </c>
      <c r="I22" s="248">
        <f t="shared" si="18"/>
        <v>-1.79</v>
      </c>
      <c r="J22" s="248">
        <f t="shared" si="18"/>
        <v>0</v>
      </c>
      <c r="K22" s="248">
        <f t="shared" si="18"/>
        <v>-2.98</v>
      </c>
      <c r="L22" s="248">
        <f t="shared" si="18"/>
        <v>0</v>
      </c>
      <c r="M22" s="248">
        <f t="shared" si="18"/>
        <v>131161.14</v>
      </c>
      <c r="N22" s="248">
        <f t="shared" si="18"/>
        <v>0</v>
      </c>
      <c r="O22" s="248">
        <f t="shared" si="18"/>
        <v>45495.39999999999</v>
      </c>
      <c r="P22" s="248">
        <f t="shared" si="18"/>
        <v>0</v>
      </c>
      <c r="Q22" s="248">
        <f t="shared" si="18"/>
        <v>0</v>
      </c>
      <c r="R22" s="248">
        <f t="shared" si="18"/>
        <v>0</v>
      </c>
      <c r="S22" s="248">
        <f t="shared" si="18"/>
        <v>0</v>
      </c>
      <c r="T22" s="248">
        <f t="shared" si="18"/>
        <v>0</v>
      </c>
      <c r="U22" s="248">
        <f t="shared" si="18"/>
        <v>446745.52999999997</v>
      </c>
      <c r="V22" s="248">
        <f t="shared" si="18"/>
        <v>0</v>
      </c>
      <c r="W22" s="248">
        <f t="shared" si="18"/>
        <v>3958.3999999999996</v>
      </c>
      <c r="X22" s="248">
        <f t="shared" si="18"/>
        <v>230285.96</v>
      </c>
      <c r="Y22" s="248">
        <f t="shared" si="18"/>
        <v>5360.96</v>
      </c>
      <c r="Z22" s="248">
        <f t="shared" si="18"/>
        <v>8924.010000000002</v>
      </c>
      <c r="AA22" s="248">
        <f t="shared" si="18"/>
        <v>127728.55</v>
      </c>
      <c r="AB22" s="248">
        <f t="shared" si="18"/>
        <v>42412.47</v>
      </c>
      <c r="AC22" s="248">
        <f t="shared" si="18"/>
        <v>0</v>
      </c>
      <c r="AD22" s="248">
        <f t="shared" si="18"/>
        <v>0</v>
      </c>
      <c r="AE22" s="248">
        <f t="shared" si="18"/>
        <v>0</v>
      </c>
      <c r="AF22" s="248">
        <f t="shared" si="18"/>
        <v>418670.35</v>
      </c>
      <c r="AG22" s="248">
        <f t="shared" si="18"/>
        <v>423166.102</v>
      </c>
      <c r="AH22" s="248">
        <f t="shared" si="18"/>
        <v>0</v>
      </c>
      <c r="AI22" s="248">
        <f t="shared" si="18"/>
        <v>0</v>
      </c>
      <c r="AJ22" s="248">
        <f t="shared" si="18"/>
        <v>26952.767999999996</v>
      </c>
      <c r="AK22" s="248">
        <f t="shared" si="18"/>
        <v>34602.87360000001</v>
      </c>
      <c r="AL22" s="248">
        <f t="shared" si="18"/>
        <v>10329.216</v>
      </c>
      <c r="AM22" s="248">
        <f t="shared" si="18"/>
        <v>51646.07999999999</v>
      </c>
      <c r="AN22" s="248">
        <f t="shared" si="18"/>
        <v>10845.676800000001</v>
      </c>
      <c r="AO22" s="248">
        <f t="shared" si="18"/>
        <v>104325.08160000002</v>
      </c>
      <c r="AP22" s="248">
        <f t="shared" si="18"/>
        <v>53195.46239999999</v>
      </c>
      <c r="AQ22" s="248">
        <f t="shared" si="18"/>
        <v>38734.560000000005</v>
      </c>
      <c r="AR22" s="248">
        <f t="shared" si="18"/>
        <v>38734.560000000005</v>
      </c>
      <c r="AS22" s="248">
        <f t="shared" si="18"/>
        <v>29696.496000000003</v>
      </c>
      <c r="AT22" s="248">
        <f t="shared" si="18"/>
        <v>4968</v>
      </c>
      <c r="AU22" s="248">
        <f t="shared" si="18"/>
        <v>23616</v>
      </c>
      <c r="AV22" s="248">
        <f t="shared" si="18"/>
        <v>1627</v>
      </c>
      <c r="AW22" s="248">
        <f t="shared" si="18"/>
        <v>5464</v>
      </c>
      <c r="AX22" s="248">
        <f t="shared" si="18"/>
        <v>6092.08</v>
      </c>
      <c r="AY22" s="248">
        <f t="shared" si="18"/>
        <v>0</v>
      </c>
      <c r="AZ22" s="248">
        <f t="shared" si="18"/>
        <v>0</v>
      </c>
      <c r="BA22" s="248">
        <f t="shared" si="18"/>
        <v>15955.8</v>
      </c>
      <c r="BB22" s="248">
        <f t="shared" si="18"/>
        <v>0</v>
      </c>
      <c r="BC22" s="248">
        <f t="shared" si="18"/>
        <v>429832.8864</v>
      </c>
      <c r="BD22" s="248">
        <f t="shared" si="18"/>
        <v>12782.848000000002</v>
      </c>
      <c r="BE22" s="485">
        <f t="shared" si="18"/>
        <v>442615.73439999996</v>
      </c>
      <c r="BF22" s="485">
        <f t="shared" si="18"/>
        <v>7503.135599999976</v>
      </c>
      <c r="BG22" s="485">
        <f>SUM(BG10:BG21)</f>
        <v>-28075.18</v>
      </c>
    </row>
    <row r="23" spans="1:59" s="19" customFormat="1" ht="13.5" thickBot="1">
      <c r="A23" s="249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486"/>
      <c r="BF23" s="487"/>
      <c r="BG23" s="488"/>
    </row>
    <row r="24" spans="1:59" s="19" customFormat="1" ht="13.5" thickBot="1">
      <c r="A24" s="24" t="s">
        <v>53</v>
      </c>
      <c r="B24" s="250"/>
      <c r="C24" s="251">
        <f aca="true" t="shared" si="19" ref="C24:BG24">C22+C8</f>
        <v>1335729.674</v>
      </c>
      <c r="D24" s="251">
        <f t="shared" si="19"/>
        <v>183806.39675000004</v>
      </c>
      <c r="E24" s="251">
        <f t="shared" si="19"/>
        <v>77405.88</v>
      </c>
      <c r="F24" s="251">
        <f t="shared" si="19"/>
        <v>12965.46</v>
      </c>
      <c r="G24" s="251">
        <f t="shared" si="19"/>
        <v>270095.07999999996</v>
      </c>
      <c r="H24" s="251">
        <f t="shared" si="19"/>
        <v>0</v>
      </c>
      <c r="I24" s="251">
        <f t="shared" si="19"/>
        <v>106208.83</v>
      </c>
      <c r="J24" s="251">
        <f t="shared" si="19"/>
        <v>17897.980000000003</v>
      </c>
      <c r="K24" s="251">
        <f t="shared" si="19"/>
        <v>176829.92</v>
      </c>
      <c r="L24" s="251">
        <f t="shared" si="19"/>
        <v>29790.79</v>
      </c>
      <c r="M24" s="251">
        <f t="shared" si="19"/>
        <v>386463.75</v>
      </c>
      <c r="N24" s="251">
        <f t="shared" si="19"/>
        <v>43004.899999999994</v>
      </c>
      <c r="O24" s="251">
        <f t="shared" si="19"/>
        <v>108191.75</v>
      </c>
      <c r="P24" s="251">
        <f t="shared" si="19"/>
        <v>10571.07</v>
      </c>
      <c r="Q24" s="251">
        <f t="shared" si="19"/>
        <v>0</v>
      </c>
      <c r="R24" s="251">
        <f t="shared" si="19"/>
        <v>0</v>
      </c>
      <c r="S24" s="251">
        <f t="shared" si="19"/>
        <v>0</v>
      </c>
      <c r="T24" s="251">
        <f t="shared" si="19"/>
        <v>0</v>
      </c>
      <c r="U24" s="251">
        <f t="shared" si="19"/>
        <v>1136302.76</v>
      </c>
      <c r="V24" s="251">
        <f t="shared" si="19"/>
        <v>114230.19999999998</v>
      </c>
      <c r="W24" s="251">
        <f t="shared" si="19"/>
        <v>75361.62</v>
      </c>
      <c r="X24" s="251">
        <f t="shared" si="19"/>
        <v>230285.96</v>
      </c>
      <c r="Y24" s="251">
        <f t="shared" si="19"/>
        <v>103371.24</v>
      </c>
      <c r="Z24" s="251">
        <f t="shared" si="19"/>
        <v>172114.8</v>
      </c>
      <c r="AA24" s="251">
        <f t="shared" si="19"/>
        <v>363343.75</v>
      </c>
      <c r="AB24" s="251">
        <f t="shared" si="19"/>
        <v>100351.65000000001</v>
      </c>
      <c r="AC24" s="251">
        <f t="shared" si="19"/>
        <v>0</v>
      </c>
      <c r="AD24" s="251">
        <f t="shared" si="19"/>
        <v>0</v>
      </c>
      <c r="AE24" s="251">
        <f t="shared" si="19"/>
        <v>0</v>
      </c>
      <c r="AF24" s="251">
        <f t="shared" si="19"/>
        <v>1044829.0199999999</v>
      </c>
      <c r="AG24" s="251">
        <f t="shared" si="19"/>
        <v>1342865.61675</v>
      </c>
      <c r="AH24" s="251">
        <f t="shared" si="19"/>
        <v>0</v>
      </c>
      <c r="AI24" s="251">
        <f t="shared" si="19"/>
        <v>0</v>
      </c>
      <c r="AJ24" s="251">
        <f t="shared" si="19"/>
        <v>40317.83849999999</v>
      </c>
      <c r="AK24" s="251">
        <f t="shared" si="19"/>
        <v>95591.23920000001</v>
      </c>
      <c r="AL24" s="251">
        <f t="shared" si="19"/>
        <v>30702.6508874</v>
      </c>
      <c r="AM24" s="251">
        <f t="shared" si="19"/>
        <v>152779.55261363898</v>
      </c>
      <c r="AN24" s="251">
        <f t="shared" si="19"/>
        <v>10845.676800000001</v>
      </c>
      <c r="AO24" s="251">
        <f t="shared" si="19"/>
        <v>203044.91963007645</v>
      </c>
      <c r="AP24" s="251">
        <f t="shared" si="19"/>
        <v>280084.9863216884</v>
      </c>
      <c r="AQ24" s="251">
        <f t="shared" si="19"/>
        <v>38734.560000000005</v>
      </c>
      <c r="AR24" s="251">
        <f t="shared" si="19"/>
        <v>38734.560000000005</v>
      </c>
      <c r="AS24" s="251">
        <f t="shared" si="19"/>
        <v>29696.496000000003</v>
      </c>
      <c r="AT24" s="251">
        <f t="shared" si="19"/>
        <v>9936</v>
      </c>
      <c r="AU24" s="251">
        <f t="shared" si="19"/>
        <v>322286.566</v>
      </c>
      <c r="AV24" s="251">
        <f t="shared" si="19"/>
        <v>1627</v>
      </c>
      <c r="AW24" s="251">
        <f t="shared" si="19"/>
        <v>131033.21</v>
      </c>
      <c r="AX24" s="251">
        <f t="shared" si="19"/>
        <v>55802.33293999999</v>
      </c>
      <c r="AY24" s="251">
        <f t="shared" si="19"/>
        <v>29034.465599999996</v>
      </c>
      <c r="AZ24" s="251">
        <f t="shared" si="19"/>
        <v>0</v>
      </c>
      <c r="BA24" s="251">
        <f t="shared" si="19"/>
        <v>15955.8</v>
      </c>
      <c r="BB24" s="251">
        <f t="shared" si="19"/>
        <v>0</v>
      </c>
      <c r="BC24" s="251">
        <f t="shared" si="19"/>
        <v>1445890.0159928037</v>
      </c>
      <c r="BD24" s="251">
        <f t="shared" si="19"/>
        <v>18343.408230351</v>
      </c>
      <c r="BE24" s="489">
        <f t="shared" si="19"/>
        <v>1464233.4242231548</v>
      </c>
      <c r="BF24" s="489">
        <f t="shared" si="19"/>
        <v>-81049.96897315483</v>
      </c>
      <c r="BG24" s="490">
        <f t="shared" si="19"/>
        <v>-91473.74000000002</v>
      </c>
    </row>
    <row r="25" spans="1:59" ht="12.75">
      <c r="A25" s="5" t="s">
        <v>126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51">
        <f>'[11]Лист1'!AB60</f>
        <v>0</v>
      </c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483"/>
      <c r="BF25" s="482"/>
      <c r="BG25" s="484"/>
    </row>
    <row r="26" spans="1:59" ht="12.75">
      <c r="A26" s="196" t="s">
        <v>44</v>
      </c>
      <c r="B26" s="143">
        <v>4303.84</v>
      </c>
      <c r="C26" s="115">
        <f aca="true" t="shared" si="20" ref="C26:C31">B26*8.55</f>
        <v>36797.832</v>
      </c>
      <c r="D26" s="491">
        <v>327.522</v>
      </c>
      <c r="E26" s="220"/>
      <c r="F26" s="220"/>
      <c r="G26" s="220">
        <v>22745.72</v>
      </c>
      <c r="H26" s="220"/>
      <c r="I26" s="220"/>
      <c r="J26" s="220"/>
      <c r="K26" s="220"/>
      <c r="L26" s="220"/>
      <c r="M26" s="220">
        <v>11045.73</v>
      </c>
      <c r="N26" s="220"/>
      <c r="O26" s="220">
        <v>3821.22</v>
      </c>
      <c r="P26" s="220"/>
      <c r="Q26" s="220"/>
      <c r="R26" s="220"/>
      <c r="S26" s="226"/>
      <c r="T26" s="245"/>
      <c r="U26" s="240">
        <f aca="true" t="shared" si="21" ref="U26:V31">E26+G26+I26+K26+M26+O26+Q26+S26</f>
        <v>37612.67</v>
      </c>
      <c r="V26" s="241">
        <f t="shared" si="21"/>
        <v>0</v>
      </c>
      <c r="W26" s="220">
        <v>0</v>
      </c>
      <c r="X26" s="220">
        <v>16623.81</v>
      </c>
      <c r="Y26" s="220">
        <v>0</v>
      </c>
      <c r="Z26" s="220">
        <v>0</v>
      </c>
      <c r="AA26" s="220">
        <v>8072.65</v>
      </c>
      <c r="AB26" s="220">
        <v>2799.87</v>
      </c>
      <c r="AC26" s="220"/>
      <c r="AD26" s="220"/>
      <c r="AE26" s="226"/>
      <c r="AF26" s="227">
        <f aca="true" t="shared" si="22" ref="AF26:AF31">SUM(W26:AE26)</f>
        <v>27496.329999999998</v>
      </c>
      <c r="AG26" s="234">
        <f aca="true" t="shared" si="23" ref="AG26:AG37">D26+V26+AF26</f>
        <v>27823.852</v>
      </c>
      <c r="AH26" s="211">
        <f aca="true" t="shared" si="24" ref="AH26:AI37">AC26</f>
        <v>0</v>
      </c>
      <c r="AI26" s="211">
        <f t="shared" si="24"/>
        <v>0</v>
      </c>
      <c r="AJ26" s="212">
        <f>'[15]Т01'!$J$58+'[15]Т01'!$J$74+'[15]Т01'!$J$92+'[15]Т01'!$J$218</f>
        <v>2232.25</v>
      </c>
      <c r="AK26" s="151">
        <f aca="true" t="shared" si="25" ref="AK26:AK31">0.67*B26</f>
        <v>2883.5728000000004</v>
      </c>
      <c r="AL26" s="151">
        <f aca="true" t="shared" si="26" ref="AL26:AL37">B26*0.2</f>
        <v>860.768</v>
      </c>
      <c r="AM26" s="151">
        <f aca="true" t="shared" si="27" ref="AM26:AM37">B26*1</f>
        <v>4303.84</v>
      </c>
      <c r="AN26" s="151">
        <f aca="true" t="shared" si="28" ref="AN26:AN37">B26*0.21</f>
        <v>903.8064</v>
      </c>
      <c r="AO26" s="151">
        <f aca="true" t="shared" si="29" ref="AO26:AO37">2.02*B26</f>
        <v>8693.756800000001</v>
      </c>
      <c r="AP26" s="151">
        <f aca="true" t="shared" si="30" ref="AP26:AP37">B26*1.03</f>
        <v>4432.9552</v>
      </c>
      <c r="AQ26" s="151">
        <f aca="true" t="shared" si="31" ref="AQ26:AQ37">B26*0.75</f>
        <v>3227.88</v>
      </c>
      <c r="AR26" s="151">
        <f aca="true" t="shared" si="32" ref="AR26:AR37">B26*0.75</f>
        <v>3227.88</v>
      </c>
      <c r="AS26" s="242">
        <f>B26*1.15</f>
        <v>4949.416</v>
      </c>
      <c r="AT26" s="213">
        <f>0.45*920</f>
        <v>414</v>
      </c>
      <c r="AU26" s="492">
        <v>5304</v>
      </c>
      <c r="AV26" s="214"/>
      <c r="AW26" s="214"/>
      <c r="AX26" s="214">
        <f>476</f>
        <v>476</v>
      </c>
      <c r="AY26" s="214"/>
      <c r="AZ26" s="214"/>
      <c r="BA26" s="109"/>
      <c r="BB26" s="213"/>
      <c r="BC26" s="228">
        <f>SUM(AK26:BB26)</f>
        <v>39677.8752</v>
      </c>
      <c r="BD26" s="215">
        <f>'[15]Т01'!$S$58+'[15]Т01'!$S$74+'[15]Т01'!$S$92+'[15]Т01'!$S$218</f>
        <v>1175.4499999999998</v>
      </c>
      <c r="BE26" s="205">
        <f>BC26+BD26</f>
        <v>40853.3252</v>
      </c>
      <c r="BF26" s="205">
        <f>AG26+AJ26-BE26</f>
        <v>-10797.2232</v>
      </c>
      <c r="BG26" s="205">
        <f>AF26-U26</f>
        <v>-10116.34</v>
      </c>
    </row>
    <row r="27" spans="1:59" ht="12.75">
      <c r="A27" s="196" t="s">
        <v>45</v>
      </c>
      <c r="B27" s="143">
        <v>4303.84</v>
      </c>
      <c r="C27" s="115">
        <f t="shared" si="20"/>
        <v>36797.832</v>
      </c>
      <c r="D27" s="491">
        <v>327.522</v>
      </c>
      <c r="E27" s="229"/>
      <c r="F27" s="229"/>
      <c r="G27" s="229">
        <v>22733.3</v>
      </c>
      <c r="H27" s="229"/>
      <c r="I27" s="229"/>
      <c r="J27" s="229"/>
      <c r="K27" s="229"/>
      <c r="L27" s="229"/>
      <c r="M27" s="229">
        <v>11039.64</v>
      </c>
      <c r="N27" s="229"/>
      <c r="O27" s="229">
        <v>3829.05</v>
      </c>
      <c r="P27" s="229"/>
      <c r="Q27" s="229"/>
      <c r="R27" s="229"/>
      <c r="S27" s="230"/>
      <c r="T27" s="245"/>
      <c r="U27" s="240">
        <f t="shared" si="21"/>
        <v>37601.990000000005</v>
      </c>
      <c r="V27" s="241">
        <f t="shared" si="21"/>
        <v>0</v>
      </c>
      <c r="W27" s="229">
        <v>0</v>
      </c>
      <c r="X27" s="229">
        <v>20244.29</v>
      </c>
      <c r="Y27" s="229">
        <v>0</v>
      </c>
      <c r="Z27" s="229">
        <v>0</v>
      </c>
      <c r="AA27" s="229">
        <v>9830.18</v>
      </c>
      <c r="AB27" s="229">
        <v>3408.94</v>
      </c>
      <c r="AC27" s="229"/>
      <c r="AD27" s="229"/>
      <c r="AE27" s="230"/>
      <c r="AF27" s="227">
        <f t="shared" si="22"/>
        <v>33483.41</v>
      </c>
      <c r="AG27" s="234">
        <f t="shared" si="23"/>
        <v>33810.932</v>
      </c>
      <c r="AH27" s="211">
        <f t="shared" si="24"/>
        <v>0</v>
      </c>
      <c r="AI27" s="211">
        <f t="shared" si="24"/>
        <v>0</v>
      </c>
      <c r="AJ27" s="212">
        <f>'[15]Т01'!$J$58+'[15]Т01'!$J$74+'[15]Т01'!$J$92+'[15]Т01'!$J$218</f>
        <v>2232.25</v>
      </c>
      <c r="AK27" s="146">
        <f t="shared" si="25"/>
        <v>2883.5728000000004</v>
      </c>
      <c r="AL27" s="151">
        <f t="shared" si="26"/>
        <v>860.768</v>
      </c>
      <c r="AM27" s="151">
        <f t="shared" si="27"/>
        <v>4303.84</v>
      </c>
      <c r="AN27" s="151">
        <f t="shared" si="28"/>
        <v>903.8064</v>
      </c>
      <c r="AO27" s="151">
        <f t="shared" si="29"/>
        <v>8693.756800000001</v>
      </c>
      <c r="AP27" s="151">
        <f t="shared" si="30"/>
        <v>4432.9552</v>
      </c>
      <c r="AQ27" s="151">
        <f t="shared" si="31"/>
        <v>3227.88</v>
      </c>
      <c r="AR27" s="151">
        <f t="shared" si="32"/>
        <v>3227.88</v>
      </c>
      <c r="AS27" s="242">
        <f>B27*1.15</f>
        <v>4949.416</v>
      </c>
      <c r="AT27" s="213">
        <f>0.45*920</f>
        <v>414</v>
      </c>
      <c r="AU27" s="492"/>
      <c r="AV27" s="214"/>
      <c r="AW27" s="214"/>
      <c r="AX27" s="214"/>
      <c r="AY27" s="214"/>
      <c r="AZ27" s="214"/>
      <c r="BA27" s="109"/>
      <c r="BB27" s="213"/>
      <c r="BC27" s="144">
        <f>SUM(AK27:BB27)</f>
        <v>33897.8752</v>
      </c>
      <c r="BD27" s="215">
        <f>'[15]Т01'!$S$58+'[15]Т01'!$S$74+'[15]Т01'!$S$92+'[15]Т01'!$S$218</f>
        <v>1175.4499999999998</v>
      </c>
      <c r="BE27" s="205">
        <f aca="true" t="shared" si="33" ref="BE27:BE37">BC27+BD27</f>
        <v>35073.3252</v>
      </c>
      <c r="BF27" s="205">
        <f aca="true" t="shared" si="34" ref="BF27:BF37">AG27+AJ27-BE27</f>
        <v>969.8568000000014</v>
      </c>
      <c r="BG27" s="205">
        <f aca="true" t="shared" si="35" ref="BG27:BG37">AF27-U27</f>
        <v>-4118.580000000002</v>
      </c>
    </row>
    <row r="28" spans="1:59" ht="12.75">
      <c r="A28" s="196" t="s">
        <v>46</v>
      </c>
      <c r="B28" s="143">
        <v>4303.84</v>
      </c>
      <c r="C28" s="115">
        <f t="shared" si="20"/>
        <v>36797.832</v>
      </c>
      <c r="D28" s="491">
        <v>327.522</v>
      </c>
      <c r="E28" s="229"/>
      <c r="F28" s="229"/>
      <c r="G28" s="229">
        <v>22725.41</v>
      </c>
      <c r="H28" s="229"/>
      <c r="I28" s="229"/>
      <c r="J28" s="229"/>
      <c r="K28" s="229"/>
      <c r="L28" s="229"/>
      <c r="M28" s="229">
        <v>11035.77</v>
      </c>
      <c r="N28" s="229"/>
      <c r="O28" s="229">
        <v>3827.66</v>
      </c>
      <c r="P28" s="229"/>
      <c r="Q28" s="229"/>
      <c r="R28" s="229"/>
      <c r="S28" s="230"/>
      <c r="T28" s="245"/>
      <c r="U28" s="240">
        <f t="shared" si="21"/>
        <v>37588.84</v>
      </c>
      <c r="V28" s="241">
        <f t="shared" si="21"/>
        <v>0</v>
      </c>
      <c r="W28" s="220">
        <v>0</v>
      </c>
      <c r="X28" s="220">
        <v>23993.54</v>
      </c>
      <c r="Y28" s="220">
        <v>0</v>
      </c>
      <c r="Z28" s="220">
        <v>0</v>
      </c>
      <c r="AA28" s="220">
        <v>9433.84</v>
      </c>
      <c r="AB28" s="220">
        <v>2943.88</v>
      </c>
      <c r="AC28" s="220"/>
      <c r="AD28" s="220"/>
      <c r="AE28" s="226"/>
      <c r="AF28" s="227">
        <f t="shared" si="22"/>
        <v>36371.26</v>
      </c>
      <c r="AG28" s="234">
        <f t="shared" si="23"/>
        <v>36698.782</v>
      </c>
      <c r="AH28" s="211">
        <f t="shared" si="24"/>
        <v>0</v>
      </c>
      <c r="AI28" s="211">
        <f t="shared" si="24"/>
        <v>0</v>
      </c>
      <c r="AJ28" s="212">
        <f>'[15]Т01'!$J$58+'[15]Т01'!$J$74+'[15]Т01'!$J$92+'[15]Т01'!$J$218</f>
        <v>2232.25</v>
      </c>
      <c r="AK28" s="146">
        <f t="shared" si="25"/>
        <v>2883.5728000000004</v>
      </c>
      <c r="AL28" s="151">
        <f t="shared" si="26"/>
        <v>860.768</v>
      </c>
      <c r="AM28" s="151">
        <f t="shared" si="27"/>
        <v>4303.84</v>
      </c>
      <c r="AN28" s="151">
        <f t="shared" si="28"/>
        <v>903.8064</v>
      </c>
      <c r="AO28" s="151">
        <f t="shared" si="29"/>
        <v>8693.756800000001</v>
      </c>
      <c r="AP28" s="151">
        <f t="shared" si="30"/>
        <v>4432.9552</v>
      </c>
      <c r="AQ28" s="151">
        <f t="shared" si="31"/>
        <v>3227.88</v>
      </c>
      <c r="AR28" s="151">
        <f t="shared" si="32"/>
        <v>3227.88</v>
      </c>
      <c r="AS28" s="242">
        <f>B28*1.15</f>
        <v>4949.416</v>
      </c>
      <c r="AT28" s="213">
        <f>0.45*920</f>
        <v>414</v>
      </c>
      <c r="AU28" s="492">
        <v>33903</v>
      </c>
      <c r="AV28" s="214">
        <v>190.61</v>
      </c>
      <c r="AW28" s="214"/>
      <c r="AX28" s="214">
        <f>12177+202.98</f>
        <v>12379.98</v>
      </c>
      <c r="AY28" s="214"/>
      <c r="AZ28" s="214"/>
      <c r="BA28" s="109"/>
      <c r="BB28" s="213"/>
      <c r="BC28" s="228">
        <f>SUM(AK28:BB28)</f>
        <v>80371.4652</v>
      </c>
      <c r="BD28" s="215">
        <f>'[15]Т01'!$S$58+'[15]Т01'!$S$74+'[15]Т01'!$S$92+'[15]Т01'!$S$218</f>
        <v>1175.4499999999998</v>
      </c>
      <c r="BE28" s="205">
        <f t="shared" si="33"/>
        <v>81546.9152</v>
      </c>
      <c r="BF28" s="205">
        <f t="shared" si="34"/>
        <v>-42615.883200000004</v>
      </c>
      <c r="BG28" s="205">
        <f t="shared" si="35"/>
        <v>-1217.5799999999945</v>
      </c>
    </row>
    <row r="29" spans="1:59" ht="12.75">
      <c r="A29" s="196" t="s">
        <v>47</v>
      </c>
      <c r="B29" s="143">
        <v>4303.84</v>
      </c>
      <c r="C29" s="115">
        <f t="shared" si="20"/>
        <v>36797.832</v>
      </c>
      <c r="D29" s="491">
        <v>327.522</v>
      </c>
      <c r="E29" s="229"/>
      <c r="F29" s="229"/>
      <c r="G29" s="229">
        <v>22719.62</v>
      </c>
      <c r="H29" s="229"/>
      <c r="I29" s="229"/>
      <c r="J29" s="229"/>
      <c r="K29" s="229"/>
      <c r="L29" s="229"/>
      <c r="M29" s="229">
        <v>11032.92</v>
      </c>
      <c r="N29" s="229"/>
      <c r="O29" s="229">
        <v>3826.65</v>
      </c>
      <c r="P29" s="229"/>
      <c r="Q29" s="229"/>
      <c r="R29" s="229"/>
      <c r="S29" s="230"/>
      <c r="T29" s="245"/>
      <c r="U29" s="240">
        <f t="shared" si="21"/>
        <v>37579.19</v>
      </c>
      <c r="V29" s="241">
        <f t="shared" si="21"/>
        <v>0</v>
      </c>
      <c r="W29" s="243">
        <v>0</v>
      </c>
      <c r="X29" s="243">
        <v>24482.44</v>
      </c>
      <c r="Y29" s="243">
        <v>0</v>
      </c>
      <c r="Z29" s="243">
        <v>0</v>
      </c>
      <c r="AA29" s="243">
        <v>9607.15</v>
      </c>
      <c r="AB29" s="243">
        <v>3332.18</v>
      </c>
      <c r="AC29" s="243"/>
      <c r="AD29" s="243"/>
      <c r="AE29" s="244"/>
      <c r="AF29" s="227">
        <f t="shared" si="22"/>
        <v>37421.77</v>
      </c>
      <c r="AG29" s="234">
        <f t="shared" si="23"/>
        <v>37749.291999999994</v>
      </c>
      <c r="AH29" s="211">
        <f t="shared" si="24"/>
        <v>0</v>
      </c>
      <c r="AI29" s="211">
        <f t="shared" si="24"/>
        <v>0</v>
      </c>
      <c r="AJ29" s="212">
        <f>'[15]Т01'!$J$58+'[15]Т01'!$J$74+'[15]Т01'!$J$92+'[15]Т01'!$J$218</f>
        <v>2232.25</v>
      </c>
      <c r="AK29" s="146">
        <f t="shared" si="25"/>
        <v>2883.5728000000004</v>
      </c>
      <c r="AL29" s="151">
        <f t="shared" si="26"/>
        <v>860.768</v>
      </c>
      <c r="AM29" s="151">
        <f t="shared" si="27"/>
        <v>4303.84</v>
      </c>
      <c r="AN29" s="151">
        <f t="shared" si="28"/>
        <v>903.8064</v>
      </c>
      <c r="AO29" s="151">
        <f t="shared" si="29"/>
        <v>8693.756800000001</v>
      </c>
      <c r="AP29" s="151">
        <f t="shared" si="30"/>
        <v>4432.9552</v>
      </c>
      <c r="AQ29" s="151">
        <f t="shared" si="31"/>
        <v>3227.88</v>
      </c>
      <c r="AR29" s="151">
        <f t="shared" si="32"/>
        <v>3227.88</v>
      </c>
      <c r="AS29" s="242"/>
      <c r="AT29" s="213">
        <f>0.45*920</f>
        <v>414</v>
      </c>
      <c r="AU29" s="492"/>
      <c r="AV29" s="214"/>
      <c r="AW29" s="214"/>
      <c r="AX29" s="214">
        <f>25.65</f>
        <v>25.65</v>
      </c>
      <c r="AY29" s="214"/>
      <c r="AZ29" s="214"/>
      <c r="BA29" s="109"/>
      <c r="BB29" s="213"/>
      <c r="BC29" s="228">
        <f>SUM(AK29:BB29)</f>
        <v>28974.109200000003</v>
      </c>
      <c r="BD29" s="215">
        <f>'[15]Т01'!$S$58+'[15]Т01'!$S$74+'[15]Т01'!$S$92+'[15]Т01'!$S$218</f>
        <v>1175.4499999999998</v>
      </c>
      <c r="BE29" s="205">
        <f t="shared" si="33"/>
        <v>30149.559200000003</v>
      </c>
      <c r="BF29" s="205">
        <f t="shared" si="34"/>
        <v>9831.98279999999</v>
      </c>
      <c r="BG29" s="205">
        <f t="shared" si="35"/>
        <v>-157.42000000000553</v>
      </c>
    </row>
    <row r="30" spans="1:59" ht="12.75">
      <c r="A30" s="196" t="s">
        <v>48</v>
      </c>
      <c r="B30" s="143">
        <v>4303.84</v>
      </c>
      <c r="C30" s="115">
        <f t="shared" si="20"/>
        <v>36797.832</v>
      </c>
      <c r="D30" s="491">
        <v>327.522</v>
      </c>
      <c r="E30" s="229"/>
      <c r="F30" s="229"/>
      <c r="G30" s="229">
        <v>22719.62</v>
      </c>
      <c r="H30" s="229"/>
      <c r="I30" s="229"/>
      <c r="J30" s="229"/>
      <c r="K30" s="229"/>
      <c r="L30" s="229"/>
      <c r="M30" s="229">
        <v>11032.92</v>
      </c>
      <c r="N30" s="229"/>
      <c r="O30" s="229">
        <v>3826.65</v>
      </c>
      <c r="P30" s="229"/>
      <c r="Q30" s="229"/>
      <c r="R30" s="229"/>
      <c r="S30" s="230"/>
      <c r="T30" s="245"/>
      <c r="U30" s="240">
        <f t="shared" si="21"/>
        <v>37579.19</v>
      </c>
      <c r="V30" s="241">
        <f t="shared" si="21"/>
        <v>0</v>
      </c>
      <c r="W30" s="243">
        <v>0</v>
      </c>
      <c r="X30" s="243">
        <v>21832.37</v>
      </c>
      <c r="Y30" s="243">
        <v>0</v>
      </c>
      <c r="Z30" s="243">
        <v>0</v>
      </c>
      <c r="AA30" s="243">
        <v>9735.31</v>
      </c>
      <c r="AB30" s="243">
        <v>3337.09</v>
      </c>
      <c r="AC30" s="243"/>
      <c r="AD30" s="243"/>
      <c r="AE30" s="243"/>
      <c r="AF30" s="227">
        <f t="shared" si="22"/>
        <v>34904.770000000004</v>
      </c>
      <c r="AG30" s="234">
        <f t="shared" si="23"/>
        <v>35232.292</v>
      </c>
      <c r="AH30" s="211">
        <f t="shared" si="24"/>
        <v>0</v>
      </c>
      <c r="AI30" s="211">
        <f t="shared" si="24"/>
        <v>0</v>
      </c>
      <c r="AJ30" s="212">
        <f>'[15]Т05'!$J$55+'[15]Т05'!$J$72+'[15]Т05'!$J$90+'[15]Т05'!$J$225</f>
        <v>2232.25</v>
      </c>
      <c r="AK30" s="146">
        <f t="shared" si="25"/>
        <v>2883.5728000000004</v>
      </c>
      <c r="AL30" s="151">
        <f t="shared" si="26"/>
        <v>860.768</v>
      </c>
      <c r="AM30" s="151">
        <f t="shared" si="27"/>
        <v>4303.84</v>
      </c>
      <c r="AN30" s="151">
        <f t="shared" si="28"/>
        <v>903.8064</v>
      </c>
      <c r="AO30" s="151">
        <f t="shared" si="29"/>
        <v>8693.756800000001</v>
      </c>
      <c r="AP30" s="151">
        <f t="shared" si="30"/>
        <v>4432.9552</v>
      </c>
      <c r="AQ30" s="151">
        <f t="shared" si="31"/>
        <v>3227.88</v>
      </c>
      <c r="AR30" s="151">
        <f t="shared" si="32"/>
        <v>3227.88</v>
      </c>
      <c r="AS30" s="242"/>
      <c r="AT30" s="213">
        <f>0.45*920</f>
        <v>414</v>
      </c>
      <c r="AU30" s="492"/>
      <c r="AV30" s="214"/>
      <c r="AW30" s="214"/>
      <c r="AX30" s="214"/>
      <c r="AY30" s="214"/>
      <c r="AZ30" s="214"/>
      <c r="BA30" s="109"/>
      <c r="BB30" s="213"/>
      <c r="BC30" s="228">
        <f>SUM(AK30:BB30)</f>
        <v>28948.4592</v>
      </c>
      <c r="BD30" s="215">
        <f>'[15]Т05'!$S$55+'[15]Т05'!$S$72+'[15]Т05'!$S$90+'[15]Т05'!$S$225</f>
        <v>1175.4499999999998</v>
      </c>
      <c r="BE30" s="205">
        <f t="shared" si="33"/>
        <v>30123.909200000002</v>
      </c>
      <c r="BF30" s="205">
        <f t="shared" si="34"/>
        <v>7340.632799999999</v>
      </c>
      <c r="BG30" s="205">
        <f t="shared" si="35"/>
        <v>-2674.4199999999983</v>
      </c>
    </row>
    <row r="31" spans="1:59" ht="12.75">
      <c r="A31" s="196" t="s">
        <v>49</v>
      </c>
      <c r="B31" s="493">
        <v>4302.64</v>
      </c>
      <c r="C31" s="115">
        <f t="shared" si="20"/>
        <v>36787.57200000001</v>
      </c>
      <c r="D31" s="491">
        <v>327.522</v>
      </c>
      <c r="E31" s="229"/>
      <c r="F31" s="229"/>
      <c r="G31" s="229">
        <v>22684.77</v>
      </c>
      <c r="H31" s="229"/>
      <c r="I31" s="229"/>
      <c r="J31" s="229"/>
      <c r="K31" s="229"/>
      <c r="L31" s="229"/>
      <c r="M31" s="229">
        <v>11016.06</v>
      </c>
      <c r="N31" s="229"/>
      <c r="O31" s="229">
        <v>3820.83</v>
      </c>
      <c r="P31" s="229"/>
      <c r="Q31" s="229"/>
      <c r="R31" s="229"/>
      <c r="S31" s="230"/>
      <c r="T31" s="245"/>
      <c r="U31" s="240">
        <f t="shared" si="21"/>
        <v>37521.66</v>
      </c>
      <c r="V31" s="241">
        <f t="shared" si="21"/>
        <v>0</v>
      </c>
      <c r="W31" s="243"/>
      <c r="X31" s="494">
        <v>27610.41</v>
      </c>
      <c r="Y31" s="243"/>
      <c r="Z31" s="243"/>
      <c r="AA31" s="494">
        <v>11347.67</v>
      </c>
      <c r="AB31" s="494">
        <v>3869.07</v>
      </c>
      <c r="AC31" s="243"/>
      <c r="AD31" s="494"/>
      <c r="AE31" s="495"/>
      <c r="AF31" s="227">
        <f t="shared" si="22"/>
        <v>42827.15</v>
      </c>
      <c r="AG31" s="234">
        <f t="shared" si="23"/>
        <v>43154.672</v>
      </c>
      <c r="AH31" s="211">
        <f t="shared" si="24"/>
        <v>0</v>
      </c>
      <c r="AI31" s="211">
        <f t="shared" si="24"/>
        <v>0</v>
      </c>
      <c r="AJ31" s="212">
        <f>'[15]Т06'!$J$55+'[15]Т06'!$J$72+'[15]Т06'!$J$90+'[15]Т06'!$J$160+'[15]Т06'!$J$256</f>
        <v>2432.25</v>
      </c>
      <c r="AK31" s="146">
        <f t="shared" si="25"/>
        <v>2882.7688000000003</v>
      </c>
      <c r="AL31" s="151">
        <f t="shared" si="26"/>
        <v>860.5280000000001</v>
      </c>
      <c r="AM31" s="151">
        <f t="shared" si="27"/>
        <v>4302.64</v>
      </c>
      <c r="AN31" s="151">
        <f t="shared" si="28"/>
        <v>903.5544</v>
      </c>
      <c r="AO31" s="151">
        <f t="shared" si="29"/>
        <v>8691.3328</v>
      </c>
      <c r="AP31" s="151">
        <f t="shared" si="30"/>
        <v>4431.7192000000005</v>
      </c>
      <c r="AQ31" s="151">
        <f t="shared" si="31"/>
        <v>3226.9800000000005</v>
      </c>
      <c r="AR31" s="151">
        <f t="shared" si="32"/>
        <v>3226.9800000000005</v>
      </c>
      <c r="AS31" s="242"/>
      <c r="AT31" s="213">
        <f>0.45*920</f>
        <v>414</v>
      </c>
      <c r="AU31" s="492">
        <v>2610</v>
      </c>
      <c r="AV31" s="214"/>
      <c r="AW31" s="214">
        <v>209</v>
      </c>
      <c r="AX31" s="214">
        <f>1411.28+305+222.4</f>
        <v>1938.68</v>
      </c>
      <c r="AY31" s="214"/>
      <c r="AZ31" s="214"/>
      <c r="BA31" s="109"/>
      <c r="BB31" s="213"/>
      <c r="BC31" s="228">
        <f>SUM(AK31:BB31)</f>
        <v>33698.1832</v>
      </c>
      <c r="BD31" s="215">
        <f>'[15]Т06'!$S$55+'[15]Т06'!$S$72+'[15]Т06'!$S$90+'[15]Т06'!$S$160+'[15]Т06'!$S$256</f>
        <v>1225.4499999999998</v>
      </c>
      <c r="BE31" s="205">
        <f t="shared" si="33"/>
        <v>34923.6332</v>
      </c>
      <c r="BF31" s="205">
        <f t="shared" si="34"/>
        <v>10663.288800000002</v>
      </c>
      <c r="BG31" s="205">
        <f t="shared" si="35"/>
        <v>5305.489999999998</v>
      </c>
    </row>
    <row r="32" spans="1:59" ht="12.75">
      <c r="A32" s="196" t="s">
        <v>50</v>
      </c>
      <c r="B32" s="143">
        <v>4302.64</v>
      </c>
      <c r="C32" s="115">
        <f>B32*9.51</f>
        <v>40918.106400000004</v>
      </c>
      <c r="D32" s="491">
        <v>438.30150000000003</v>
      </c>
      <c r="E32" s="229"/>
      <c r="F32" s="229"/>
      <c r="G32" s="229">
        <v>41884.36</v>
      </c>
      <c r="H32" s="229"/>
      <c r="I32" s="229"/>
      <c r="J32" s="229"/>
      <c r="K32" s="229"/>
      <c r="L32" s="229"/>
      <c r="M32" s="229">
        <v>11.61</v>
      </c>
      <c r="N32" s="229"/>
      <c r="O32" s="229">
        <v>4.15</v>
      </c>
      <c r="P32" s="229"/>
      <c r="Q32" s="229"/>
      <c r="R32" s="229"/>
      <c r="S32" s="230"/>
      <c r="T32" s="245"/>
      <c r="U32" s="240">
        <f aca="true" t="shared" si="36" ref="U32:V37">G32+M32+O32+Q32+S32</f>
        <v>41900.12</v>
      </c>
      <c r="V32" s="496">
        <f t="shared" si="36"/>
        <v>0</v>
      </c>
      <c r="W32" s="243"/>
      <c r="X32" s="220">
        <v>23296.05</v>
      </c>
      <c r="Y32" s="243"/>
      <c r="Z32" s="243"/>
      <c r="AA32" s="220">
        <v>8925.17</v>
      </c>
      <c r="AB32" s="220">
        <v>3046.44</v>
      </c>
      <c r="AC32" s="243"/>
      <c r="AD32" s="220"/>
      <c r="AE32" s="226"/>
      <c r="AF32" s="227">
        <f aca="true" t="shared" si="37" ref="AF32:AF37">SUM(X32:AE32)</f>
        <v>35267.66</v>
      </c>
      <c r="AG32" s="234">
        <f t="shared" si="23"/>
        <v>35705.961500000005</v>
      </c>
      <c r="AH32" s="497">
        <v>0</v>
      </c>
      <c r="AI32" s="211">
        <f t="shared" si="24"/>
        <v>0</v>
      </c>
      <c r="AJ32" s="212">
        <f>'[15]Т07'!$J$55+'[15]Т07'!$J$72+'[15]Т07'!$J$92+'[15]Т07'!$J$162+'[15]Т07'!$J$258</f>
        <v>2432.25</v>
      </c>
      <c r="AK32" s="151">
        <f aca="true" t="shared" si="38" ref="AK32:AK37">0.75*B32</f>
        <v>3226.9800000000005</v>
      </c>
      <c r="AL32" s="151">
        <f t="shared" si="26"/>
        <v>860.5280000000001</v>
      </c>
      <c r="AM32" s="151">
        <f t="shared" si="27"/>
        <v>4302.64</v>
      </c>
      <c r="AN32" s="151">
        <f t="shared" si="28"/>
        <v>903.5544</v>
      </c>
      <c r="AO32" s="151">
        <f t="shared" si="29"/>
        <v>8691.3328</v>
      </c>
      <c r="AP32" s="151">
        <f t="shared" si="30"/>
        <v>4431.7192000000005</v>
      </c>
      <c r="AQ32" s="151">
        <f t="shared" si="31"/>
        <v>3226.9800000000005</v>
      </c>
      <c r="AR32" s="151">
        <f t="shared" si="32"/>
        <v>3226.9800000000005</v>
      </c>
      <c r="AS32" s="242"/>
      <c r="AT32" s="213">
        <f>0.45*920</f>
        <v>414</v>
      </c>
      <c r="AU32" s="492">
        <v>7307</v>
      </c>
      <c r="AV32" s="214"/>
      <c r="AW32" s="214"/>
      <c r="AX32" s="214">
        <f>693+500+99.96</f>
        <v>1292.96</v>
      </c>
      <c r="AY32" s="214"/>
      <c r="AZ32" s="214"/>
      <c r="BA32" s="109"/>
      <c r="BB32" s="213"/>
      <c r="BC32" s="228">
        <f>SUM(AK32:BB32)</f>
        <v>37884.674399999996</v>
      </c>
      <c r="BD32" s="215">
        <f>'[15]Т07'!$S$55+'[15]Т07'!$S$72+'[15]Т07'!$S$92+'[15]Т07'!$S$162+'[15]Т07'!$S$258</f>
        <v>1225.4499999999998</v>
      </c>
      <c r="BE32" s="205">
        <f t="shared" si="33"/>
        <v>39110.12439999999</v>
      </c>
      <c r="BF32" s="205">
        <f t="shared" si="34"/>
        <v>-971.9128999999884</v>
      </c>
      <c r="BG32" s="205">
        <f t="shared" si="35"/>
        <v>-6632.459999999999</v>
      </c>
    </row>
    <row r="33" spans="1:59" ht="12.75">
      <c r="A33" s="196" t="s">
        <v>51</v>
      </c>
      <c r="B33" s="143">
        <v>4302.64</v>
      </c>
      <c r="C33" s="115">
        <f>B33*9.51</f>
        <v>40918.106400000004</v>
      </c>
      <c r="D33" s="491"/>
      <c r="E33" s="229"/>
      <c r="F33" s="229"/>
      <c r="G33" s="229">
        <v>41865.21</v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30"/>
      <c r="T33" s="245"/>
      <c r="U33" s="240">
        <f t="shared" si="36"/>
        <v>41865.21</v>
      </c>
      <c r="V33" s="496">
        <f t="shared" si="36"/>
        <v>0</v>
      </c>
      <c r="W33" s="243"/>
      <c r="X33" s="220">
        <v>42816.58</v>
      </c>
      <c r="Y33" s="243"/>
      <c r="Z33" s="243"/>
      <c r="AA33" s="220">
        <v>1881.48</v>
      </c>
      <c r="AB33" s="220">
        <v>621.48</v>
      </c>
      <c r="AC33" s="243"/>
      <c r="AD33" s="220"/>
      <c r="AE33" s="226"/>
      <c r="AF33" s="227">
        <f t="shared" si="37"/>
        <v>45319.54000000001</v>
      </c>
      <c r="AG33" s="234">
        <f t="shared" si="23"/>
        <v>45319.54000000001</v>
      </c>
      <c r="AH33" s="497">
        <v>0</v>
      </c>
      <c r="AI33" s="211">
        <f t="shared" si="24"/>
        <v>0</v>
      </c>
      <c r="AJ33" s="212">
        <f>'[15]Т08'!$J$55+'[15]Т08'!$J$72+'[15]Т08'!$J$92+'[15]Т08'!$J$162+'[15]Т08'!$J$258+'[15]Т08'!$J$290</f>
        <v>4232.25</v>
      </c>
      <c r="AK33" s="151">
        <f t="shared" si="38"/>
        <v>3226.9800000000005</v>
      </c>
      <c r="AL33" s="151">
        <f t="shared" si="26"/>
        <v>860.5280000000001</v>
      </c>
      <c r="AM33" s="151">
        <f t="shared" si="27"/>
        <v>4302.64</v>
      </c>
      <c r="AN33" s="151">
        <f t="shared" si="28"/>
        <v>903.5544</v>
      </c>
      <c r="AO33" s="151">
        <f t="shared" si="29"/>
        <v>8691.3328</v>
      </c>
      <c r="AP33" s="151">
        <f t="shared" si="30"/>
        <v>4431.7192000000005</v>
      </c>
      <c r="AQ33" s="151">
        <f t="shared" si="31"/>
        <v>3226.9800000000005</v>
      </c>
      <c r="AR33" s="151">
        <f t="shared" si="32"/>
        <v>3226.9800000000005</v>
      </c>
      <c r="AS33" s="242"/>
      <c r="AT33" s="213">
        <f>0.45*920</f>
        <v>414</v>
      </c>
      <c r="AU33" s="492"/>
      <c r="AV33" s="214"/>
      <c r="AW33" s="214"/>
      <c r="AX33" s="214">
        <f>45+26+71.36+282.7</f>
        <v>425.06</v>
      </c>
      <c r="AY33" s="214"/>
      <c r="AZ33" s="214"/>
      <c r="BA33" s="109"/>
      <c r="BB33" s="213"/>
      <c r="BC33" s="228">
        <f>SUM(AK33:BB33)</f>
        <v>29709.774400000002</v>
      </c>
      <c r="BD33" s="215">
        <f>'[15]Т08'!$S$55+'[15]Т08'!$S$72+'[15]Т08'!$S$92+'[15]Т08'!$S$162+'[15]Т08'!$S$258+'[15]Т08'!$S$290</f>
        <v>1675.4499999999998</v>
      </c>
      <c r="BE33" s="205">
        <f t="shared" si="33"/>
        <v>31385.224400000003</v>
      </c>
      <c r="BF33" s="205">
        <f t="shared" si="34"/>
        <v>18166.565600000005</v>
      </c>
      <c r="BG33" s="205">
        <f t="shared" si="35"/>
        <v>3454.330000000009</v>
      </c>
    </row>
    <row r="34" spans="1:59" ht="12.75">
      <c r="A34" s="196" t="s">
        <v>52</v>
      </c>
      <c r="B34" s="143">
        <v>4302.64</v>
      </c>
      <c r="C34" s="115">
        <f>B34*9.51</f>
        <v>40918.106400000004</v>
      </c>
      <c r="D34" s="491"/>
      <c r="E34" s="229"/>
      <c r="F34" s="229"/>
      <c r="G34" s="229">
        <v>41817.06</v>
      </c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30"/>
      <c r="T34" s="245"/>
      <c r="U34" s="240">
        <f t="shared" si="36"/>
        <v>41817.06</v>
      </c>
      <c r="V34" s="496">
        <f t="shared" si="36"/>
        <v>0</v>
      </c>
      <c r="W34" s="243"/>
      <c r="X34" s="220">
        <v>41098.19</v>
      </c>
      <c r="Y34" s="243"/>
      <c r="Z34" s="243"/>
      <c r="AA34" s="220">
        <v>1315.45</v>
      </c>
      <c r="AB34" s="220">
        <v>503.59</v>
      </c>
      <c r="AC34" s="243"/>
      <c r="AD34" s="220"/>
      <c r="AE34" s="226"/>
      <c r="AF34" s="227">
        <f t="shared" si="37"/>
        <v>42917.229999999996</v>
      </c>
      <c r="AG34" s="234">
        <f t="shared" si="23"/>
        <v>42917.229999999996</v>
      </c>
      <c r="AH34" s="497">
        <v>0</v>
      </c>
      <c r="AI34" s="211">
        <f t="shared" si="24"/>
        <v>0</v>
      </c>
      <c r="AJ34" s="212">
        <f>'[15]Т09'!$J$55+'[15]Т09'!$J$72+'[15]Т09'!$J$92+'[15]Т09'!$J$165+'[15]Т09'!$J$258+'[15]Т09'!$J$290</f>
        <v>3032.25</v>
      </c>
      <c r="AK34" s="151">
        <f t="shared" si="38"/>
        <v>3226.9800000000005</v>
      </c>
      <c r="AL34" s="151">
        <f t="shared" si="26"/>
        <v>860.5280000000001</v>
      </c>
      <c r="AM34" s="151">
        <f t="shared" si="27"/>
        <v>4302.64</v>
      </c>
      <c r="AN34" s="151">
        <f t="shared" si="28"/>
        <v>903.5544</v>
      </c>
      <c r="AO34" s="151">
        <f t="shared" si="29"/>
        <v>8691.3328</v>
      </c>
      <c r="AP34" s="151">
        <f t="shared" si="30"/>
        <v>4431.7192000000005</v>
      </c>
      <c r="AQ34" s="151">
        <f t="shared" si="31"/>
        <v>3226.9800000000005</v>
      </c>
      <c r="AR34" s="151">
        <f t="shared" si="32"/>
        <v>3226.9800000000005</v>
      </c>
      <c r="AS34" s="242"/>
      <c r="AT34" s="213">
        <f>0.45*920</f>
        <v>414</v>
      </c>
      <c r="AU34" s="492">
        <v>46489</v>
      </c>
      <c r="AV34" s="214"/>
      <c r="AW34" s="214"/>
      <c r="AX34" s="214">
        <f>7227</f>
        <v>7227</v>
      </c>
      <c r="AY34" s="214"/>
      <c r="AZ34" s="214"/>
      <c r="BA34" s="109"/>
      <c r="BB34" s="213"/>
      <c r="BC34" s="228">
        <f>SUM(AK34:BB34)</f>
        <v>83000.7144</v>
      </c>
      <c r="BD34" s="215">
        <f>'[15]Т09'!$S$55+'[15]Т09'!$S$72+'[15]Т09'!$S$92+'[15]Т09'!$S$165+'[15]Т09'!$S$258+'[15]Т09'!$S$290</f>
        <v>1375.4499999999998</v>
      </c>
      <c r="BE34" s="205">
        <f t="shared" si="33"/>
        <v>84376.1644</v>
      </c>
      <c r="BF34" s="205">
        <f t="shared" si="34"/>
        <v>-38426.6844</v>
      </c>
      <c r="BG34" s="205">
        <f t="shared" si="35"/>
        <v>1100.1699999999983</v>
      </c>
    </row>
    <row r="35" spans="1:59" ht="12.75">
      <c r="A35" s="196" t="s">
        <v>40</v>
      </c>
      <c r="B35" s="143">
        <v>4302.64</v>
      </c>
      <c r="C35" s="115">
        <f>B35*9.51</f>
        <v>40918.106400000004</v>
      </c>
      <c r="D35" s="491"/>
      <c r="E35" s="229"/>
      <c r="F35" s="229"/>
      <c r="G35" s="229">
        <v>41828.25</v>
      </c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30"/>
      <c r="T35" s="245"/>
      <c r="U35" s="240">
        <f t="shared" si="36"/>
        <v>41828.25</v>
      </c>
      <c r="V35" s="496">
        <f t="shared" si="36"/>
        <v>0</v>
      </c>
      <c r="W35" s="243"/>
      <c r="X35" s="220">
        <v>43772.53</v>
      </c>
      <c r="Y35" s="243"/>
      <c r="Z35" s="243"/>
      <c r="AA35" s="220">
        <v>1426.14</v>
      </c>
      <c r="AB35" s="220">
        <v>466.54</v>
      </c>
      <c r="AC35" s="243"/>
      <c r="AD35" s="220"/>
      <c r="AE35" s="226"/>
      <c r="AF35" s="227">
        <f t="shared" si="37"/>
        <v>45665.21</v>
      </c>
      <c r="AG35" s="234">
        <f t="shared" si="23"/>
        <v>45665.21</v>
      </c>
      <c r="AH35" s="497">
        <v>0</v>
      </c>
      <c r="AI35" s="211">
        <f t="shared" si="24"/>
        <v>0</v>
      </c>
      <c r="AJ35" s="212">
        <f>'[15]Т10'!$J$55+'[15]Т10'!$J$71+'[15]Т10'!$J$91+'[15]Т10'!$J$164+'[15]Т10'!$J$257+'[15]Т10'!$J$289</f>
        <v>3032.25</v>
      </c>
      <c r="AK35" s="151">
        <f t="shared" si="38"/>
        <v>3226.9800000000005</v>
      </c>
      <c r="AL35" s="151">
        <f t="shared" si="26"/>
        <v>860.5280000000001</v>
      </c>
      <c r="AM35" s="151">
        <f t="shared" si="27"/>
        <v>4302.64</v>
      </c>
      <c r="AN35" s="151">
        <f t="shared" si="28"/>
        <v>903.5544</v>
      </c>
      <c r="AO35" s="151">
        <f t="shared" si="29"/>
        <v>8691.3328</v>
      </c>
      <c r="AP35" s="151">
        <f t="shared" si="30"/>
        <v>4431.7192000000005</v>
      </c>
      <c r="AQ35" s="151">
        <f t="shared" si="31"/>
        <v>3226.9800000000005</v>
      </c>
      <c r="AR35" s="151">
        <f t="shared" si="32"/>
        <v>3226.9800000000005</v>
      </c>
      <c r="AS35" s="242">
        <f>B35*1.15</f>
        <v>4948.036</v>
      </c>
      <c r="AT35" s="213">
        <f>0.45*920</f>
        <v>414</v>
      </c>
      <c r="AU35" s="498"/>
      <c r="AV35" s="214"/>
      <c r="AW35" s="214"/>
      <c r="AX35" s="214">
        <f>1900+35+141.35+51.3+63+18</f>
        <v>2208.65</v>
      </c>
      <c r="AY35" s="214"/>
      <c r="AZ35" s="214"/>
      <c r="BA35" s="109"/>
      <c r="BB35" s="213"/>
      <c r="BC35" s="228">
        <f>SUM(AK35:BB35)</f>
        <v>36441.400400000006</v>
      </c>
      <c r="BD35" s="215">
        <f>'[15]Т10'!$S$55+'[15]Т10'!$S$71+'[15]Т10'!$S$91+'[15]Т10'!$S$164+'[15]Т10'!$S$257+'[15]Т10'!$S$289</f>
        <v>1375.4499999999998</v>
      </c>
      <c r="BE35" s="205">
        <f t="shared" si="33"/>
        <v>37816.8504</v>
      </c>
      <c r="BF35" s="205">
        <f t="shared" si="34"/>
        <v>10880.609599999996</v>
      </c>
      <c r="BG35" s="205">
        <f t="shared" si="35"/>
        <v>3836.959999999999</v>
      </c>
    </row>
    <row r="36" spans="1:59" ht="12.75">
      <c r="A36" s="196" t="s">
        <v>41</v>
      </c>
      <c r="B36" s="499">
        <v>4302.64</v>
      </c>
      <c r="C36" s="115">
        <f>B36*9.51</f>
        <v>40918.106400000004</v>
      </c>
      <c r="D36" s="491"/>
      <c r="E36" s="229"/>
      <c r="F36" s="229"/>
      <c r="G36" s="220">
        <v>41812</v>
      </c>
      <c r="H36" s="220"/>
      <c r="I36" s="229"/>
      <c r="J36" s="229"/>
      <c r="K36" s="229"/>
      <c r="L36" s="229"/>
      <c r="M36" s="220"/>
      <c r="N36" s="220"/>
      <c r="O36" s="220"/>
      <c r="P36" s="220"/>
      <c r="Q36" s="220"/>
      <c r="R36" s="220"/>
      <c r="S36" s="226"/>
      <c r="T36" s="245"/>
      <c r="U36" s="240">
        <f t="shared" si="36"/>
        <v>41812</v>
      </c>
      <c r="V36" s="496">
        <f t="shared" si="36"/>
        <v>0</v>
      </c>
      <c r="W36" s="243"/>
      <c r="X36" s="220">
        <v>44227.62</v>
      </c>
      <c r="Y36" s="243"/>
      <c r="Z36" s="243"/>
      <c r="AA36" s="220">
        <v>530.66</v>
      </c>
      <c r="AB36" s="220">
        <v>173.48</v>
      </c>
      <c r="AC36" s="243"/>
      <c r="AD36" s="220"/>
      <c r="AE36" s="226"/>
      <c r="AF36" s="227">
        <f t="shared" si="37"/>
        <v>44931.76000000001</v>
      </c>
      <c r="AG36" s="234">
        <f t="shared" si="23"/>
        <v>44931.76000000001</v>
      </c>
      <c r="AH36" s="497">
        <v>0</v>
      </c>
      <c r="AI36" s="211">
        <f t="shared" si="24"/>
        <v>0</v>
      </c>
      <c r="AJ36" s="212">
        <f>'[15]Т11'!$J$55+'[15]Т11'!$J$71+'[15]Т11'!$J$91+'[15]Т11'!$J$166+'[15]Т11'!$J$259+'[15]Т11'!$J$291</f>
        <v>3032.25</v>
      </c>
      <c r="AK36" s="151">
        <f t="shared" si="38"/>
        <v>3226.9800000000005</v>
      </c>
      <c r="AL36" s="151">
        <f t="shared" si="26"/>
        <v>860.5280000000001</v>
      </c>
      <c r="AM36" s="151">
        <f t="shared" si="27"/>
        <v>4302.64</v>
      </c>
      <c r="AN36" s="151">
        <f t="shared" si="28"/>
        <v>903.5544</v>
      </c>
      <c r="AO36" s="151">
        <f t="shared" si="29"/>
        <v>8691.3328</v>
      </c>
      <c r="AP36" s="151">
        <f t="shared" si="30"/>
        <v>4431.7192000000005</v>
      </c>
      <c r="AQ36" s="151">
        <f t="shared" si="31"/>
        <v>3226.9800000000005</v>
      </c>
      <c r="AR36" s="151">
        <f t="shared" si="32"/>
        <v>3226.9800000000005</v>
      </c>
      <c r="AS36" s="242">
        <f>B36*1.15</f>
        <v>4948.036</v>
      </c>
      <c r="AT36" s="213">
        <f>0.45*920</f>
        <v>414</v>
      </c>
      <c r="AU36" s="492">
        <v>9320</v>
      </c>
      <c r="AV36" s="214"/>
      <c r="AW36" s="214"/>
      <c r="AX36" s="214">
        <f>2286+600</f>
        <v>2886</v>
      </c>
      <c r="AY36" s="214"/>
      <c r="AZ36" s="214"/>
      <c r="BA36" s="109"/>
      <c r="BB36" s="213"/>
      <c r="BC36" s="228">
        <f>SUM(AK36:BB36)</f>
        <v>46438.750400000004</v>
      </c>
      <c r="BD36" s="215">
        <f>'[15]Т11'!$S$55+'[15]Т11'!$S$71+'[15]Т11'!$S$91+'[15]Т11'!$S$166+'[15]Т11'!$S$259+'[15]Т11'!$S$291</f>
        <v>1375.4499999999998</v>
      </c>
      <c r="BE36" s="205">
        <f t="shared" si="33"/>
        <v>47814.2004</v>
      </c>
      <c r="BF36" s="205">
        <f t="shared" si="34"/>
        <v>149.80960000000778</v>
      </c>
      <c r="BG36" s="205">
        <f t="shared" si="35"/>
        <v>3119.7600000000093</v>
      </c>
    </row>
    <row r="37" spans="1:59" ht="13.5" thickBot="1">
      <c r="A37" s="196" t="s">
        <v>42</v>
      </c>
      <c r="B37" s="499">
        <v>4302.64</v>
      </c>
      <c r="C37" s="115">
        <f>B37*9.51</f>
        <v>40918.106400000004</v>
      </c>
      <c r="D37" s="491"/>
      <c r="E37" s="220"/>
      <c r="F37" s="220"/>
      <c r="G37" s="220">
        <v>41820.76</v>
      </c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6"/>
      <c r="T37" s="245"/>
      <c r="U37" s="240">
        <f t="shared" si="36"/>
        <v>41820.76</v>
      </c>
      <c r="V37" s="496">
        <f t="shared" si="36"/>
        <v>0</v>
      </c>
      <c r="W37" s="243"/>
      <c r="X37" s="220">
        <v>43892.94</v>
      </c>
      <c r="Y37" s="220"/>
      <c r="Z37" s="220"/>
      <c r="AA37" s="220">
        <v>346.46</v>
      </c>
      <c r="AB37" s="220">
        <v>119.42</v>
      </c>
      <c r="AC37" s="220"/>
      <c r="AD37" s="220"/>
      <c r="AE37" s="226"/>
      <c r="AF37" s="227">
        <f t="shared" si="37"/>
        <v>44358.82</v>
      </c>
      <c r="AG37" s="234">
        <f t="shared" si="23"/>
        <v>44358.82</v>
      </c>
      <c r="AH37" s="497">
        <v>0</v>
      </c>
      <c r="AI37" s="211">
        <f t="shared" si="24"/>
        <v>0</v>
      </c>
      <c r="AJ37" s="212">
        <f>'[15]Т12'!$J$55+'[15]Т12'!$J$71+'[15]Т12'!$J$91+'[15]Т12'!$J$168+'[15]Т12'!$J$261+'[15]Т12'!$J$293</f>
        <v>3032.25</v>
      </c>
      <c r="AK37" s="151">
        <f t="shared" si="38"/>
        <v>3226.9800000000005</v>
      </c>
      <c r="AL37" s="151">
        <f t="shared" si="26"/>
        <v>860.5280000000001</v>
      </c>
      <c r="AM37" s="151">
        <f t="shared" si="27"/>
        <v>4302.64</v>
      </c>
      <c r="AN37" s="151">
        <f t="shared" si="28"/>
        <v>903.5544</v>
      </c>
      <c r="AO37" s="151">
        <f t="shared" si="29"/>
        <v>8691.3328</v>
      </c>
      <c r="AP37" s="151">
        <f t="shared" si="30"/>
        <v>4431.7192000000005</v>
      </c>
      <c r="AQ37" s="151">
        <f t="shared" si="31"/>
        <v>3226.9800000000005</v>
      </c>
      <c r="AR37" s="151">
        <f t="shared" si="32"/>
        <v>3226.9800000000005</v>
      </c>
      <c r="AS37" s="242">
        <f>B37*1.15</f>
        <v>4948.036</v>
      </c>
      <c r="AT37" s="213">
        <f>0.45*920</f>
        <v>414</v>
      </c>
      <c r="AU37" s="492">
        <v>2018</v>
      </c>
      <c r="AV37" s="214">
        <v>55</v>
      </c>
      <c r="AW37" s="214"/>
      <c r="AX37" s="214">
        <f>950.06</f>
        <v>950.06</v>
      </c>
      <c r="AY37" s="214"/>
      <c r="AZ37" s="214"/>
      <c r="BA37" s="109"/>
      <c r="BB37" s="213"/>
      <c r="BC37" s="228">
        <f>SUM(AK37:BB37)</f>
        <v>37255.8104</v>
      </c>
      <c r="BD37" s="215">
        <f>'[15]Т12'!$S$55+'[15]Т12'!$S$71+'[15]Т12'!$S$91+'[15]Т12'!$S$168+'[15]Т12'!$S$261+'[15]Т12'!$S$293</f>
        <v>1375.4499999999998</v>
      </c>
      <c r="BE37" s="205">
        <f t="shared" si="33"/>
        <v>38631.2604</v>
      </c>
      <c r="BF37" s="205">
        <f t="shared" si="34"/>
        <v>8759.8096</v>
      </c>
      <c r="BG37" s="205">
        <f t="shared" si="35"/>
        <v>2538.0599999999977</v>
      </c>
    </row>
    <row r="38" spans="1:59" s="19" customFormat="1" ht="13.5" thickBot="1">
      <c r="A38" s="246" t="s">
        <v>5</v>
      </c>
      <c r="B38" s="247"/>
      <c r="C38" s="248">
        <f aca="true" t="shared" si="39" ref="C38:BE38">SUM(C26:C37)</f>
        <v>466285.37039999996</v>
      </c>
      <c r="D38" s="248">
        <f t="shared" si="39"/>
        <v>2403.4335</v>
      </c>
      <c r="E38" s="248">
        <f t="shared" si="39"/>
        <v>0</v>
      </c>
      <c r="F38" s="248">
        <f t="shared" si="39"/>
        <v>0</v>
      </c>
      <c r="G38" s="248">
        <f t="shared" si="39"/>
        <v>387356.07999999996</v>
      </c>
      <c r="H38" s="248">
        <f t="shared" si="39"/>
        <v>0</v>
      </c>
      <c r="I38" s="248">
        <f t="shared" si="39"/>
        <v>0</v>
      </c>
      <c r="J38" s="248">
        <f t="shared" si="39"/>
        <v>0</v>
      </c>
      <c r="K38" s="248">
        <f t="shared" si="39"/>
        <v>0</v>
      </c>
      <c r="L38" s="248">
        <f t="shared" si="39"/>
        <v>0</v>
      </c>
      <c r="M38" s="248">
        <f t="shared" si="39"/>
        <v>66214.65</v>
      </c>
      <c r="N38" s="248">
        <f t="shared" si="39"/>
        <v>0</v>
      </c>
      <c r="O38" s="248">
        <f t="shared" si="39"/>
        <v>22956.21</v>
      </c>
      <c r="P38" s="248">
        <f t="shared" si="39"/>
        <v>0</v>
      </c>
      <c r="Q38" s="248">
        <f t="shared" si="39"/>
        <v>0</v>
      </c>
      <c r="R38" s="248">
        <f t="shared" si="39"/>
        <v>0</v>
      </c>
      <c r="S38" s="248">
        <f t="shared" si="39"/>
        <v>0</v>
      </c>
      <c r="T38" s="248">
        <f t="shared" si="39"/>
        <v>0</v>
      </c>
      <c r="U38" s="248">
        <f t="shared" si="39"/>
        <v>476526.94000000006</v>
      </c>
      <c r="V38" s="248">
        <f t="shared" si="39"/>
        <v>0</v>
      </c>
      <c r="W38" s="248">
        <f t="shared" si="39"/>
        <v>0</v>
      </c>
      <c r="X38" s="248">
        <f t="shared" si="39"/>
        <v>373890.76999999996</v>
      </c>
      <c r="Y38" s="248">
        <f t="shared" si="39"/>
        <v>0</v>
      </c>
      <c r="Z38" s="248">
        <f t="shared" si="39"/>
        <v>0</v>
      </c>
      <c r="AA38" s="248">
        <f t="shared" si="39"/>
        <v>72452.16</v>
      </c>
      <c r="AB38" s="248">
        <f t="shared" si="39"/>
        <v>24621.979999999996</v>
      </c>
      <c r="AC38" s="248">
        <f t="shared" si="39"/>
        <v>0</v>
      </c>
      <c r="AD38" s="248">
        <f t="shared" si="39"/>
        <v>0</v>
      </c>
      <c r="AE38" s="248">
        <f t="shared" si="39"/>
        <v>0</v>
      </c>
      <c r="AF38" s="248">
        <f t="shared" si="39"/>
        <v>470964.91000000003</v>
      </c>
      <c r="AG38" s="248">
        <f t="shared" si="39"/>
        <v>473368.34349999996</v>
      </c>
      <c r="AH38" s="248">
        <f t="shared" si="39"/>
        <v>0</v>
      </c>
      <c r="AI38" s="248">
        <f t="shared" si="39"/>
        <v>0</v>
      </c>
      <c r="AJ38" s="248">
        <f t="shared" si="39"/>
        <v>32387</v>
      </c>
      <c r="AK38" s="248">
        <f t="shared" si="39"/>
        <v>36662.512800000004</v>
      </c>
      <c r="AL38" s="248">
        <f t="shared" si="39"/>
        <v>10327.536000000002</v>
      </c>
      <c r="AM38" s="248">
        <f t="shared" si="39"/>
        <v>51637.68</v>
      </c>
      <c r="AN38" s="248">
        <f t="shared" si="39"/>
        <v>10843.912800000002</v>
      </c>
      <c r="AO38" s="248">
        <f t="shared" si="39"/>
        <v>104308.11360000003</v>
      </c>
      <c r="AP38" s="248">
        <f t="shared" si="39"/>
        <v>53186.8104</v>
      </c>
      <c r="AQ38" s="248">
        <f t="shared" si="39"/>
        <v>38728.26</v>
      </c>
      <c r="AR38" s="248">
        <f t="shared" si="39"/>
        <v>38728.26</v>
      </c>
      <c r="AS38" s="248">
        <f t="shared" si="39"/>
        <v>29692.356</v>
      </c>
      <c r="AT38" s="248">
        <f t="shared" si="39"/>
        <v>4968</v>
      </c>
      <c r="AU38" s="248">
        <f t="shared" si="39"/>
        <v>106951</v>
      </c>
      <c r="AV38" s="248">
        <f t="shared" si="39"/>
        <v>245.61</v>
      </c>
      <c r="AW38" s="248">
        <f t="shared" si="39"/>
        <v>209</v>
      </c>
      <c r="AX38" s="485">
        <f t="shared" si="39"/>
        <v>29810.040000000005</v>
      </c>
      <c r="AY38" s="485">
        <f t="shared" si="39"/>
        <v>0</v>
      </c>
      <c r="AZ38" s="485">
        <f t="shared" si="39"/>
        <v>0</v>
      </c>
      <c r="BA38" s="485">
        <f t="shared" si="39"/>
        <v>0</v>
      </c>
      <c r="BB38" s="485">
        <f t="shared" si="39"/>
        <v>0</v>
      </c>
      <c r="BC38" s="485">
        <f t="shared" si="39"/>
        <v>516299.09160000004</v>
      </c>
      <c r="BD38" s="485">
        <f t="shared" si="39"/>
        <v>15505.400000000001</v>
      </c>
      <c r="BE38" s="485">
        <f t="shared" si="39"/>
        <v>531804.4916</v>
      </c>
      <c r="BF38" s="485">
        <f>SUM(BF26:BF37)</f>
        <v>-26049.148099999984</v>
      </c>
      <c r="BG38" s="485">
        <f>SUM(BG26:BG37)</f>
        <v>-5562.029999999988</v>
      </c>
    </row>
    <row r="39" spans="1:59" s="19" customFormat="1" ht="13.5" thickBot="1">
      <c r="A39" s="249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486"/>
      <c r="BF39" s="487"/>
      <c r="BG39" s="488"/>
    </row>
    <row r="40" spans="1:59" s="19" customFormat="1" ht="13.5" thickBot="1">
      <c r="A40" s="24" t="s">
        <v>53</v>
      </c>
      <c r="B40" s="250"/>
      <c r="C40" s="251">
        <f aca="true" t="shared" si="40" ref="C40:BG40">C38+C24</f>
        <v>1802015.0444</v>
      </c>
      <c r="D40" s="251">
        <f t="shared" si="40"/>
        <v>186209.83025000006</v>
      </c>
      <c r="E40" s="251">
        <f t="shared" si="40"/>
        <v>77405.88</v>
      </c>
      <c r="F40" s="251">
        <f t="shared" si="40"/>
        <v>12965.46</v>
      </c>
      <c r="G40" s="251">
        <f t="shared" si="40"/>
        <v>657451.1599999999</v>
      </c>
      <c r="H40" s="251">
        <f t="shared" si="40"/>
        <v>0</v>
      </c>
      <c r="I40" s="251">
        <f t="shared" si="40"/>
        <v>106208.83</v>
      </c>
      <c r="J40" s="251">
        <f t="shared" si="40"/>
        <v>17897.980000000003</v>
      </c>
      <c r="K40" s="251">
        <f t="shared" si="40"/>
        <v>176829.92</v>
      </c>
      <c r="L40" s="251">
        <f t="shared" si="40"/>
        <v>29790.79</v>
      </c>
      <c r="M40" s="251">
        <f t="shared" si="40"/>
        <v>452678.4</v>
      </c>
      <c r="N40" s="251">
        <f t="shared" si="40"/>
        <v>43004.899999999994</v>
      </c>
      <c r="O40" s="251">
        <f t="shared" si="40"/>
        <v>131147.96</v>
      </c>
      <c r="P40" s="251">
        <f t="shared" si="40"/>
        <v>10571.07</v>
      </c>
      <c r="Q40" s="251">
        <f t="shared" si="40"/>
        <v>0</v>
      </c>
      <c r="R40" s="251">
        <f t="shared" si="40"/>
        <v>0</v>
      </c>
      <c r="S40" s="251">
        <f t="shared" si="40"/>
        <v>0</v>
      </c>
      <c r="T40" s="251">
        <f t="shared" si="40"/>
        <v>0</v>
      </c>
      <c r="U40" s="251">
        <f t="shared" si="40"/>
        <v>1612829.7000000002</v>
      </c>
      <c r="V40" s="251">
        <f t="shared" si="40"/>
        <v>114230.19999999998</v>
      </c>
      <c r="W40" s="251">
        <f t="shared" si="40"/>
        <v>75361.62</v>
      </c>
      <c r="X40" s="251">
        <f t="shared" si="40"/>
        <v>604176.73</v>
      </c>
      <c r="Y40" s="251">
        <f t="shared" si="40"/>
        <v>103371.24</v>
      </c>
      <c r="Z40" s="251">
        <f t="shared" si="40"/>
        <v>172114.8</v>
      </c>
      <c r="AA40" s="251">
        <f t="shared" si="40"/>
        <v>435795.91000000003</v>
      </c>
      <c r="AB40" s="251">
        <f t="shared" si="40"/>
        <v>124973.63</v>
      </c>
      <c r="AC40" s="251">
        <f t="shared" si="40"/>
        <v>0</v>
      </c>
      <c r="AD40" s="251">
        <f t="shared" si="40"/>
        <v>0</v>
      </c>
      <c r="AE40" s="251">
        <f t="shared" si="40"/>
        <v>0</v>
      </c>
      <c r="AF40" s="251">
        <f t="shared" si="40"/>
        <v>1515793.93</v>
      </c>
      <c r="AG40" s="251">
        <f t="shared" si="40"/>
        <v>1816233.96025</v>
      </c>
      <c r="AH40" s="251">
        <f t="shared" si="40"/>
        <v>0</v>
      </c>
      <c r="AI40" s="251">
        <f t="shared" si="40"/>
        <v>0</v>
      </c>
      <c r="AJ40" s="251">
        <f t="shared" si="40"/>
        <v>72704.83849999998</v>
      </c>
      <c r="AK40" s="251">
        <f t="shared" si="40"/>
        <v>132253.752</v>
      </c>
      <c r="AL40" s="251">
        <f t="shared" si="40"/>
        <v>41030.1868874</v>
      </c>
      <c r="AM40" s="251">
        <f t="shared" si="40"/>
        <v>204417.23261363897</v>
      </c>
      <c r="AN40" s="251">
        <f t="shared" si="40"/>
        <v>21689.589600000003</v>
      </c>
      <c r="AO40" s="251">
        <f t="shared" si="40"/>
        <v>307353.0332300765</v>
      </c>
      <c r="AP40" s="251">
        <f t="shared" si="40"/>
        <v>333271.7967216884</v>
      </c>
      <c r="AQ40" s="251">
        <f t="shared" si="40"/>
        <v>77462.82</v>
      </c>
      <c r="AR40" s="251">
        <f t="shared" si="40"/>
        <v>77462.82</v>
      </c>
      <c r="AS40" s="251">
        <f t="shared" si="40"/>
        <v>59388.852</v>
      </c>
      <c r="AT40" s="251">
        <f t="shared" si="40"/>
        <v>14904</v>
      </c>
      <c r="AU40" s="251">
        <f t="shared" si="40"/>
        <v>429237.566</v>
      </c>
      <c r="AV40" s="251">
        <f t="shared" si="40"/>
        <v>1872.6100000000001</v>
      </c>
      <c r="AW40" s="251">
        <f t="shared" si="40"/>
        <v>131242.21000000002</v>
      </c>
      <c r="AX40" s="251">
        <f t="shared" si="40"/>
        <v>85612.37294</v>
      </c>
      <c r="AY40" s="251">
        <f t="shared" si="40"/>
        <v>29034.465599999996</v>
      </c>
      <c r="AZ40" s="251">
        <f t="shared" si="40"/>
        <v>0</v>
      </c>
      <c r="BA40" s="251">
        <f t="shared" si="40"/>
        <v>15955.8</v>
      </c>
      <c r="BB40" s="251">
        <f t="shared" si="40"/>
        <v>0</v>
      </c>
      <c r="BC40" s="251">
        <f t="shared" si="40"/>
        <v>1962189.107592804</v>
      </c>
      <c r="BD40" s="251">
        <f t="shared" si="40"/>
        <v>33848.808230351</v>
      </c>
      <c r="BE40" s="489">
        <f t="shared" si="40"/>
        <v>1996037.9158231546</v>
      </c>
      <c r="BF40" s="489">
        <f t="shared" si="40"/>
        <v>-107099.1170731548</v>
      </c>
      <c r="BG40" s="490">
        <f t="shared" si="40"/>
        <v>-97035.77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0">
      <selection activeCell="B8" sqref="B8:B11"/>
    </sheetView>
  </sheetViews>
  <sheetFormatPr defaultColWidth="9.00390625" defaultRowHeight="12.75"/>
  <cols>
    <col min="1" max="1" width="10.00390625" style="189" customWidth="1"/>
    <col min="2" max="2" width="10.375" style="189" customWidth="1"/>
    <col min="3" max="3" width="12.00390625" style="189" customWidth="1"/>
    <col min="4" max="4" width="10.75390625" style="189" customWidth="1"/>
    <col min="5" max="5" width="11.875" style="189" customWidth="1"/>
    <col min="6" max="6" width="11.125" style="189" customWidth="1"/>
    <col min="7" max="7" width="11.625" style="189" customWidth="1"/>
    <col min="8" max="8" width="13.625" style="189" customWidth="1"/>
    <col min="9" max="9" width="11.75390625" style="189" customWidth="1"/>
    <col min="10" max="10" width="10.25390625" style="189" customWidth="1"/>
    <col min="11" max="11" width="9.875" style="189" customWidth="1"/>
    <col min="12" max="12" width="11.875" style="189" customWidth="1"/>
    <col min="13" max="13" width="10.125" style="189" customWidth="1"/>
    <col min="14" max="14" width="10.00390625" style="189" customWidth="1"/>
    <col min="15" max="15" width="12.625" style="189" customWidth="1"/>
    <col min="16" max="16" width="10.875" style="189" customWidth="1"/>
    <col min="17" max="17" width="10.25390625" style="189" customWidth="1"/>
    <col min="18" max="16384" width="9.125" style="189" customWidth="1"/>
  </cols>
  <sheetData>
    <row r="1" spans="2:9" ht="20.25" customHeight="1">
      <c r="B1" s="468" t="s">
        <v>54</v>
      </c>
      <c r="C1" s="468"/>
      <c r="D1" s="468"/>
      <c r="E1" s="468"/>
      <c r="F1" s="468"/>
      <c r="G1" s="468"/>
      <c r="H1" s="468"/>
      <c r="I1" s="25"/>
    </row>
    <row r="2" spans="2:12" ht="21" customHeight="1">
      <c r="B2" s="468" t="s">
        <v>55</v>
      </c>
      <c r="C2" s="468"/>
      <c r="D2" s="468"/>
      <c r="E2" s="468"/>
      <c r="F2" s="468"/>
      <c r="G2" s="468"/>
      <c r="H2" s="468"/>
      <c r="I2" s="25"/>
      <c r="K2" s="188"/>
      <c r="L2" s="188"/>
    </row>
    <row r="5" spans="1:14" ht="12.75">
      <c r="A5" s="334" t="s">
        <v>124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13.5" thickBot="1">
      <c r="A6" s="333" t="s">
        <v>130</v>
      </c>
      <c r="B6" s="333"/>
      <c r="C6" s="333"/>
      <c r="D6" s="333"/>
      <c r="E6" s="333"/>
      <c r="F6" s="333"/>
      <c r="G6" s="333"/>
      <c r="H6" s="89"/>
      <c r="I6" s="89"/>
      <c r="J6" s="89"/>
      <c r="K6" s="89"/>
      <c r="L6" s="89"/>
      <c r="M6" s="89"/>
      <c r="N6" s="89"/>
    </row>
    <row r="7" spans="1:15" ht="13.5" thickBot="1">
      <c r="A7" s="469" t="s">
        <v>128</v>
      </c>
      <c r="B7" s="470"/>
      <c r="C7" s="470"/>
      <c r="D7" s="470"/>
      <c r="E7" s="470">
        <v>9.51</v>
      </c>
      <c r="F7" s="470"/>
      <c r="G7" s="188"/>
      <c r="J7" s="252"/>
      <c r="K7" s="252"/>
      <c r="L7" s="252"/>
      <c r="M7" s="252"/>
      <c r="N7" s="252"/>
      <c r="O7" s="252"/>
    </row>
    <row r="8" spans="1:17" ht="12.75" customHeight="1">
      <c r="A8" s="454" t="s">
        <v>57</v>
      </c>
      <c r="B8" s="455" t="s">
        <v>1</v>
      </c>
      <c r="C8" s="461" t="s">
        <v>129</v>
      </c>
      <c r="D8" s="462" t="s">
        <v>3</v>
      </c>
      <c r="E8" s="374" t="s">
        <v>59</v>
      </c>
      <c r="F8" s="375"/>
      <c r="G8" s="465" t="s">
        <v>117</v>
      </c>
      <c r="H8" s="368"/>
      <c r="I8" s="445" t="s">
        <v>118</v>
      </c>
      <c r="J8" s="448" t="s">
        <v>10</v>
      </c>
      <c r="K8" s="449"/>
      <c r="L8" s="449"/>
      <c r="M8" s="449"/>
      <c r="N8" s="449"/>
      <c r="O8" s="450"/>
      <c r="P8" s="456" t="s">
        <v>60</v>
      </c>
      <c r="Q8" s="456" t="s">
        <v>12</v>
      </c>
    </row>
    <row r="9" spans="1:17" ht="12.75">
      <c r="A9" s="304"/>
      <c r="B9" s="337"/>
      <c r="C9" s="340"/>
      <c r="D9" s="344"/>
      <c r="E9" s="463"/>
      <c r="F9" s="464"/>
      <c r="G9" s="466"/>
      <c r="H9" s="467"/>
      <c r="I9" s="446"/>
      <c r="J9" s="451"/>
      <c r="K9" s="452"/>
      <c r="L9" s="452"/>
      <c r="M9" s="452"/>
      <c r="N9" s="452"/>
      <c r="O9" s="453"/>
      <c r="P9" s="457"/>
      <c r="Q9" s="457"/>
    </row>
    <row r="10" spans="1:17" ht="26.25" customHeight="1">
      <c r="A10" s="304"/>
      <c r="B10" s="337"/>
      <c r="C10" s="340"/>
      <c r="D10" s="344"/>
      <c r="E10" s="374" t="s">
        <v>61</v>
      </c>
      <c r="F10" s="375"/>
      <c r="G10" s="253" t="s">
        <v>62</v>
      </c>
      <c r="H10" s="356" t="s">
        <v>7</v>
      </c>
      <c r="I10" s="446"/>
      <c r="J10" s="378" t="s">
        <v>63</v>
      </c>
      <c r="K10" s="350" t="s">
        <v>119</v>
      </c>
      <c r="L10" s="350" t="s">
        <v>64</v>
      </c>
      <c r="M10" s="350" t="s">
        <v>37</v>
      </c>
      <c r="N10" s="351" t="s">
        <v>120</v>
      </c>
      <c r="O10" s="357" t="s">
        <v>39</v>
      </c>
      <c r="P10" s="457"/>
      <c r="Q10" s="457"/>
    </row>
    <row r="11" spans="1:17" ht="66.75" customHeight="1" thickBot="1">
      <c r="A11" s="335"/>
      <c r="B11" s="338"/>
      <c r="C11" s="341"/>
      <c r="D11" s="345"/>
      <c r="E11" s="28" t="s">
        <v>66</v>
      </c>
      <c r="F11" s="29" t="s">
        <v>21</v>
      </c>
      <c r="G11" s="167" t="s">
        <v>121</v>
      </c>
      <c r="H11" s="357"/>
      <c r="I11" s="447"/>
      <c r="J11" s="379"/>
      <c r="K11" s="351"/>
      <c r="L11" s="351"/>
      <c r="M11" s="351"/>
      <c r="N11" s="459"/>
      <c r="O11" s="460"/>
      <c r="P11" s="458"/>
      <c r="Q11" s="458"/>
    </row>
    <row r="12" spans="1:17" ht="13.5" thickBot="1">
      <c r="A12" s="31">
        <v>1</v>
      </c>
      <c r="B12" s="32">
        <v>2</v>
      </c>
      <c r="C12" s="31">
        <v>3</v>
      </c>
      <c r="D12" s="32">
        <v>4</v>
      </c>
      <c r="E12" s="97">
        <v>5</v>
      </c>
      <c r="F12" s="35">
        <v>6</v>
      </c>
      <c r="G12" s="97">
        <v>7</v>
      </c>
      <c r="H12" s="35">
        <v>8</v>
      </c>
      <c r="I12" s="254">
        <v>9</v>
      </c>
      <c r="J12" s="97">
        <v>10</v>
      </c>
      <c r="K12" s="35">
        <v>11</v>
      </c>
      <c r="L12" s="254">
        <v>12</v>
      </c>
      <c r="M12" s="31">
        <v>13</v>
      </c>
      <c r="N12" s="97">
        <v>14</v>
      </c>
      <c r="O12" s="35">
        <v>15</v>
      </c>
      <c r="P12" s="254">
        <v>16</v>
      </c>
      <c r="Q12" s="35">
        <v>17</v>
      </c>
    </row>
    <row r="13" spans="1:17" ht="13.5" thickBot="1">
      <c r="A13" s="439" t="s">
        <v>122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255"/>
      <c r="P13" s="256"/>
      <c r="Q13" s="256"/>
    </row>
    <row r="14" spans="1:19" s="19" customFormat="1" ht="13.5" hidden="1" thickBot="1">
      <c r="A14" s="51" t="s">
        <v>53</v>
      </c>
      <c r="B14" s="257"/>
      <c r="C14" s="258">
        <f>'2012 полн'!C8</f>
        <v>894155.6900000002</v>
      </c>
      <c r="D14" s="258">
        <f>'2012 полн'!D8</f>
        <v>179310.64475000004</v>
      </c>
      <c r="E14" s="258">
        <f>'2012 полн'!U8</f>
        <v>689557.23</v>
      </c>
      <c r="F14" s="258">
        <f>'2012 полн'!V8</f>
        <v>114230.19999999998</v>
      </c>
      <c r="G14" s="258">
        <f>'2012 полн'!AF8</f>
        <v>626158.6699999999</v>
      </c>
      <c r="H14" s="258">
        <f>'2012 полн'!AG8</f>
        <v>919699.51475</v>
      </c>
      <c r="I14" s="258">
        <f>'2012 полн'!AJ8</f>
        <v>13365.070499999996</v>
      </c>
      <c r="J14" s="258">
        <f>'2012 полн'!AK8</f>
        <v>60988.365600000005</v>
      </c>
      <c r="K14" s="258">
        <f>'2012 полн'!AL8</f>
        <v>20373.4348874</v>
      </c>
      <c r="L14" s="258">
        <f>'2012 полн'!AM8+'2012 полн'!AO8+'2012 полн'!AP8+'2012 полн'!AT8+'2012 полн'!AX8+'2012 полн'!AY8+15955.8</f>
        <v>526411.3531054037</v>
      </c>
      <c r="M14" s="258">
        <f>'2012 полн'!AU8+'2012 полн'!AV8+'2012 полн'!AW8</f>
        <v>424239.776</v>
      </c>
      <c r="N14" s="258">
        <f>'2012 полн'!BD8</f>
        <v>5560.560230350999</v>
      </c>
      <c r="O14" s="258">
        <f>SUM(J14:N14)</f>
        <v>1037573.4898231549</v>
      </c>
      <c r="P14" s="258">
        <f>H14+I14-O14</f>
        <v>-104508.90457315487</v>
      </c>
      <c r="Q14" s="258">
        <f>'2012 полн'!BG8</f>
        <v>-63398.56000000001</v>
      </c>
      <c r="R14" s="52"/>
      <c r="S14" s="43"/>
    </row>
    <row r="15" spans="1:19" ht="13.5" hidden="1" thickBot="1">
      <c r="A15" s="259" t="s">
        <v>116</v>
      </c>
      <c r="B15" s="260"/>
      <c r="C15" s="261"/>
      <c r="D15" s="262"/>
      <c r="E15" s="263"/>
      <c r="F15" s="264"/>
      <c r="G15" s="265"/>
      <c r="H15" s="264"/>
      <c r="I15" s="266"/>
      <c r="J15" s="265"/>
      <c r="K15" s="267"/>
      <c r="L15" s="267"/>
      <c r="M15" s="268"/>
      <c r="N15" s="269"/>
      <c r="O15" s="270"/>
      <c r="P15" s="271"/>
      <c r="Q15" s="271"/>
      <c r="R15" s="188"/>
      <c r="S15" s="188"/>
    </row>
    <row r="16" spans="1:19" ht="13.5" hidden="1" thickBot="1">
      <c r="A16" s="272" t="s">
        <v>44</v>
      </c>
      <c r="B16" s="273">
        <f>'2012 полн'!B10</f>
        <v>4303.84</v>
      </c>
      <c r="C16" s="274">
        <f>'2012 полн'!C10</f>
        <v>36797.832</v>
      </c>
      <c r="D16" s="275">
        <f>'2012 полн'!D10</f>
        <v>374.646</v>
      </c>
      <c r="E16" s="276">
        <f>'2012 полн'!U10</f>
        <v>37409.35999999999</v>
      </c>
      <c r="F16" s="276">
        <f>'2012 полн'!V10</f>
        <v>0</v>
      </c>
      <c r="G16" s="277">
        <f>'2012 полн'!AF10</f>
        <v>28203.68</v>
      </c>
      <c r="H16" s="277">
        <f>'2012 полн'!AG10</f>
        <v>28578.326</v>
      </c>
      <c r="I16" s="277">
        <f>'2012 полн'!AJ10</f>
        <v>869.172</v>
      </c>
      <c r="J16" s="277">
        <f>'2012 полн'!AK10</f>
        <v>2883.5728000000004</v>
      </c>
      <c r="K16" s="277">
        <f>'2012 полн'!AL10</f>
        <v>860.768</v>
      </c>
      <c r="L16" s="276">
        <f>'2012 полн'!AM10+'2012 полн'!AN10+'2012 полн'!AO10+'2012 полн'!AP10+'2012 полн'!AQ10+'2012 полн'!AR10+'2012 полн'!AS10+'2012 полн'!AT10</f>
        <v>30153.534400000004</v>
      </c>
      <c r="M16" s="278">
        <f>'2012 полн'!AU10+'2012 полн'!AV10+'2012 полн'!AW10+'2012 полн'!AX10</f>
        <v>209.1</v>
      </c>
      <c r="N16" s="279">
        <f>'2012 полн'!BD10</f>
        <v>514.174</v>
      </c>
      <c r="O16" s="280">
        <f>SUM(J16:N16)</f>
        <v>34621.1492</v>
      </c>
      <c r="P16" s="281">
        <f>H16+I16-O16</f>
        <v>-5173.6512</v>
      </c>
      <c r="Q16" s="281">
        <f>'2012 полн'!BG10</f>
        <v>-9205.679999999993</v>
      </c>
      <c r="R16" s="188"/>
      <c r="S16" s="188"/>
    </row>
    <row r="17" spans="1:19" ht="13.5" hidden="1" thickBot="1">
      <c r="A17" s="196" t="s">
        <v>45</v>
      </c>
      <c r="B17" s="273">
        <f>'2012 полн'!B11</f>
        <v>4303.84</v>
      </c>
      <c r="C17" s="274">
        <f>'2012 полн'!C11</f>
        <v>36797.832</v>
      </c>
      <c r="D17" s="275">
        <f>'2012 полн'!D11</f>
        <v>374.646</v>
      </c>
      <c r="E17" s="276">
        <f>'2012 полн'!U11</f>
        <v>36612.14</v>
      </c>
      <c r="F17" s="276">
        <f>'2012 полн'!V11</f>
        <v>0</v>
      </c>
      <c r="G17" s="277">
        <f>'2012 полн'!AF11</f>
        <v>31012.14</v>
      </c>
      <c r="H17" s="277">
        <f>'2012 полн'!AG11</f>
        <v>31386.786</v>
      </c>
      <c r="I17" s="277">
        <f>'2012 полн'!AJ11</f>
        <v>869.172</v>
      </c>
      <c r="J17" s="277">
        <f>'2012 полн'!AK11</f>
        <v>2883.5728000000004</v>
      </c>
      <c r="K17" s="277">
        <f>'2012 полн'!AL11</f>
        <v>860.768</v>
      </c>
      <c r="L17" s="276">
        <f>'2012 полн'!AM11+'2012 полн'!AN11+'2012 полн'!AO11+'2012 полн'!AP11+'2012 полн'!AQ11+'2012 полн'!AR11+'2012 полн'!AS11+'2012 полн'!AT11</f>
        <v>30153.534400000004</v>
      </c>
      <c r="M17" s="278">
        <f>'2012 полн'!AU11+'2012 полн'!AV11+'2012 полн'!AW11+'2012 полн'!AX11</f>
        <v>2867.56</v>
      </c>
      <c r="N17" s="279">
        <f>'2012 полн'!BD11</f>
        <v>514.174</v>
      </c>
      <c r="O17" s="280">
        <f aca="true" t="shared" si="0" ref="O17:O27">SUM(J17:N17)</f>
        <v>37279.6092</v>
      </c>
      <c r="P17" s="281">
        <f aca="true" t="shared" si="1" ref="P17:P27">H17+I17-O17</f>
        <v>-5023.6512</v>
      </c>
      <c r="Q17" s="281">
        <f>'2012 полн'!BG11</f>
        <v>-5600</v>
      </c>
      <c r="R17" s="188"/>
      <c r="S17" s="188"/>
    </row>
    <row r="18" spans="1:19" ht="13.5" hidden="1" thickBot="1">
      <c r="A18" s="196" t="s">
        <v>46</v>
      </c>
      <c r="B18" s="273">
        <f>'2012 полн'!B12</f>
        <v>4303.84</v>
      </c>
      <c r="C18" s="274">
        <f>'2012 полн'!C12</f>
        <v>36797.832</v>
      </c>
      <c r="D18" s="275">
        <f>'2012 полн'!D12</f>
        <v>374.646</v>
      </c>
      <c r="E18" s="276">
        <f>'2012 полн'!U12</f>
        <v>37037.189999999995</v>
      </c>
      <c r="F18" s="276">
        <f>'2012 полн'!V12</f>
        <v>0</v>
      </c>
      <c r="G18" s="277">
        <f>'2012 полн'!AF12</f>
        <v>37799.68</v>
      </c>
      <c r="H18" s="277">
        <f>'2012 полн'!AG12</f>
        <v>38174.326</v>
      </c>
      <c r="I18" s="277">
        <f>'2012 полн'!AJ12</f>
        <v>9130.524000000001</v>
      </c>
      <c r="J18" s="277">
        <f>'2012 полн'!AK12</f>
        <v>2883.5728000000004</v>
      </c>
      <c r="K18" s="277">
        <f>'2012 полн'!AL12</f>
        <v>860.768</v>
      </c>
      <c r="L18" s="276">
        <f>'2012 полн'!AM12+'2012 полн'!AN12+'2012 полн'!AO12+'2012 полн'!AP12+'2012 полн'!AQ12+'2012 полн'!AR12+'2012 полн'!AS12+'2012 полн'!AT12</f>
        <v>30153.534400000004</v>
      </c>
      <c r="M18" s="278">
        <f>'2012 полн'!AU12+'2012 полн'!AV12+'2012 полн'!AW12+'2012 полн'!AX12</f>
        <v>13795.6</v>
      </c>
      <c r="N18" s="279">
        <f>'2012 полн'!BD12</f>
        <v>1175.4499999999998</v>
      </c>
      <c r="O18" s="280">
        <f t="shared" si="0"/>
        <v>48868.9252</v>
      </c>
      <c r="P18" s="281">
        <f t="shared" si="1"/>
        <v>-1564.075199999992</v>
      </c>
      <c r="Q18" s="281">
        <f>'2012 полн'!BG12</f>
        <v>762.4900000000052</v>
      </c>
      <c r="R18" s="188"/>
      <c r="S18" s="188"/>
    </row>
    <row r="19" spans="1:19" ht="13.5" hidden="1" thickBot="1">
      <c r="A19" s="196" t="s">
        <v>47</v>
      </c>
      <c r="B19" s="273">
        <f>'2012 полн'!B13</f>
        <v>4303.84</v>
      </c>
      <c r="C19" s="274">
        <f>'2012 полн'!C13</f>
        <v>36797.832</v>
      </c>
      <c r="D19" s="275">
        <f>'2012 полн'!D13</f>
        <v>374.646</v>
      </c>
      <c r="E19" s="276">
        <f>'2012 полн'!U13</f>
        <v>37037.189999999995</v>
      </c>
      <c r="F19" s="276">
        <f>'2012 полн'!V13</f>
        <v>0</v>
      </c>
      <c r="G19" s="277">
        <f>'2012 полн'!AF13</f>
        <v>33276.49</v>
      </c>
      <c r="H19" s="277">
        <f>'2012 полн'!AG13</f>
        <v>33651.136</v>
      </c>
      <c r="I19" s="277">
        <f>'2012 полн'!AJ13</f>
        <v>1787.1</v>
      </c>
      <c r="J19" s="277">
        <f>'2012 полн'!AK13</f>
        <v>2883.5728000000004</v>
      </c>
      <c r="K19" s="277">
        <f>'2012 полн'!AL13</f>
        <v>860.768</v>
      </c>
      <c r="L19" s="276">
        <f>'2012 полн'!AM13+'2012 полн'!AN13+'2012 полн'!AO13+'2012 полн'!AP13+'2012 полн'!AQ13+'2012 полн'!AR13+'2012 полн'!AS13+'2012 полн'!AT13</f>
        <v>25204.118400000003</v>
      </c>
      <c r="M19" s="278">
        <f>'2012 полн'!AU13+'2012 полн'!AV13+'2012 полн'!AW13+'2012 полн'!AX13</f>
        <v>2145.65</v>
      </c>
      <c r="N19" s="279">
        <f>'2012 полн'!BD13</f>
        <v>1175.4499999999998</v>
      </c>
      <c r="O19" s="280">
        <f t="shared" si="0"/>
        <v>32269.559200000007</v>
      </c>
      <c r="P19" s="281">
        <f t="shared" si="1"/>
        <v>3168.67679999999</v>
      </c>
      <c r="Q19" s="281">
        <f>'2012 полн'!BG13</f>
        <v>-3760.699999999997</v>
      </c>
      <c r="R19" s="188"/>
      <c r="S19" s="188"/>
    </row>
    <row r="20" spans="1:19" ht="13.5" hidden="1" thickBot="1">
      <c r="A20" s="196" t="s">
        <v>48</v>
      </c>
      <c r="B20" s="273">
        <f>'2012 полн'!B14</f>
        <v>4303.84</v>
      </c>
      <c r="C20" s="274">
        <f>'2012 полн'!C14</f>
        <v>36797.832</v>
      </c>
      <c r="D20" s="275">
        <f>'2012 полн'!D14</f>
        <v>374.646</v>
      </c>
      <c r="E20" s="276">
        <f>'2012 полн'!U14</f>
        <v>37050.619999999995</v>
      </c>
      <c r="F20" s="276">
        <f>'2012 полн'!V14</f>
        <v>0</v>
      </c>
      <c r="G20" s="277">
        <f>'2012 полн'!AF14</f>
        <v>33771.579999999994</v>
      </c>
      <c r="H20" s="277">
        <f>'2012 полн'!AG14</f>
        <v>34146.225999999995</v>
      </c>
      <c r="I20" s="277">
        <f>'2012 полн'!AJ14</f>
        <v>1787.1</v>
      </c>
      <c r="J20" s="277">
        <f>'2012 полн'!AK14</f>
        <v>2883.5728000000004</v>
      </c>
      <c r="K20" s="277">
        <f>'2012 полн'!AL14</f>
        <v>860.768</v>
      </c>
      <c r="L20" s="276">
        <f>'2012 полн'!AM14+'2012 полн'!AN14+'2012 полн'!AO14+'2012 полн'!AP14+'2012 полн'!AQ14+'2012 полн'!AR14+'2012 полн'!AS14+'2012 полн'!AT14</f>
        <v>25204.118400000003</v>
      </c>
      <c r="M20" s="278">
        <f>'2012 полн'!AU14+'2012 полн'!AV14+'2012 полн'!AW14+'2012 полн'!AX14</f>
        <v>376</v>
      </c>
      <c r="N20" s="279">
        <f>'2012 полн'!BD14</f>
        <v>1175.4499999999998</v>
      </c>
      <c r="O20" s="280">
        <f t="shared" si="0"/>
        <v>30499.909200000006</v>
      </c>
      <c r="P20" s="281">
        <f t="shared" si="1"/>
        <v>5433.416799999988</v>
      </c>
      <c r="Q20" s="281">
        <f>'2012 полн'!BG14</f>
        <v>-3279.040000000001</v>
      </c>
      <c r="R20" s="188"/>
      <c r="S20" s="188"/>
    </row>
    <row r="21" spans="1:19" ht="13.5" hidden="1" thickBot="1">
      <c r="A21" s="196" t="s">
        <v>49</v>
      </c>
      <c r="B21" s="273">
        <f>'2012 полн'!B15</f>
        <v>4303.84</v>
      </c>
      <c r="C21" s="274">
        <f>'2012 полн'!C15</f>
        <v>36797.832</v>
      </c>
      <c r="D21" s="275">
        <f>'2012 полн'!D15</f>
        <v>374.646</v>
      </c>
      <c r="E21" s="276">
        <f>'2012 полн'!U15</f>
        <v>36991.9</v>
      </c>
      <c r="F21" s="276">
        <f>'2012 полн'!V15</f>
        <v>0</v>
      </c>
      <c r="G21" s="277">
        <f>'2012 полн'!AF15</f>
        <v>36401.09</v>
      </c>
      <c r="H21" s="277">
        <f>'2012 полн'!AG15</f>
        <v>36775.736</v>
      </c>
      <c r="I21" s="277">
        <f>'2012 полн'!AJ15</f>
        <v>1787.1</v>
      </c>
      <c r="J21" s="277">
        <f>'2012 полн'!AK15</f>
        <v>2883.5728000000004</v>
      </c>
      <c r="K21" s="277">
        <f>'2012 полн'!AL15</f>
        <v>860.768</v>
      </c>
      <c r="L21" s="276">
        <f>'2012 полн'!AM15+'2012 полн'!AN15+'2012 полн'!AO15+'2012 полн'!AP15+'2012 полн'!AQ15+'2012 полн'!AR15+'2012 полн'!AS15+'2012 полн'!AT15</f>
        <v>25204.118400000003</v>
      </c>
      <c r="M21" s="278">
        <f>'2012 полн'!AU15+'2012 полн'!AV15+'2012 полн'!AW15+'2012 полн'!AX15</f>
        <v>1079</v>
      </c>
      <c r="N21" s="279">
        <f>'2012 полн'!BD15</f>
        <v>1175.4499999999998</v>
      </c>
      <c r="O21" s="280">
        <f t="shared" si="0"/>
        <v>31202.909200000006</v>
      </c>
      <c r="P21" s="281">
        <f t="shared" si="1"/>
        <v>7359.92679999999</v>
      </c>
      <c r="Q21" s="281">
        <f>'2012 полн'!BG15</f>
        <v>-590.810000000005</v>
      </c>
      <c r="R21" s="188"/>
      <c r="S21" s="188"/>
    </row>
    <row r="22" spans="1:17" ht="13.5" hidden="1" thickBot="1">
      <c r="A22" s="196" t="s">
        <v>50</v>
      </c>
      <c r="B22" s="273">
        <f>'2012 полн'!B16</f>
        <v>4303.84</v>
      </c>
      <c r="C22" s="274">
        <f>'2012 полн'!C16</f>
        <v>36797.832</v>
      </c>
      <c r="D22" s="275">
        <f>'2012 полн'!D16</f>
        <v>374.646</v>
      </c>
      <c r="E22" s="276">
        <f>'2012 полн'!U16</f>
        <v>36991.38</v>
      </c>
      <c r="F22" s="276">
        <f>'2012 полн'!V16</f>
        <v>0</v>
      </c>
      <c r="G22" s="277">
        <f>'2012 полн'!AF16</f>
        <v>31621.43</v>
      </c>
      <c r="H22" s="277">
        <f>'2012 полн'!AG16</f>
        <v>31996.076</v>
      </c>
      <c r="I22" s="277">
        <f>'2012 полн'!AJ16</f>
        <v>1787.1</v>
      </c>
      <c r="J22" s="277">
        <f>'2012 полн'!AK16</f>
        <v>2883.5728000000004</v>
      </c>
      <c r="K22" s="277">
        <f>'2012 полн'!AL16</f>
        <v>860.768</v>
      </c>
      <c r="L22" s="276">
        <f>'2012 полн'!AM16+'2012 полн'!AN16+'2012 полн'!AO16+'2012 полн'!AP16+'2012 полн'!AQ16+'2012 полн'!AR16+'2012 полн'!AS16+'2012 полн'!AT16</f>
        <v>25204.118400000003</v>
      </c>
      <c r="M22" s="278">
        <f>'2012 полн'!AU16+'2012 полн'!AV16+'2012 полн'!AW16+'2012 полн'!AX16</f>
        <v>5534.42</v>
      </c>
      <c r="N22" s="279">
        <f>'2012 полн'!BD16</f>
        <v>1175.4499999999998</v>
      </c>
      <c r="O22" s="280">
        <f t="shared" si="0"/>
        <v>35658.3292</v>
      </c>
      <c r="P22" s="281">
        <f t="shared" si="1"/>
        <v>-1875.1532000000007</v>
      </c>
      <c r="Q22" s="281">
        <f>'2012 полн'!BG16</f>
        <v>-5369.949999999997</v>
      </c>
    </row>
    <row r="23" spans="1:17" ht="13.5" hidden="1" thickBot="1">
      <c r="A23" s="196" t="s">
        <v>51</v>
      </c>
      <c r="B23" s="273">
        <f>'2012 полн'!B17</f>
        <v>4303.84</v>
      </c>
      <c r="C23" s="274">
        <f>'2012 полн'!C17</f>
        <v>36797.832</v>
      </c>
      <c r="D23" s="275">
        <f>'2012 полн'!D17</f>
        <v>374.646</v>
      </c>
      <c r="E23" s="276">
        <f>'2012 полн'!U17</f>
        <v>36984.9</v>
      </c>
      <c r="F23" s="276">
        <f>'2012 полн'!V17</f>
        <v>0</v>
      </c>
      <c r="G23" s="277">
        <f>'2012 полн'!AF17</f>
        <v>37070.52999999999</v>
      </c>
      <c r="H23" s="277">
        <f>'2012 полн'!AG17</f>
        <v>37445.17599999999</v>
      </c>
      <c r="I23" s="277">
        <f>'2012 полн'!AJ17</f>
        <v>1787.1</v>
      </c>
      <c r="J23" s="277">
        <f>'2012 полн'!AK17</f>
        <v>2883.5728000000004</v>
      </c>
      <c r="K23" s="277">
        <f>'2012 полн'!AL17</f>
        <v>860.768</v>
      </c>
      <c r="L23" s="276">
        <f>'2012 полн'!AM17+'2012 полн'!AN17+'2012 полн'!AO17+'2012 полн'!AP17+'2012 полн'!AQ17+'2012 полн'!AR17+'2012 полн'!AS17+'2012 полн'!AT17</f>
        <v>25204.118400000003</v>
      </c>
      <c r="M23" s="278">
        <f>'2012 полн'!AU17+'2012 полн'!AV17+'2012 полн'!AW17+'2012 полн'!AX17</f>
        <v>600</v>
      </c>
      <c r="N23" s="279">
        <f>'2012 полн'!BD17</f>
        <v>1175.4499999999998</v>
      </c>
      <c r="O23" s="280">
        <f t="shared" si="0"/>
        <v>30723.909200000006</v>
      </c>
      <c r="P23" s="281">
        <f t="shared" si="1"/>
        <v>8508.366799999985</v>
      </c>
      <c r="Q23" s="281">
        <f>'2012 полн'!BG17</f>
        <v>85.6299999999901</v>
      </c>
    </row>
    <row r="24" spans="1:17" ht="13.5" hidden="1" thickBot="1">
      <c r="A24" s="196" t="s">
        <v>52</v>
      </c>
      <c r="B24" s="273">
        <f>'2012 полн'!B18</f>
        <v>4303.84</v>
      </c>
      <c r="C24" s="274">
        <f>'2012 полн'!C18</f>
        <v>36797.832</v>
      </c>
      <c r="D24" s="275">
        <f>'2012 полн'!D18</f>
        <v>374.646</v>
      </c>
      <c r="E24" s="276">
        <f>'2012 полн'!U18</f>
        <v>37662.5</v>
      </c>
      <c r="F24" s="276">
        <f>'2012 полн'!V18</f>
        <v>0</v>
      </c>
      <c r="G24" s="277">
        <f>'2012 полн'!AF18</f>
        <v>29904.31</v>
      </c>
      <c r="H24" s="277">
        <f>'2012 полн'!AG18</f>
        <v>30278.956000000002</v>
      </c>
      <c r="I24" s="277">
        <f>'2012 полн'!AJ18</f>
        <v>1787.1</v>
      </c>
      <c r="J24" s="277">
        <f>'2012 полн'!AK18</f>
        <v>2883.5728000000004</v>
      </c>
      <c r="K24" s="277">
        <f>'2012 полн'!AL18</f>
        <v>860.768</v>
      </c>
      <c r="L24" s="276">
        <f>'2012 полн'!AM18+'2012 полн'!AN18+'2012 полн'!AO18+'2012 полн'!AP18+'2012 полн'!AQ18+'2012 полн'!AR18+'2012 полн'!AS18+'2012 полн'!AT18</f>
        <v>25204.118400000003</v>
      </c>
      <c r="M24" s="278">
        <f>'2012 полн'!AU18+'2012 полн'!AV18+'2012 полн'!AW18+'2012 полн'!AX18</f>
        <v>538.6</v>
      </c>
      <c r="N24" s="279">
        <f>'2012 полн'!BD18</f>
        <v>1175.4499999999998</v>
      </c>
      <c r="O24" s="280">
        <f t="shared" si="0"/>
        <v>30662.509200000004</v>
      </c>
      <c r="P24" s="281">
        <f t="shared" si="1"/>
        <v>1403.5467999999964</v>
      </c>
      <c r="Q24" s="281">
        <f>'2012 полн'!BG18</f>
        <v>-7758.189999999999</v>
      </c>
    </row>
    <row r="25" spans="1:17" ht="13.5" hidden="1" thickBot="1">
      <c r="A25" s="196" t="s">
        <v>40</v>
      </c>
      <c r="B25" s="273">
        <f>'2012 полн'!B19</f>
        <v>4303.84</v>
      </c>
      <c r="C25" s="274">
        <f>'2012 полн'!C19</f>
        <v>36797.832</v>
      </c>
      <c r="D25" s="275">
        <f>'2012 полн'!D19</f>
        <v>374.646</v>
      </c>
      <c r="E25" s="276">
        <f>'2012 полн'!U19</f>
        <v>37662.5</v>
      </c>
      <c r="F25" s="276">
        <f>'2012 полн'!V19</f>
        <v>0</v>
      </c>
      <c r="G25" s="277">
        <f>'2012 полн'!AF19</f>
        <v>36000.7</v>
      </c>
      <c r="H25" s="277">
        <f>'2012 полн'!AG19</f>
        <v>36375.346</v>
      </c>
      <c r="I25" s="277">
        <f>'2012 полн'!AJ19</f>
        <v>1787.1</v>
      </c>
      <c r="J25" s="277">
        <f>'2012 полн'!AK19</f>
        <v>2883.5728000000004</v>
      </c>
      <c r="K25" s="277">
        <f>'2012 полн'!AL19</f>
        <v>860.768</v>
      </c>
      <c r="L25" s="276">
        <f>'2012 полн'!AM19+'2012 полн'!AN19+'2012 полн'!AO19+'2012 полн'!AP19+'2012 полн'!AQ19+'2012 полн'!AR19+'2012 полн'!AS19+'2012 полн'!AT19</f>
        <v>30153.534400000004</v>
      </c>
      <c r="M25" s="278">
        <f>'2012 полн'!AU19+'2012 полн'!AV19+'2012 полн'!AW19+'2012 полн'!AX19</f>
        <v>810.37</v>
      </c>
      <c r="N25" s="279">
        <f>'2012 полн'!BD19</f>
        <v>1175.4499999999998</v>
      </c>
      <c r="O25" s="280">
        <f t="shared" si="0"/>
        <v>35883.6952</v>
      </c>
      <c r="P25" s="281">
        <f t="shared" si="1"/>
        <v>2278.7507999999943</v>
      </c>
      <c r="Q25" s="281">
        <f>'2012 полн'!BG19</f>
        <v>-1661.800000000003</v>
      </c>
    </row>
    <row r="26" spans="1:17" ht="13.5" hidden="1" thickBot="1">
      <c r="A26" s="196" t="s">
        <v>41</v>
      </c>
      <c r="B26" s="273">
        <f>'2012 полн'!B20</f>
        <v>4303.84</v>
      </c>
      <c r="C26" s="274">
        <f>'2012 полн'!C20</f>
        <v>36797.832</v>
      </c>
      <c r="D26" s="275">
        <f>'2012 полн'!D20</f>
        <v>374.646</v>
      </c>
      <c r="E26" s="276">
        <f>'2012 полн'!U20</f>
        <v>37662.5</v>
      </c>
      <c r="F26" s="276">
        <f>'2012 полн'!V20</f>
        <v>0</v>
      </c>
      <c r="G26" s="277">
        <f>'2012 полн'!AF20</f>
        <v>37389.84</v>
      </c>
      <c r="H26" s="277">
        <f>'2012 полн'!AG20</f>
        <v>37764.486</v>
      </c>
      <c r="I26" s="277">
        <f>'2012 полн'!AJ20</f>
        <v>1787.1</v>
      </c>
      <c r="J26" s="277">
        <f>'2012 полн'!AK20</f>
        <v>2883.5728000000004</v>
      </c>
      <c r="K26" s="277">
        <f>'2012 полн'!AL20</f>
        <v>860.768</v>
      </c>
      <c r="L26" s="276">
        <f>'2012 полн'!AM20+'2012 полн'!AN20+'2012 полн'!AO20+'2012 полн'!AP20+'2012 полн'!AQ20+'2012 полн'!AR20+'2012 полн'!AS20+'2012 полн'!AT20</f>
        <v>30153.534400000004</v>
      </c>
      <c r="M26" s="278">
        <f>'2012 полн'!AU20+'2012 полн'!AV20+'2012 полн'!AW20+'2012 полн'!AX20</f>
        <v>4668.78</v>
      </c>
      <c r="N26" s="279">
        <f>'2012 полн'!BD20</f>
        <v>1175.4499999999998</v>
      </c>
      <c r="O26" s="280">
        <f t="shared" si="0"/>
        <v>39742.1052</v>
      </c>
      <c r="P26" s="281">
        <f t="shared" si="1"/>
        <v>-190.51920000000246</v>
      </c>
      <c r="Q26" s="281">
        <f>'2012 полн'!BG20</f>
        <v>-272.6600000000035</v>
      </c>
    </row>
    <row r="27" spans="1:17" ht="13.5" hidden="1" thickBot="1">
      <c r="A27" s="282" t="s">
        <v>42</v>
      </c>
      <c r="B27" s="273">
        <f>'2012 полн'!B21</f>
        <v>4303.84</v>
      </c>
      <c r="C27" s="274">
        <f>'2012 полн'!C21</f>
        <v>36797.832</v>
      </c>
      <c r="D27" s="275">
        <f>'2012 полн'!D21</f>
        <v>374.646</v>
      </c>
      <c r="E27" s="276">
        <f>'2012 полн'!U21</f>
        <v>37643.35</v>
      </c>
      <c r="F27" s="276">
        <f>'2012 полн'!V21</f>
        <v>0</v>
      </c>
      <c r="G27" s="277">
        <f>'2012 полн'!AF21</f>
        <v>46218.880000000005</v>
      </c>
      <c r="H27" s="277">
        <f>'2012 полн'!AG21</f>
        <v>46593.526000000005</v>
      </c>
      <c r="I27" s="277">
        <f>'2012 полн'!AJ21</f>
        <v>1787.1</v>
      </c>
      <c r="J27" s="277">
        <f>'2012 полн'!AK21</f>
        <v>2883.5728000000004</v>
      </c>
      <c r="K27" s="277">
        <f>'2012 полн'!AL21</f>
        <v>860.768</v>
      </c>
      <c r="L27" s="276">
        <f>'2012 полн'!AM21+'2012 полн'!AN21+'2012 полн'!AO21+'2012 полн'!AP21+'2012 полн'!AQ21+'2012 полн'!AR21+'2012 полн'!AS21+'2012 полн'!AT21</f>
        <v>30153.534400000004</v>
      </c>
      <c r="M27" s="278">
        <f>'2012 полн'!AU21+'2012 полн'!AV21+'2012 полн'!AW21+'2012 полн'!AX21</f>
        <v>4174</v>
      </c>
      <c r="N27" s="279">
        <f>'2012 полн'!BD21</f>
        <v>1175.4499999999998</v>
      </c>
      <c r="O27" s="280">
        <f t="shared" si="0"/>
        <v>39247.3252</v>
      </c>
      <c r="P27" s="281">
        <f t="shared" si="1"/>
        <v>9133.300800000005</v>
      </c>
      <c r="Q27" s="281">
        <f>'2012 полн'!BG21</f>
        <v>8575.530000000006</v>
      </c>
    </row>
    <row r="28" spans="1:19" s="19" customFormat="1" ht="13.5" hidden="1" thickBot="1">
      <c r="A28" s="283" t="s">
        <v>5</v>
      </c>
      <c r="B28" s="284"/>
      <c r="C28" s="285">
        <f aca="true" t="shared" si="2" ref="C28:P28">SUM(C16:C27)</f>
        <v>441573.984</v>
      </c>
      <c r="D28" s="285">
        <f t="shared" si="2"/>
        <v>4495.752</v>
      </c>
      <c r="E28" s="285">
        <f t="shared" si="2"/>
        <v>446745.52999999997</v>
      </c>
      <c r="F28" s="285">
        <f t="shared" si="2"/>
        <v>0</v>
      </c>
      <c r="G28" s="285">
        <f t="shared" si="2"/>
        <v>418670.35</v>
      </c>
      <c r="H28" s="285">
        <f t="shared" si="2"/>
        <v>423166.102</v>
      </c>
      <c r="I28" s="285">
        <f t="shared" si="2"/>
        <v>26952.767999999996</v>
      </c>
      <c r="J28" s="285">
        <f t="shared" si="2"/>
        <v>34602.87360000001</v>
      </c>
      <c r="K28" s="285">
        <f t="shared" si="2"/>
        <v>10329.216</v>
      </c>
      <c r="L28" s="285">
        <f t="shared" si="2"/>
        <v>332145.91680000006</v>
      </c>
      <c r="M28" s="285">
        <f t="shared" si="2"/>
        <v>36799.08</v>
      </c>
      <c r="N28" s="285">
        <f t="shared" si="2"/>
        <v>12782.848000000002</v>
      </c>
      <c r="O28" s="285">
        <f t="shared" si="2"/>
        <v>426659.9344000001</v>
      </c>
      <c r="P28" s="285">
        <f t="shared" si="2"/>
        <v>23458.935599999953</v>
      </c>
      <c r="Q28" s="285">
        <f>SUM(Q16:Q27)</f>
        <v>-28075.18</v>
      </c>
      <c r="R28" s="43"/>
      <c r="S28" s="43"/>
    </row>
    <row r="29" spans="1:17" ht="13.5" hidden="1" thickBot="1">
      <c r="A29" s="439" t="s">
        <v>67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255"/>
      <c r="P29" s="256"/>
      <c r="Q29" s="256"/>
    </row>
    <row r="30" spans="1:19" s="19" customFormat="1" ht="13.5" thickBot="1">
      <c r="A30" s="51" t="s">
        <v>53</v>
      </c>
      <c r="B30" s="257"/>
      <c r="C30" s="258">
        <f aca="true" t="shared" si="3" ref="C30:Q30">C28+C14</f>
        <v>1335729.674</v>
      </c>
      <c r="D30" s="258">
        <f t="shared" si="3"/>
        <v>183806.39675000004</v>
      </c>
      <c r="E30" s="258">
        <f t="shared" si="3"/>
        <v>1136302.76</v>
      </c>
      <c r="F30" s="258">
        <f t="shared" si="3"/>
        <v>114230.19999999998</v>
      </c>
      <c r="G30" s="258">
        <f>G28+G14</f>
        <v>1044829.0199999999</v>
      </c>
      <c r="H30" s="258">
        <f>H28+H14</f>
        <v>1342865.61675</v>
      </c>
      <c r="I30" s="258">
        <f>I28+I14</f>
        <v>40317.83849999999</v>
      </c>
      <c r="J30" s="258">
        <f>J28+J14</f>
        <v>95591.23920000001</v>
      </c>
      <c r="K30" s="258">
        <f t="shared" si="3"/>
        <v>30702.6508874</v>
      </c>
      <c r="L30" s="258">
        <f t="shared" si="3"/>
        <v>858557.2699054037</v>
      </c>
      <c r="M30" s="258">
        <f t="shared" si="3"/>
        <v>461038.856</v>
      </c>
      <c r="N30" s="258">
        <f t="shared" si="3"/>
        <v>18343.408230351</v>
      </c>
      <c r="O30" s="258">
        <f t="shared" si="3"/>
        <v>1464233.424223155</v>
      </c>
      <c r="P30" s="258">
        <f t="shared" si="3"/>
        <v>-81049.96897315492</v>
      </c>
      <c r="Q30" s="258">
        <f t="shared" si="3"/>
        <v>-91473.74000000002</v>
      </c>
      <c r="R30" s="52"/>
      <c r="S30" s="43"/>
    </row>
    <row r="31" spans="1:19" ht="13.5" thickBot="1">
      <c r="A31" s="259" t="s">
        <v>126</v>
      </c>
      <c r="B31" s="260"/>
      <c r="C31" s="261"/>
      <c r="D31" s="262"/>
      <c r="E31" s="263"/>
      <c r="F31" s="264"/>
      <c r="G31" s="265"/>
      <c r="H31" s="264"/>
      <c r="I31" s="266"/>
      <c r="J31" s="265"/>
      <c r="K31" s="267"/>
      <c r="L31" s="267"/>
      <c r="M31" s="268"/>
      <c r="N31" s="269"/>
      <c r="O31" s="270"/>
      <c r="P31" s="271"/>
      <c r="Q31" s="271"/>
      <c r="R31" s="188"/>
      <c r="S31" s="188"/>
    </row>
    <row r="32" spans="1:19" ht="13.5" thickBot="1">
      <c r="A32" s="272" t="s">
        <v>44</v>
      </c>
      <c r="B32" s="273">
        <f>'2012 полн'!B26</f>
        <v>4303.84</v>
      </c>
      <c r="C32" s="274">
        <f>'2012 полн'!C26</f>
        <v>36797.832</v>
      </c>
      <c r="D32" s="275">
        <f>'2012 полн'!D26</f>
        <v>327.522</v>
      </c>
      <c r="E32" s="276">
        <f>'2012 полн'!U26</f>
        <v>37612.67</v>
      </c>
      <c r="F32" s="276">
        <f>'2012 полн'!V26</f>
        <v>0</v>
      </c>
      <c r="G32" s="277">
        <f>'2012 полн'!AF26</f>
        <v>27496.329999999998</v>
      </c>
      <c r="H32" s="277">
        <f>'2012 полн'!AG26</f>
        <v>27823.852</v>
      </c>
      <c r="I32" s="277">
        <f>'2012 полн'!AJ26</f>
        <v>2232.25</v>
      </c>
      <c r="J32" s="277">
        <f>'2012 полн'!AK26</f>
        <v>2883.5728000000004</v>
      </c>
      <c r="K32" s="277">
        <f>'2012 полн'!AL26</f>
        <v>860.768</v>
      </c>
      <c r="L32" s="276">
        <f>'2012 полн'!AM26+'2012 полн'!AN26+'2012 полн'!AO26+'2012 полн'!AP26+'2012 полн'!AQ26+'2012 полн'!AR26+'2012 полн'!AS26+'2012 полн'!AT26</f>
        <v>30153.534400000004</v>
      </c>
      <c r="M32" s="278">
        <f>'2012 полн'!AU26+'2012 полн'!AV26+'2012 полн'!AW26+'2012 полн'!AX26</f>
        <v>5780</v>
      </c>
      <c r="N32" s="279">
        <f>'2012 полн'!BD26</f>
        <v>1175.4499999999998</v>
      </c>
      <c r="O32" s="280">
        <f>SUM(J32:N32)</f>
        <v>40853.3252</v>
      </c>
      <c r="P32" s="281">
        <f>H32+I32-O32</f>
        <v>-10797.2232</v>
      </c>
      <c r="Q32" s="281">
        <f>'2012 полн'!BG26</f>
        <v>-10116.34</v>
      </c>
      <c r="R32" s="188"/>
      <c r="S32" s="188"/>
    </row>
    <row r="33" spans="1:19" ht="13.5" thickBot="1">
      <c r="A33" s="196" t="s">
        <v>45</v>
      </c>
      <c r="B33" s="273">
        <f>'2012 полн'!B27</f>
        <v>4303.84</v>
      </c>
      <c r="C33" s="274">
        <f>'2012 полн'!C27</f>
        <v>36797.832</v>
      </c>
      <c r="D33" s="275">
        <f>'2012 полн'!D27</f>
        <v>327.522</v>
      </c>
      <c r="E33" s="276">
        <f>'2012 полн'!U27</f>
        <v>37601.990000000005</v>
      </c>
      <c r="F33" s="276">
        <f>'2012 полн'!V27</f>
        <v>0</v>
      </c>
      <c r="G33" s="277">
        <f>'2012 полн'!AF27</f>
        <v>33483.41</v>
      </c>
      <c r="H33" s="277">
        <f>'2012 полн'!AG27</f>
        <v>33810.932</v>
      </c>
      <c r="I33" s="277">
        <f>'2012 полн'!AJ27</f>
        <v>2232.25</v>
      </c>
      <c r="J33" s="277">
        <f>'2012 полн'!AK27</f>
        <v>2883.5728000000004</v>
      </c>
      <c r="K33" s="277">
        <f>'2012 полн'!AL27</f>
        <v>860.768</v>
      </c>
      <c r="L33" s="276">
        <f>'2012 полн'!AM27+'2012 полн'!AN27+'2012 полн'!AO27+'2012 полн'!AP27+'2012 полн'!AQ27+'2012 полн'!AR27+'2012 полн'!AS27+'2012 полн'!AT27</f>
        <v>30153.534400000004</v>
      </c>
      <c r="M33" s="278">
        <f>'2012 полн'!AU27+'2012 полн'!AV27+'2012 полн'!AW27+'2012 полн'!AX27</f>
        <v>0</v>
      </c>
      <c r="N33" s="279">
        <f>'2012 полн'!BD27</f>
        <v>1175.4499999999998</v>
      </c>
      <c r="O33" s="280">
        <f aca="true" t="shared" si="4" ref="O33:O43">SUM(J33:N33)</f>
        <v>35073.3252</v>
      </c>
      <c r="P33" s="281">
        <f aca="true" t="shared" si="5" ref="P33:P43">H33+I33-O33</f>
        <v>969.8568000000014</v>
      </c>
      <c r="Q33" s="281">
        <f>'2012 полн'!BG27</f>
        <v>-4118.580000000002</v>
      </c>
      <c r="R33" s="188"/>
      <c r="S33" s="188"/>
    </row>
    <row r="34" spans="1:19" ht="13.5" thickBot="1">
      <c r="A34" s="196" t="s">
        <v>46</v>
      </c>
      <c r="B34" s="273">
        <f>'2012 полн'!B28</f>
        <v>4303.84</v>
      </c>
      <c r="C34" s="274">
        <f>'2012 полн'!C28</f>
        <v>36797.832</v>
      </c>
      <c r="D34" s="275">
        <f>'2012 полн'!D28</f>
        <v>327.522</v>
      </c>
      <c r="E34" s="276">
        <f>'2012 полн'!U28</f>
        <v>37588.84</v>
      </c>
      <c r="F34" s="276">
        <f>'2012 полн'!V28</f>
        <v>0</v>
      </c>
      <c r="G34" s="277">
        <f>'2012 полн'!AF28</f>
        <v>36371.26</v>
      </c>
      <c r="H34" s="277">
        <f>'2012 полн'!AG28</f>
        <v>36698.782</v>
      </c>
      <c r="I34" s="277">
        <f>'2012 полн'!AJ28</f>
        <v>2232.25</v>
      </c>
      <c r="J34" s="277">
        <f>'2012 полн'!AK28</f>
        <v>2883.5728000000004</v>
      </c>
      <c r="K34" s="277">
        <f>'2012 полн'!AL28</f>
        <v>860.768</v>
      </c>
      <c r="L34" s="276">
        <f>'2012 полн'!AM28+'2012 полн'!AN28+'2012 полн'!AO28+'2012 полн'!AP28+'2012 полн'!AQ28+'2012 полн'!AR28+'2012 полн'!AS28+'2012 полн'!AT28</f>
        <v>30153.534400000004</v>
      </c>
      <c r="M34" s="278">
        <f>'2012 полн'!AU28+'2012 полн'!AV28+'2012 полн'!AW28+'2012 полн'!AX28</f>
        <v>46473.59</v>
      </c>
      <c r="N34" s="279">
        <f>'2012 полн'!BD28</f>
        <v>1175.4499999999998</v>
      </c>
      <c r="O34" s="280">
        <f t="shared" si="4"/>
        <v>81546.9152</v>
      </c>
      <c r="P34" s="281">
        <f t="shared" si="5"/>
        <v>-42615.883200000004</v>
      </c>
      <c r="Q34" s="281">
        <f>'2012 полн'!BG28</f>
        <v>-1217.5799999999945</v>
      </c>
      <c r="R34" s="188"/>
      <c r="S34" s="188"/>
    </row>
    <row r="35" spans="1:19" ht="13.5" thickBot="1">
      <c r="A35" s="196" t="s">
        <v>47</v>
      </c>
      <c r="B35" s="273">
        <f>'2012 полн'!B29</f>
        <v>4303.84</v>
      </c>
      <c r="C35" s="274">
        <f>'2012 полн'!C29</f>
        <v>36797.832</v>
      </c>
      <c r="D35" s="275">
        <f>'2012 полн'!D29</f>
        <v>327.522</v>
      </c>
      <c r="E35" s="276">
        <f>'2012 полн'!U29</f>
        <v>37579.19</v>
      </c>
      <c r="F35" s="276">
        <f>'2012 полн'!V29</f>
        <v>0</v>
      </c>
      <c r="G35" s="277">
        <f>'2012 полн'!AF29</f>
        <v>37421.77</v>
      </c>
      <c r="H35" s="277">
        <f>'2012 полн'!AG29</f>
        <v>37749.291999999994</v>
      </c>
      <c r="I35" s="277">
        <f>'2012 полн'!AJ29</f>
        <v>2232.25</v>
      </c>
      <c r="J35" s="277">
        <f>'2012 полн'!AK29</f>
        <v>2883.5728000000004</v>
      </c>
      <c r="K35" s="277">
        <f>'2012 полн'!AL29</f>
        <v>860.768</v>
      </c>
      <c r="L35" s="276">
        <f>'2012 полн'!AM29+'2012 полн'!AN29+'2012 полн'!AO29+'2012 полн'!AP29+'2012 полн'!AQ29+'2012 полн'!AR29+'2012 полн'!AS29+'2012 полн'!AT29</f>
        <v>25204.118400000003</v>
      </c>
      <c r="M35" s="278">
        <f>'2012 полн'!AU29+'2012 полн'!AV29+'2012 полн'!AW29+'2012 полн'!AX29</f>
        <v>25.65</v>
      </c>
      <c r="N35" s="279">
        <f>'2012 полн'!BD29</f>
        <v>1175.4499999999998</v>
      </c>
      <c r="O35" s="280">
        <f t="shared" si="4"/>
        <v>30149.559200000007</v>
      </c>
      <c r="P35" s="281">
        <f t="shared" si="5"/>
        <v>9831.982799999987</v>
      </c>
      <c r="Q35" s="281">
        <f>'2012 полн'!BG29</f>
        <v>-157.42000000000553</v>
      </c>
      <c r="R35" s="188"/>
      <c r="S35" s="188"/>
    </row>
    <row r="36" spans="1:19" ht="13.5" thickBot="1">
      <c r="A36" s="196" t="s">
        <v>48</v>
      </c>
      <c r="B36" s="273">
        <f>'2012 полн'!B30</f>
        <v>4303.84</v>
      </c>
      <c r="C36" s="274">
        <f>'2012 полн'!C30</f>
        <v>36797.832</v>
      </c>
      <c r="D36" s="275">
        <f>'2012 полн'!D30</f>
        <v>327.522</v>
      </c>
      <c r="E36" s="276">
        <f>'2012 полн'!U30</f>
        <v>37579.19</v>
      </c>
      <c r="F36" s="276">
        <f>'2012 полн'!V30</f>
        <v>0</v>
      </c>
      <c r="G36" s="277">
        <f>'2012 полн'!AF30</f>
        <v>34904.770000000004</v>
      </c>
      <c r="H36" s="277">
        <f>'2012 полн'!AG30</f>
        <v>35232.292</v>
      </c>
      <c r="I36" s="277">
        <f>'2012 полн'!AJ30</f>
        <v>2232.25</v>
      </c>
      <c r="J36" s="277">
        <f>'2012 полн'!AK30</f>
        <v>2883.5728000000004</v>
      </c>
      <c r="K36" s="277">
        <f>'2012 полн'!AL30</f>
        <v>860.768</v>
      </c>
      <c r="L36" s="276">
        <f>'2012 полн'!AM30+'2012 полн'!AN30+'2012 полн'!AO30+'2012 полн'!AP30+'2012 полн'!AQ30+'2012 полн'!AR30+'2012 полн'!AS30+'2012 полн'!AT30</f>
        <v>25204.118400000003</v>
      </c>
      <c r="M36" s="278">
        <f>'2012 полн'!AU30+'2012 полн'!AV30+'2012 полн'!AW30+'2012 полн'!AX30</f>
        <v>0</v>
      </c>
      <c r="N36" s="279">
        <f>'2012 полн'!BD30</f>
        <v>1175.4499999999998</v>
      </c>
      <c r="O36" s="280">
        <f t="shared" si="4"/>
        <v>30123.909200000006</v>
      </c>
      <c r="P36" s="281">
        <f t="shared" si="5"/>
        <v>7340.632799999996</v>
      </c>
      <c r="Q36" s="281">
        <f>'2012 полн'!BG30</f>
        <v>-2674.4199999999983</v>
      </c>
      <c r="R36" s="188"/>
      <c r="S36" s="188"/>
    </row>
    <row r="37" spans="1:19" ht="13.5" thickBot="1">
      <c r="A37" s="196" t="s">
        <v>49</v>
      </c>
      <c r="B37" s="273">
        <f>'2012 полн'!B31</f>
        <v>4302.64</v>
      </c>
      <c r="C37" s="274">
        <f>'2012 полн'!C31</f>
        <v>36787.57200000001</v>
      </c>
      <c r="D37" s="275">
        <f>'2012 полн'!D31</f>
        <v>327.522</v>
      </c>
      <c r="E37" s="276">
        <f>'2012 полн'!U31</f>
        <v>37521.66</v>
      </c>
      <c r="F37" s="276">
        <f>'2012 полн'!V31</f>
        <v>0</v>
      </c>
      <c r="G37" s="277">
        <f>'2012 полн'!AF31</f>
        <v>42827.15</v>
      </c>
      <c r="H37" s="277">
        <f>'2012 полн'!AG31</f>
        <v>43154.672</v>
      </c>
      <c r="I37" s="277">
        <f>'2012 полн'!AJ31</f>
        <v>2432.25</v>
      </c>
      <c r="J37" s="277">
        <f>'2012 полн'!AK31</f>
        <v>2882.7688000000003</v>
      </c>
      <c r="K37" s="277">
        <f>'2012 полн'!AL31</f>
        <v>860.5280000000001</v>
      </c>
      <c r="L37" s="276">
        <f>'2012 полн'!AM31+'2012 полн'!AN31+'2012 полн'!AO31+'2012 полн'!AP31+'2012 полн'!AQ31+'2012 полн'!AR31+'2012 полн'!AS31+'2012 полн'!AT31</f>
        <v>25197.2064</v>
      </c>
      <c r="M37" s="278">
        <f>'2012 полн'!AU31+'2012 полн'!AV31+'2012 полн'!AW31+'2012 полн'!AX31</f>
        <v>4757.68</v>
      </c>
      <c r="N37" s="279">
        <f>'2012 полн'!BD31</f>
        <v>1225.4499999999998</v>
      </c>
      <c r="O37" s="280">
        <f t="shared" si="4"/>
        <v>34923.6332</v>
      </c>
      <c r="P37" s="281">
        <f t="shared" si="5"/>
        <v>10663.288800000002</v>
      </c>
      <c r="Q37" s="281">
        <f>'2012 полн'!BG31</f>
        <v>5305.489999999998</v>
      </c>
      <c r="R37" s="188"/>
      <c r="S37" s="188"/>
    </row>
    <row r="38" spans="1:17" ht="13.5" thickBot="1">
      <c r="A38" s="196" t="s">
        <v>50</v>
      </c>
      <c r="B38" s="273">
        <f>'2012 полн'!B32</f>
        <v>4302.64</v>
      </c>
      <c r="C38" s="274">
        <f>'2012 полн'!C32</f>
        <v>40918.106400000004</v>
      </c>
      <c r="D38" s="275">
        <f>'2012 полн'!D32</f>
        <v>438.30150000000003</v>
      </c>
      <c r="E38" s="276">
        <f>'2012 полн'!U32</f>
        <v>41900.12</v>
      </c>
      <c r="F38" s="276">
        <f>'2012 полн'!V32</f>
        <v>0</v>
      </c>
      <c r="G38" s="277">
        <f>'2012 полн'!AF32</f>
        <v>35267.66</v>
      </c>
      <c r="H38" s="277">
        <f>'2012 полн'!AG32</f>
        <v>35705.961500000005</v>
      </c>
      <c r="I38" s="277">
        <f>'2012 полн'!AJ32</f>
        <v>2432.25</v>
      </c>
      <c r="J38" s="277">
        <f>'2012 полн'!AK32</f>
        <v>3226.9800000000005</v>
      </c>
      <c r="K38" s="277">
        <f>'2012 полн'!AL32</f>
        <v>860.5280000000001</v>
      </c>
      <c r="L38" s="276">
        <f>'2012 полн'!AM32+'2012 полн'!AN32+'2012 полн'!AO32+'2012 полн'!AP32+'2012 полн'!AQ32+'2012 полн'!AR32+'2012 полн'!AS32+'2012 полн'!AT32</f>
        <v>25197.2064</v>
      </c>
      <c r="M38" s="278">
        <f>'2012 полн'!AU32+'2012 полн'!AV32+'2012 полн'!AW32+'2012 полн'!AX32</f>
        <v>8599.96</v>
      </c>
      <c r="N38" s="279">
        <f>'2012 полн'!BD32</f>
        <v>1225.4499999999998</v>
      </c>
      <c r="O38" s="280">
        <f t="shared" si="4"/>
        <v>39110.1244</v>
      </c>
      <c r="P38" s="281">
        <f t="shared" si="5"/>
        <v>-971.9128999999957</v>
      </c>
      <c r="Q38" s="281">
        <f>'2012 полн'!BG32</f>
        <v>-6632.459999999999</v>
      </c>
    </row>
    <row r="39" spans="1:17" ht="13.5" thickBot="1">
      <c r="A39" s="196" t="s">
        <v>51</v>
      </c>
      <c r="B39" s="273">
        <f>'2012 полн'!B33</f>
        <v>4302.64</v>
      </c>
      <c r="C39" s="274">
        <f>'2012 полн'!C33</f>
        <v>40918.106400000004</v>
      </c>
      <c r="D39" s="275">
        <f>'2012 полн'!D33</f>
        <v>0</v>
      </c>
      <c r="E39" s="276">
        <f>'2012 полн'!U33</f>
        <v>41865.21</v>
      </c>
      <c r="F39" s="276">
        <f>'2012 полн'!V33</f>
        <v>0</v>
      </c>
      <c r="G39" s="277">
        <f>'2012 полн'!AF33</f>
        <v>45319.54000000001</v>
      </c>
      <c r="H39" s="277">
        <f>'2012 полн'!AG33</f>
        <v>45319.54000000001</v>
      </c>
      <c r="I39" s="277">
        <f>'2012 полн'!AJ33</f>
        <v>4232.25</v>
      </c>
      <c r="J39" s="277">
        <f>'2012 полн'!AK33</f>
        <v>3226.9800000000005</v>
      </c>
      <c r="K39" s="277">
        <f>'2012 полн'!AL33</f>
        <v>860.5280000000001</v>
      </c>
      <c r="L39" s="276">
        <f>'2012 полн'!AM33+'2012 полн'!AN33+'2012 полн'!AO33+'2012 полн'!AP33+'2012 полн'!AQ33+'2012 полн'!AR33+'2012 полн'!AS33+'2012 полн'!AT33</f>
        <v>25197.2064</v>
      </c>
      <c r="M39" s="278">
        <f>'2012 полн'!AU33+'2012 полн'!AV33+'2012 полн'!AW33+'2012 полн'!AX33</f>
        <v>425.06</v>
      </c>
      <c r="N39" s="279">
        <f>'2012 полн'!BD33</f>
        <v>1675.4499999999998</v>
      </c>
      <c r="O39" s="280">
        <f t="shared" si="4"/>
        <v>31385.224400000003</v>
      </c>
      <c r="P39" s="281">
        <f t="shared" si="5"/>
        <v>18166.565600000005</v>
      </c>
      <c r="Q39" s="281">
        <f>'2012 полн'!BG33</f>
        <v>3454.330000000009</v>
      </c>
    </row>
    <row r="40" spans="1:17" ht="13.5" thickBot="1">
      <c r="A40" s="196" t="s">
        <v>52</v>
      </c>
      <c r="B40" s="273">
        <f>'2012 полн'!B34</f>
        <v>4302.64</v>
      </c>
      <c r="C40" s="274">
        <f>'2012 полн'!C34</f>
        <v>40918.106400000004</v>
      </c>
      <c r="D40" s="275">
        <f>'2012 полн'!D34</f>
        <v>0</v>
      </c>
      <c r="E40" s="276">
        <f>'2012 полн'!U34</f>
        <v>41817.06</v>
      </c>
      <c r="F40" s="276">
        <f>'2012 полн'!V34</f>
        <v>0</v>
      </c>
      <c r="G40" s="277">
        <f>'2012 полн'!AF34</f>
        <v>42917.229999999996</v>
      </c>
      <c r="H40" s="277">
        <f>'2012 полн'!AG34</f>
        <v>42917.229999999996</v>
      </c>
      <c r="I40" s="277">
        <f>'2012 полн'!AJ34</f>
        <v>3032.25</v>
      </c>
      <c r="J40" s="277">
        <f>'2012 полн'!AK34</f>
        <v>3226.9800000000005</v>
      </c>
      <c r="K40" s="277">
        <f>'2012 полн'!AL34</f>
        <v>860.5280000000001</v>
      </c>
      <c r="L40" s="276">
        <f>'2012 полн'!AM34+'2012 полн'!AN34+'2012 полн'!AO34+'2012 полн'!AP34+'2012 полн'!AQ34+'2012 полн'!AR34+'2012 полн'!AS34+'2012 полн'!AT34</f>
        <v>25197.2064</v>
      </c>
      <c r="M40" s="278">
        <f>'2012 полн'!AU34+'2012 полн'!AV34+'2012 полн'!AW34+'2012 полн'!AX34</f>
        <v>53716</v>
      </c>
      <c r="N40" s="279">
        <f>'2012 полн'!BD34</f>
        <v>1375.4499999999998</v>
      </c>
      <c r="O40" s="280">
        <f t="shared" si="4"/>
        <v>84376.1644</v>
      </c>
      <c r="P40" s="281">
        <f t="shared" si="5"/>
        <v>-38426.6844</v>
      </c>
      <c r="Q40" s="281">
        <f>'2012 полн'!BG34</f>
        <v>1100.1699999999983</v>
      </c>
    </row>
    <row r="41" spans="1:17" ht="13.5" thickBot="1">
      <c r="A41" s="196" t="s">
        <v>40</v>
      </c>
      <c r="B41" s="273">
        <f>'2012 полн'!B35</f>
        <v>4302.64</v>
      </c>
      <c r="C41" s="274">
        <f>'2012 полн'!C35</f>
        <v>40918.106400000004</v>
      </c>
      <c r="D41" s="275">
        <f>'2012 полн'!D35</f>
        <v>0</v>
      </c>
      <c r="E41" s="276">
        <f>'2012 полн'!U35</f>
        <v>41828.25</v>
      </c>
      <c r="F41" s="276">
        <f>'2012 полн'!V35</f>
        <v>0</v>
      </c>
      <c r="G41" s="277">
        <f>'2012 полн'!AF35</f>
        <v>45665.21</v>
      </c>
      <c r="H41" s="277">
        <f>'2012 полн'!AG35</f>
        <v>45665.21</v>
      </c>
      <c r="I41" s="277">
        <f>'2012 полн'!AJ35</f>
        <v>3032.25</v>
      </c>
      <c r="J41" s="277">
        <f>'2012 полн'!AK35</f>
        <v>3226.9800000000005</v>
      </c>
      <c r="K41" s="277">
        <f>'2012 полн'!AL35</f>
        <v>860.5280000000001</v>
      </c>
      <c r="L41" s="276">
        <f>'2012 полн'!AM35+'2012 полн'!AN35+'2012 полн'!AO35+'2012 полн'!AP35+'2012 полн'!AQ35+'2012 полн'!AR35+'2012 полн'!AS35+'2012 полн'!AT35</f>
        <v>30145.2424</v>
      </c>
      <c r="M41" s="278">
        <f>'2012 полн'!AU35+'2012 полн'!AV35+'2012 полн'!AW35+'2012 полн'!AX35</f>
        <v>2208.65</v>
      </c>
      <c r="N41" s="279">
        <f>'2012 полн'!BD35</f>
        <v>1375.4499999999998</v>
      </c>
      <c r="O41" s="280">
        <f t="shared" si="4"/>
        <v>37816.850399999996</v>
      </c>
      <c r="P41" s="281">
        <f t="shared" si="5"/>
        <v>10880.609600000003</v>
      </c>
      <c r="Q41" s="281">
        <f>'2012 полн'!BG35</f>
        <v>3836.959999999999</v>
      </c>
    </row>
    <row r="42" spans="1:17" ht="13.5" thickBot="1">
      <c r="A42" s="196" t="s">
        <v>41</v>
      </c>
      <c r="B42" s="273">
        <f>'2012 полн'!B36</f>
        <v>4302.64</v>
      </c>
      <c r="C42" s="274">
        <f>'2012 полн'!C36</f>
        <v>40918.106400000004</v>
      </c>
      <c r="D42" s="275">
        <f>'2012 полн'!D36</f>
        <v>0</v>
      </c>
      <c r="E42" s="276">
        <f>'2012 полн'!U36</f>
        <v>41812</v>
      </c>
      <c r="F42" s="276">
        <f>'2012 полн'!V36</f>
        <v>0</v>
      </c>
      <c r="G42" s="277">
        <f>'2012 полн'!AF36</f>
        <v>44931.76000000001</v>
      </c>
      <c r="H42" s="277">
        <f>'2012 полн'!AG36</f>
        <v>44931.76000000001</v>
      </c>
      <c r="I42" s="277">
        <f>'2012 полн'!AJ36</f>
        <v>3032.25</v>
      </c>
      <c r="J42" s="277">
        <f>'2012 полн'!AK36</f>
        <v>3226.9800000000005</v>
      </c>
      <c r="K42" s="277">
        <f>'2012 полн'!AL36</f>
        <v>860.5280000000001</v>
      </c>
      <c r="L42" s="276">
        <f>'2012 полн'!AM36+'2012 полн'!AN36+'2012 полн'!AO36+'2012 полн'!AP36+'2012 полн'!AQ36+'2012 полн'!AR36+'2012 полн'!AS36+'2012 полн'!AT36</f>
        <v>30145.2424</v>
      </c>
      <c r="M42" s="278">
        <f>'2012 полн'!AU36+'2012 полн'!AV36+'2012 полн'!AW36+'2012 полн'!AX36</f>
        <v>12206</v>
      </c>
      <c r="N42" s="279">
        <f>'2012 полн'!BD36</f>
        <v>1375.4499999999998</v>
      </c>
      <c r="O42" s="280">
        <f t="shared" si="4"/>
        <v>47814.200399999994</v>
      </c>
      <c r="P42" s="281">
        <f t="shared" si="5"/>
        <v>149.80960000001505</v>
      </c>
      <c r="Q42" s="281">
        <f>'2012 полн'!BG36</f>
        <v>3119.7600000000093</v>
      </c>
    </row>
    <row r="43" spans="1:17" ht="13.5" thickBot="1">
      <c r="A43" s="282" t="s">
        <v>42</v>
      </c>
      <c r="B43" s="273">
        <f>'2012 полн'!B37</f>
        <v>4302.64</v>
      </c>
      <c r="C43" s="274">
        <f>'2012 полн'!C37</f>
        <v>40918.106400000004</v>
      </c>
      <c r="D43" s="275">
        <f>'2012 полн'!D37</f>
        <v>0</v>
      </c>
      <c r="E43" s="276">
        <f>'2012 полн'!U37</f>
        <v>41820.76</v>
      </c>
      <c r="F43" s="276">
        <f>'2012 полн'!V37</f>
        <v>0</v>
      </c>
      <c r="G43" s="277">
        <f>'2012 полн'!AF37</f>
        <v>44358.82</v>
      </c>
      <c r="H43" s="277">
        <f>'2012 полн'!AG37</f>
        <v>44358.82</v>
      </c>
      <c r="I43" s="277">
        <f>'2012 полн'!AJ37</f>
        <v>3032.25</v>
      </c>
      <c r="J43" s="277">
        <f>'2012 полн'!AK37</f>
        <v>3226.9800000000005</v>
      </c>
      <c r="K43" s="277">
        <f>'2012 полн'!AL37</f>
        <v>860.5280000000001</v>
      </c>
      <c r="L43" s="276">
        <f>'2012 полн'!AM37+'2012 полн'!AN37+'2012 полн'!AO37+'2012 полн'!AP37+'2012 полн'!AQ37+'2012 полн'!AR37+'2012 полн'!AS37+'2012 полн'!AT37</f>
        <v>30145.2424</v>
      </c>
      <c r="M43" s="278">
        <f>'2012 полн'!AU37+'2012 полн'!AV37+'2012 полн'!AW37+'2012 полн'!AX37</f>
        <v>3023.06</v>
      </c>
      <c r="N43" s="279">
        <f>'2012 полн'!BD37</f>
        <v>1375.4499999999998</v>
      </c>
      <c r="O43" s="280">
        <f t="shared" si="4"/>
        <v>38631.26039999999</v>
      </c>
      <c r="P43" s="281">
        <f t="shared" si="5"/>
        <v>8759.809600000008</v>
      </c>
      <c r="Q43" s="281">
        <f>'2012 полн'!BG37</f>
        <v>2538.0599999999977</v>
      </c>
    </row>
    <row r="44" spans="1:19" s="19" customFormat="1" ht="13.5" thickBot="1">
      <c r="A44" s="283" t="s">
        <v>5</v>
      </c>
      <c r="B44" s="284"/>
      <c r="C44" s="285">
        <f aca="true" t="shared" si="6" ref="C44:P44">SUM(C32:C43)</f>
        <v>466285.37039999996</v>
      </c>
      <c r="D44" s="285">
        <f t="shared" si="6"/>
        <v>2403.4335</v>
      </c>
      <c r="E44" s="285">
        <f t="shared" si="6"/>
        <v>476526.94000000006</v>
      </c>
      <c r="F44" s="285">
        <f t="shared" si="6"/>
        <v>0</v>
      </c>
      <c r="G44" s="285">
        <f t="shared" si="6"/>
        <v>470964.91000000003</v>
      </c>
      <c r="H44" s="285">
        <f t="shared" si="6"/>
        <v>473368.34349999996</v>
      </c>
      <c r="I44" s="285">
        <f t="shared" si="6"/>
        <v>32387</v>
      </c>
      <c r="J44" s="285">
        <f t="shared" si="6"/>
        <v>36662.512800000004</v>
      </c>
      <c r="K44" s="285">
        <f t="shared" si="6"/>
        <v>10327.536000000002</v>
      </c>
      <c r="L44" s="285">
        <f t="shared" si="6"/>
        <v>332093.3928</v>
      </c>
      <c r="M44" s="285">
        <f t="shared" si="6"/>
        <v>137215.65</v>
      </c>
      <c r="N44" s="285">
        <f t="shared" si="6"/>
        <v>15505.400000000001</v>
      </c>
      <c r="O44" s="285">
        <f t="shared" si="6"/>
        <v>531804.4916</v>
      </c>
      <c r="P44" s="285">
        <f t="shared" si="6"/>
        <v>-26049.148099999977</v>
      </c>
      <c r="Q44" s="285">
        <f>SUM(Q32:Q43)</f>
        <v>-5562.029999999988</v>
      </c>
      <c r="R44" s="43"/>
      <c r="S44" s="43"/>
    </row>
    <row r="45" spans="1:17" ht="13.5" thickBot="1">
      <c r="A45" s="439" t="s">
        <v>67</v>
      </c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255"/>
      <c r="P45" s="256"/>
      <c r="Q45" s="256"/>
    </row>
    <row r="46" spans="1:19" s="19" customFormat="1" ht="13.5" thickBot="1">
      <c r="A46" s="51" t="s">
        <v>53</v>
      </c>
      <c r="B46" s="257"/>
      <c r="C46" s="258">
        <f>C44+C30</f>
        <v>1802015.0444</v>
      </c>
      <c r="D46" s="258">
        <f>D44+D30</f>
        <v>186209.83025000006</v>
      </c>
      <c r="E46" s="258">
        <f>E44+E30</f>
        <v>1612829.7000000002</v>
      </c>
      <c r="F46" s="258">
        <f>F44+F30</f>
        <v>114230.19999999998</v>
      </c>
      <c r="G46" s="258">
        <f>G44+G30</f>
        <v>1515793.93</v>
      </c>
      <c r="H46" s="258">
        <f>H44+H30</f>
        <v>1816233.96025</v>
      </c>
      <c r="I46" s="258">
        <f>I44+I30</f>
        <v>72704.83849999998</v>
      </c>
      <c r="J46" s="258">
        <f>J44+J30</f>
        <v>132253.752</v>
      </c>
      <c r="K46" s="258">
        <f aca="true" t="shared" si="7" ref="K46:Y46">K44+K30</f>
        <v>41030.1868874</v>
      </c>
      <c r="L46" s="258">
        <f t="shared" si="7"/>
        <v>1190650.6627054038</v>
      </c>
      <c r="M46" s="258">
        <f t="shared" si="7"/>
        <v>598254.506</v>
      </c>
      <c r="N46" s="258">
        <f t="shared" si="7"/>
        <v>33848.808230351</v>
      </c>
      <c r="O46" s="258">
        <f t="shared" si="7"/>
        <v>1996037.915823155</v>
      </c>
      <c r="P46" s="258">
        <f t="shared" si="7"/>
        <v>-107099.11707315489</v>
      </c>
      <c r="Q46" s="258">
        <f t="shared" si="7"/>
        <v>-97035.77</v>
      </c>
      <c r="R46" s="52"/>
      <c r="S46" s="43"/>
    </row>
    <row r="48" spans="1:4" ht="12.75">
      <c r="A48" s="19" t="s">
        <v>68</v>
      </c>
      <c r="D48" s="164" t="s">
        <v>127</v>
      </c>
    </row>
    <row r="49" spans="1:4" ht="12.75">
      <c r="A49" s="195" t="s">
        <v>69</v>
      </c>
      <c r="B49" s="195" t="s">
        <v>70</v>
      </c>
      <c r="C49" s="441" t="s">
        <v>71</v>
      </c>
      <c r="D49" s="442"/>
    </row>
    <row r="50" spans="1:4" ht="12.75">
      <c r="A50" s="286">
        <v>493998.95</v>
      </c>
      <c r="B50" s="287">
        <v>382310</v>
      </c>
      <c r="C50" s="443">
        <f>A50-B50</f>
        <v>111688.95000000001</v>
      </c>
      <c r="D50" s="444"/>
    </row>
    <row r="51" ht="12.75">
      <c r="A51" s="53"/>
    </row>
    <row r="52" spans="1:7" ht="12.75">
      <c r="A52" s="189" t="s">
        <v>72</v>
      </c>
      <c r="G52" s="189" t="s">
        <v>73</v>
      </c>
    </row>
    <row r="53" ht="12.75">
      <c r="A53" s="188"/>
    </row>
    <row r="54" ht="12.75">
      <c r="A54" s="188"/>
    </row>
    <row r="55" ht="12.75">
      <c r="A55" s="189" t="s">
        <v>123</v>
      </c>
    </row>
    <row r="56" ht="12.75">
      <c r="A56" s="189" t="s">
        <v>74</v>
      </c>
    </row>
  </sheetData>
  <sheetProtection/>
  <mergeCells count="29">
    <mergeCell ref="A45:N45"/>
    <mergeCell ref="E8:F9"/>
    <mergeCell ref="G8:H9"/>
    <mergeCell ref="B1:H1"/>
    <mergeCell ref="B2:H2"/>
    <mergeCell ref="A5:N5"/>
    <mergeCell ref="A6:G6"/>
    <mergeCell ref="A7:D7"/>
    <mergeCell ref="E7:F7"/>
    <mergeCell ref="P8:P11"/>
    <mergeCell ref="Q8:Q11"/>
    <mergeCell ref="E10:F10"/>
    <mergeCell ref="H10:H11"/>
    <mergeCell ref="J10:J11"/>
    <mergeCell ref="K10:K11"/>
    <mergeCell ref="L10:L11"/>
    <mergeCell ref="M10:M11"/>
    <mergeCell ref="N10:N11"/>
    <mergeCell ref="O10:O11"/>
    <mergeCell ref="A13:N13"/>
    <mergeCell ref="A29:N29"/>
    <mergeCell ref="C49:D49"/>
    <mergeCell ref="C50:D50"/>
    <mergeCell ref="I8:I11"/>
    <mergeCell ref="J8:O9"/>
    <mergeCell ref="A8:A11"/>
    <mergeCell ref="B8:B11"/>
    <mergeCell ref="C8:C11"/>
    <mergeCell ref="D8:D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2012-10-19T08:31:20Z</cp:lastPrinted>
  <dcterms:created xsi:type="dcterms:W3CDTF">2010-04-03T04:08:20Z</dcterms:created>
  <dcterms:modified xsi:type="dcterms:W3CDTF">2013-05-26T08:16:00Z</dcterms:modified>
  <cp:category/>
  <cp:version/>
  <cp:contentType/>
  <cp:contentStatus/>
</cp:coreProperties>
</file>