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<sst xmlns="http://schemas.openxmlformats.org/spreadsheetml/2006/main" count="328" uniqueCount="130">
  <si>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</si>
  <si>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</si>
  <si>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</si>
  <si>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</si>
  <si>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</si>
  <si>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</si>
  <si>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</si>
  <si>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</si>
  <si>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</si>
  <si>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</si>
  <si>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</si>
  <si>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</si>
  <si>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</si>
  <si>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</si>
  <si>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</si>
  <si>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</si>
  <si>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</si>
  <si>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</si>
  <si>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</si>
  <si>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</si>
  <si>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</si>
  <si>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</si>
  <si>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</si>
  <si>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</si>
  <si>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</si>
  <si>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</si>
  <si>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</si>
  <si>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</si>
  <si>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</si>
  <si>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</si>
  <si>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</si>
  <si>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</si>
  <si>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</si>
  <si>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</si>
  <si>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</si>
  <si>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</si>
  <si>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</si>
  <si>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</si>
  <si>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</si>
  <si>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</si>
  <si>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</si>
  <si>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</si>
  <si>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</si>
  <si>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</si>
  <si>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</si>
  <si>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</si>
  <si>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</si>
  <si>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</si>
  <si>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</si>
  <si>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</si>
  <si>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</si>
  <si>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</si>
  <si>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</si>
  <si>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</si>
  <si>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</si>
  <si>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</si>
  <si>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</si>
  <si>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</si>
  <si>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</si>
  <si>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</si>
  <si>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</si>
  <si>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</si>
  <si>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</si>
  <si>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</si>
  <si>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</si>
  <si>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</si>
  <si>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</si>
  <si>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</si>
  <si>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</si>
  <si>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</si>
  <si>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Ю.С. Дмитриева</t>
  </si>
  <si>
    <t>Лицевой счет по адресу г. Таштагол, ул. Поспелова, д. 11</t>
  </si>
  <si>
    <t>Выписка по лицевому счету по адресу г. Таштагол, ул. Поспелова, д. 11</t>
  </si>
  <si>
    <t>Доп. работы по содержанию ТУК</t>
  </si>
  <si>
    <t>Собрано по отоплению</t>
  </si>
  <si>
    <t>Собрано по лифтам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</si>
  <si>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</si>
  <si>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</si>
  <si>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</si>
  <si>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</si>
  <si>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</si>
  <si>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</si>
  <si>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</si>
  <si>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Собрано квартплаты от населения</t>
  </si>
  <si>
    <t>от населения по содержанию и тек.рем.</t>
  </si>
  <si>
    <t>Расходы по нежилым</t>
  </si>
  <si>
    <t>*по состоянию на 01.01.2011 г.</t>
  </si>
  <si>
    <t>на начало отчетного периода</t>
  </si>
  <si>
    <t>на конец отчетного периода</t>
  </si>
  <si>
    <t>на 01.01.2011г.</t>
  </si>
  <si>
    <t>Доходы по нежил.помещениям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</si>
  <si>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</si>
  <si>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</si>
  <si>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</si>
  <si>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</si>
  <si>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</si>
  <si>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</si>
  <si>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</si>
  <si>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</si>
  <si>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</si>
  <si>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</si>
  <si>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</si>
  <si>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</si>
  <si>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</si>
  <si>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</si>
  <si>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</si>
  <si>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</si>
  <si>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</si>
  <si>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</si>
  <si>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</si>
  <si>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</si>
  <si>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</si>
  <si>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</si>
  <si>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</si>
  <si>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</si>
  <si>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</si>
  <si>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Выписка по лицевому счету по адресу г. Таштагол ул. Поспелова, д.11</t>
  </si>
  <si>
    <t>от населения</t>
  </si>
  <si>
    <t>Услуга начисления</t>
  </si>
  <si>
    <t>Расходы по нежилым помещениям</t>
  </si>
  <si>
    <t>Собрано по содержанию и тек.рем.</t>
  </si>
  <si>
    <t>Исп. В.В. Колмогорова</t>
  </si>
  <si>
    <t>тел. 3-48-80</t>
  </si>
  <si>
    <t>2012 год</t>
  </si>
  <si>
    <t>Доходы по нежилым помещениям</t>
  </si>
  <si>
    <t>на 01.01.2013 г.</t>
  </si>
  <si>
    <t>Лицевой счет по адресу г. Таштагол, ул. Поспелова, д.11</t>
  </si>
  <si>
    <t>*по состоянию на 24.04.2013 г.</t>
  </si>
  <si>
    <t>Дотация и целевое финансирование</t>
  </si>
  <si>
    <t>Тариф по содержанию и тек.ремонту 100 % (9,51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</si>
</sst>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textRotation="90" wrapText="1"/>
    </xf>
    <xf numFmtId="0" fontId="1" fillId="0" borderId="19" xfId="0" applyFont="1" applyFill="1" applyBorder="1" applyAlignment="1">
      <alignment horizontal="center" textRotation="90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9" xfId="0" applyNumberFormat="1" applyFont="1" applyFill="1" applyBorder="1" applyAlignment="1">
      <alignment horizontal="right" wrapText="1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33" borderId="30" xfId="0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4" fontId="0" fillId="33" borderId="11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right" wrapText="1"/>
    </xf>
    <xf numFmtId="4" fontId="0" fillId="0" borderId="11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2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25" xfId="0" applyNumberFormat="1" applyFont="1" applyFill="1" applyBorder="1" applyAlignment="1">
      <alignment/>
    </xf>
    <xf numFmtId="4" fontId="0" fillId="34" borderId="3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4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164" fontId="0" fillId="0" borderId="11" xfId="0" applyNumberFormat="1" applyFont="1" applyFill="1" applyBorder="1" applyAlignment="1">
      <alignment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right" vertical="center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0" fillId="35" borderId="24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34" borderId="24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right" vertical="center" wrapText="1"/>
    </xf>
    <xf numFmtId="4" fontId="1" fillId="0" borderId="39" xfId="0" applyNumberFormat="1" applyFont="1" applyFill="1" applyBorder="1" applyAlignment="1">
      <alignment wrapText="1"/>
    </xf>
    <xf numFmtId="4" fontId="1" fillId="33" borderId="39" xfId="0" applyNumberFormat="1" applyFont="1" applyFill="1" applyBorder="1" applyAlignment="1">
      <alignment wrapText="1"/>
    </xf>
    <xf numFmtId="4" fontId="1" fillId="34" borderId="39" xfId="0" applyNumberFormat="1" applyFont="1" applyFill="1" applyBorder="1" applyAlignment="1">
      <alignment wrapText="1"/>
    </xf>
    <xf numFmtId="4" fontId="1" fillId="34" borderId="39" xfId="0" applyNumberFormat="1" applyFont="1" applyFill="1" applyBorder="1" applyAlignment="1">
      <alignment horizontal="right" wrapText="1"/>
    </xf>
    <xf numFmtId="4" fontId="1" fillId="0" borderId="39" xfId="0" applyNumberFormat="1" applyFont="1" applyFill="1" applyBorder="1" applyAlignment="1">
      <alignment horizontal="right" wrapText="1"/>
    </xf>
    <xf numFmtId="4" fontId="1" fillId="33" borderId="39" xfId="0" applyNumberFormat="1" applyFont="1" applyFill="1" applyBorder="1" applyAlignment="1">
      <alignment horizontal="right" wrapText="1"/>
    </xf>
    <xf numFmtId="4" fontId="1" fillId="0" borderId="40" xfId="0" applyNumberFormat="1" applyFont="1" applyFill="1" applyBorder="1" applyAlignment="1">
      <alignment horizontal="right" wrapText="1"/>
    </xf>
    <xf numFmtId="4" fontId="1" fillId="0" borderId="41" xfId="0" applyNumberFormat="1" applyFont="1" applyFill="1" applyBorder="1" applyAlignment="1">
      <alignment horizontal="right" wrapText="1"/>
    </xf>
    <xf numFmtId="4" fontId="0" fillId="34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4" borderId="24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35" borderId="24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4" fontId="0" fillId="0" borderId="4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44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right"/>
    </xf>
    <xf numFmtId="4" fontId="1" fillId="0" borderId="46" xfId="0" applyNumberFormat="1" applyFont="1" applyFill="1" applyBorder="1" applyAlignment="1">
      <alignment horizontal="right" wrapText="1"/>
    </xf>
    <xf numFmtId="4" fontId="1" fillId="0" borderId="44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 wrapText="1"/>
    </xf>
    <xf numFmtId="4" fontId="1" fillId="0" borderId="48" xfId="0" applyNumberFormat="1" applyFont="1" applyFill="1" applyBorder="1" applyAlignment="1">
      <alignment horizontal="right" wrapText="1"/>
    </xf>
    <xf numFmtId="4" fontId="1" fillId="0" borderId="4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42" xfId="0" applyNumberFormat="1" applyFont="1" applyFill="1" applyBorder="1" applyAlignment="1">
      <alignment horizontal="right"/>
    </xf>
    <xf numFmtId="4" fontId="1" fillId="0" borderId="5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2" fillId="34" borderId="24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3" fontId="0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5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2" fontId="7" fillId="34" borderId="13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2" fillId="0" borderId="37" xfId="0" applyFont="1" applyBorder="1" applyAlignment="1">
      <alignment wrapText="1"/>
    </xf>
    <xf numFmtId="0" fontId="1" fillId="0" borderId="5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5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25" xfId="0" applyFont="1" applyFill="1" applyBorder="1" applyAlignment="1">
      <alignment horizontal="center"/>
    </xf>
    <xf numFmtId="4" fontId="0" fillId="37" borderId="25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43" fontId="0" fillId="35" borderId="11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7" fillId="0" borderId="13" xfId="0" applyNumberFormat="1" applyFont="1" applyFill="1" applyBorder="1" applyAlignment="1">
      <alignment/>
    </xf>
    <xf numFmtId="4" fontId="2" fillId="34" borderId="43" xfId="0" applyNumberFormat="1" applyFont="1" applyFill="1" applyBorder="1" applyAlignment="1">
      <alignment horizontal="right" wrapText="1"/>
    </xf>
    <xf numFmtId="4" fontId="2" fillId="34" borderId="43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4" fontId="8" fillId="0" borderId="24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0" borderId="19" xfId="0" applyNumberFormat="1" applyBorder="1" applyAlignment="1">
      <alignment horizontal="center"/>
    </xf>
    <xf numFmtId="4" fontId="2" fillId="0" borderId="59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59" xfId="0" applyNumberFormat="1" applyFont="1" applyFill="1" applyBorder="1" applyAlignment="1">
      <alignment horizontal="right" vertical="center" wrapText="1"/>
    </xf>
    <xf numFmtId="4" fontId="0" fillId="0" borderId="19" xfId="0" applyNumberFormat="1" applyFont="1" applyFill="1" applyBorder="1" applyAlignment="1">
      <alignment horizontal="right"/>
    </xf>
    <xf numFmtId="4" fontId="0" fillId="0" borderId="58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>
      <alignment horizontal="right"/>
    </xf>
    <xf numFmtId="4" fontId="1" fillId="0" borderId="61" xfId="0" applyNumberFormat="1" applyFont="1" applyFill="1" applyBorder="1" applyAlignment="1">
      <alignment horizontal="right"/>
    </xf>
    <xf numFmtId="0" fontId="48" fillId="33" borderId="11" xfId="0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right"/>
    </xf>
    <xf numFmtId="43" fontId="0" fillId="0" borderId="11" xfId="0" applyNumberFormat="1" applyFont="1" applyFill="1" applyBorder="1" applyAlignment="1">
      <alignment horizontal="right"/>
    </xf>
    <xf numFmtId="4" fontId="1" fillId="0" borderId="62" xfId="0" applyNumberFormat="1" applyFont="1" applyFill="1" applyBorder="1" applyAlignment="1">
      <alignment horizontal="right"/>
    </xf>
    <xf numFmtId="4" fontId="0" fillId="34" borderId="43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4" fontId="2" fillId="37" borderId="15" xfId="0" applyNumberFormat="1" applyFont="1" applyFill="1" applyBorder="1" applyAlignment="1">
      <alignment wrapText="1"/>
    </xf>
    <xf numFmtId="4" fontId="0" fillId="34" borderId="13" xfId="0" applyNumberFormat="1" applyFont="1" applyFill="1" applyBorder="1" applyAlignment="1">
      <alignment horizontal="center"/>
    </xf>
    <xf numFmtId="164" fontId="2" fillId="33" borderId="11" xfId="0" applyNumberFormat="1" applyFont="1" applyFill="1" applyBorder="1" applyAlignment="1">
      <alignment horizontal="right"/>
    </xf>
    <xf numFmtId="4" fontId="0" fillId="38" borderId="15" xfId="0" applyNumberFormat="1" applyFont="1" applyFill="1" applyBorder="1" applyAlignment="1">
      <alignment horizontal="center" wrapText="1"/>
    </xf>
    <xf numFmtId="4" fontId="0" fillId="39" borderId="15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43" fontId="1" fillId="0" borderId="28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6" borderId="18" xfId="0" applyNumberFormat="1" applyFont="1" applyFill="1" applyBorder="1" applyAlignment="1">
      <alignment horizontal="center" vertical="center" wrapText="1"/>
    </xf>
    <xf numFmtId="2" fontId="1" fillId="36" borderId="55" xfId="0" applyNumberFormat="1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4" borderId="3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textRotation="90"/>
    </xf>
    <xf numFmtId="0" fontId="1" fillId="33" borderId="32" xfId="0" applyFont="1" applyFill="1" applyBorder="1" applyAlignment="1">
      <alignment horizontal="center" textRotation="90"/>
    </xf>
    <xf numFmtId="2" fontId="1" fillId="36" borderId="41" xfId="0" applyNumberFormat="1" applyFont="1" applyFill="1" applyBorder="1" applyAlignment="1">
      <alignment horizontal="center" vertical="center" wrapText="1"/>
    </xf>
    <xf numFmtId="2" fontId="1" fillId="36" borderId="33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35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67" xfId="0" applyFont="1" applyFill="1" applyBorder="1" applyAlignment="1">
      <alignment horizontal="center" textRotation="90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9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2" fontId="11" fillId="0" borderId="33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35" borderId="41" xfId="0" applyNumberFormat="1" applyFont="1" applyFill="1" applyBorder="1" applyAlignment="1">
      <alignment horizontal="center" vertical="center" wrapText="1"/>
    </xf>
    <xf numFmtId="2" fontId="1" fillId="35" borderId="33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75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6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0" fontId="1" fillId="40" borderId="60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textRotation="90"/>
    </xf>
    <xf numFmtId="0" fontId="1" fillId="0" borderId="33" xfId="0" applyFont="1" applyFill="1" applyBorder="1" applyAlignment="1">
      <alignment horizontal="center" textRotation="90"/>
    </xf>
    <xf numFmtId="0" fontId="1" fillId="0" borderId="7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2" fontId="10" fillId="0" borderId="41" xfId="0" applyNumberFormat="1" applyFont="1" applyFill="1" applyBorder="1" applyAlignment="1">
      <alignment horizontal="center" vertical="center" wrapText="1"/>
    </xf>
    <xf numFmtId="2" fontId="10" fillId="0" borderId="68" xfId="0" applyNumberFormat="1" applyFont="1" applyFill="1" applyBorder="1" applyAlignment="1">
      <alignment horizontal="center" vertical="center" wrapText="1"/>
    </xf>
    <xf numFmtId="2" fontId="10" fillId="0" borderId="33" xfId="0" applyNumberFormat="1" applyFont="1" applyFill="1" applyBorder="1" applyAlignment="1">
      <alignment horizontal="center" vertical="center" wrapText="1"/>
    </xf>
    <xf numFmtId="2" fontId="1" fillId="0" borderId="7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0" fontId="1" fillId="40" borderId="72" xfId="0" applyFont="1" applyFill="1" applyBorder="1" applyAlignment="1">
      <alignment horizontal="center" vertical="center" wrapText="1"/>
    </xf>
    <xf numFmtId="0" fontId="1" fillId="40" borderId="78" xfId="0" applyFont="1" applyFill="1" applyBorder="1" applyAlignment="1">
      <alignment horizontal="center" vertical="center" wrapText="1"/>
    </xf>
    <xf numFmtId="0" fontId="1" fillId="40" borderId="75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textRotation="90"/>
    </xf>
    <xf numFmtId="0" fontId="1" fillId="37" borderId="33" xfId="0" applyFont="1" applyFill="1" applyBorder="1" applyAlignment="1">
      <alignment horizontal="center" textRotation="90"/>
    </xf>
    <xf numFmtId="0" fontId="1" fillId="0" borderId="78" xfId="0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68" xfId="0" applyNumberFormat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wrapText="1"/>
    </xf>
    <xf numFmtId="4" fontId="1" fillId="34" borderId="41" xfId="0" applyNumberFormat="1" applyFont="1" applyFill="1" applyBorder="1" applyAlignment="1">
      <alignment horizontal="center" vertical="center" wrapText="1"/>
    </xf>
    <xf numFmtId="4" fontId="1" fillId="34" borderId="6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4" fontId="1" fillId="0" borderId="69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textRotation="90" wrapText="1"/>
    </xf>
    <xf numFmtId="2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2" fontId="1" fillId="0" borderId="7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AppData\Roaming\Microsoft\Excel\&#1083;&#1080;&#1094;.&#1089;&#1095;&#1077;&#1090;&#1072;%20&#1085;&#1077;&#1078;&#1080;&#1083;.%20&#1087;&#1086;&#1084;%20(version%201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1%20&#1089;%20&#1085;&#1077;&#1078;&#1080;&#1083;.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56;&#1072;&#1073;&#1086;&#1090;&#1072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%20&#1075;&#1086;&#1076;\&#1083;&#1089;&#1095;&#1077;&#1090;&#1072;%20&#1085;&#1077;&#1078;&#1080;&#1083;%20&#1087;&#1086;&#10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1">
        <row r="39">
          <cell r="I39">
            <v>0</v>
          </cell>
          <cell r="O39">
            <v>0</v>
          </cell>
        </row>
      </sheetData>
      <sheetData sheetId="2">
        <row r="39">
          <cell r="I39">
            <v>0</v>
          </cell>
          <cell r="O39">
            <v>0</v>
          </cell>
        </row>
      </sheetData>
      <sheetData sheetId="3">
        <row r="40">
          <cell r="I40">
            <v>1717.5299720000003</v>
          </cell>
          <cell r="O40">
            <v>260.9439498400001</v>
          </cell>
        </row>
      </sheetData>
      <sheetData sheetId="4">
        <row r="40">
          <cell r="I40">
            <v>608.6133199999999</v>
          </cell>
          <cell r="O40">
            <v>291.29335844400003</v>
          </cell>
        </row>
      </sheetData>
      <sheetData sheetId="5">
        <row r="40">
          <cell r="I40">
            <v>608.6133199999999</v>
          </cell>
          <cell r="O40">
            <v>275.76443596</v>
          </cell>
        </row>
      </sheetData>
      <sheetData sheetId="6">
        <row r="41">
          <cell r="O41">
            <v>287.60592004</v>
          </cell>
        </row>
        <row r="52">
          <cell r="O52">
            <v>218.55973346000002</v>
          </cell>
        </row>
      </sheetData>
      <sheetData sheetId="7">
        <row r="41">
          <cell r="O41">
            <v>287.47524141200006</v>
          </cell>
        </row>
        <row r="52">
          <cell r="O52">
            <v>218.46042713800003</v>
          </cell>
        </row>
      </sheetData>
      <sheetData sheetId="8">
        <row r="41">
          <cell r="O41">
            <v>287.4317624948</v>
          </cell>
        </row>
        <row r="52">
          <cell r="O52">
            <v>218.4273863002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41">
          <cell r="I41">
            <v>608.292</v>
          </cell>
          <cell r="R41">
            <v>438.214</v>
          </cell>
        </row>
        <row r="53">
          <cell r="I53">
            <v>462.25800000000004</v>
          </cell>
          <cell r="R53">
            <v>333.011</v>
          </cell>
        </row>
        <row r="183">
          <cell r="I183">
            <v>114</v>
          </cell>
          <cell r="R183">
            <v>28.5</v>
          </cell>
        </row>
      </sheetData>
      <sheetData sheetId="1">
        <row r="41">
          <cell r="J41">
            <v>608.292</v>
          </cell>
          <cell r="S41">
            <v>438.214</v>
          </cell>
        </row>
        <row r="53">
          <cell r="J53">
            <v>462.25800000000004</v>
          </cell>
          <cell r="S53">
            <v>333.011</v>
          </cell>
        </row>
        <row r="184">
          <cell r="S184">
            <v>28.5</v>
          </cell>
        </row>
        <row r="185">
          <cell r="J185">
            <v>114</v>
          </cell>
        </row>
      </sheetData>
      <sheetData sheetId="2">
        <row r="41">
          <cell r="J41">
            <v>608.292</v>
          </cell>
          <cell r="S41">
            <v>438.214</v>
          </cell>
        </row>
        <row r="53">
          <cell r="J53">
            <v>462.25800000000004</v>
          </cell>
          <cell r="S53">
            <v>333.011</v>
          </cell>
        </row>
        <row r="185">
          <cell r="J185">
            <v>114</v>
          </cell>
          <cell r="S185">
            <v>28.5</v>
          </cell>
        </row>
      </sheetData>
      <sheetData sheetId="3">
        <row r="41">
          <cell r="S41">
            <v>438.214</v>
          </cell>
        </row>
        <row r="53">
          <cell r="S53">
            <v>333.011</v>
          </cell>
        </row>
        <row r="187">
          <cell r="S187">
            <v>28.5</v>
          </cell>
        </row>
      </sheetData>
      <sheetData sheetId="4">
        <row r="41">
          <cell r="J41">
            <v>608.292</v>
          </cell>
          <cell r="S41">
            <v>438.214</v>
          </cell>
        </row>
        <row r="53">
          <cell r="J53">
            <v>462.25800000000004</v>
          </cell>
          <cell r="S53">
            <v>333.011</v>
          </cell>
        </row>
        <row r="185">
          <cell r="J185">
            <v>114</v>
          </cell>
          <cell r="S185">
            <v>28.5</v>
          </cell>
        </row>
      </sheetData>
      <sheetData sheetId="5">
        <row r="41">
          <cell r="J41">
            <v>608.292</v>
          </cell>
          <cell r="S41">
            <v>438.214</v>
          </cell>
        </row>
        <row r="53">
          <cell r="J53">
            <v>462.25800000000004</v>
          </cell>
          <cell r="S53">
            <v>333.011</v>
          </cell>
        </row>
        <row r="185">
          <cell r="J185">
            <v>114</v>
          </cell>
          <cell r="S185">
            <v>28.5</v>
          </cell>
        </row>
      </sheetData>
      <sheetData sheetId="6">
        <row r="41">
          <cell r="J41">
            <v>608.292</v>
          </cell>
          <cell r="S41">
            <v>438.214</v>
          </cell>
        </row>
        <row r="53">
          <cell r="J53">
            <v>462.25800000000004</v>
          </cell>
          <cell r="S53">
            <v>333.011</v>
          </cell>
        </row>
        <row r="189">
          <cell r="J189">
            <v>114</v>
          </cell>
          <cell r="S189">
            <v>28.5</v>
          </cell>
        </row>
      </sheetData>
      <sheetData sheetId="7">
        <row r="41">
          <cell r="J41">
            <v>608.292</v>
          </cell>
          <cell r="S41">
            <v>438.214</v>
          </cell>
        </row>
        <row r="53">
          <cell r="J53">
            <v>462.25800000000004</v>
          </cell>
          <cell r="S53">
            <v>333.011</v>
          </cell>
        </row>
        <row r="193">
          <cell r="J193">
            <v>114</v>
          </cell>
          <cell r="S193">
            <v>28.5</v>
          </cell>
        </row>
      </sheetData>
      <sheetData sheetId="8">
        <row r="41">
          <cell r="J41">
            <v>608.292</v>
          </cell>
        </row>
        <row r="53">
          <cell r="J53">
            <v>462.25800000000004</v>
          </cell>
        </row>
        <row r="193">
          <cell r="J193">
            <v>114</v>
          </cell>
        </row>
      </sheetData>
      <sheetData sheetId="9">
        <row r="41">
          <cell r="S41">
            <v>438.214</v>
          </cell>
        </row>
        <row r="53">
          <cell r="S53">
            <v>333.011</v>
          </cell>
        </row>
        <row r="193">
          <cell r="S193">
            <v>28.5</v>
          </cell>
        </row>
      </sheetData>
      <sheetData sheetId="10">
        <row r="41">
          <cell r="J41">
            <v>608.292</v>
          </cell>
          <cell r="S41">
            <v>438.214</v>
          </cell>
        </row>
        <row r="53">
          <cell r="J53">
            <v>462.25800000000004</v>
          </cell>
          <cell r="S53">
            <v>333.011</v>
          </cell>
        </row>
        <row r="193">
          <cell r="J193">
            <v>114</v>
          </cell>
          <cell r="S193">
            <v>28.5</v>
          </cell>
        </row>
      </sheetData>
      <sheetData sheetId="11">
        <row r="41">
          <cell r="J41">
            <v>608.292</v>
          </cell>
          <cell r="S41">
            <v>438.214</v>
          </cell>
        </row>
        <row r="53">
          <cell r="J53">
            <v>462.25800000000004</v>
          </cell>
          <cell r="S53">
            <v>333.011</v>
          </cell>
        </row>
        <row r="213">
          <cell r="J213">
            <v>114</v>
          </cell>
          <cell r="S213">
            <v>28.5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41">
          <cell r="J41">
            <v>608.292</v>
          </cell>
        </row>
        <row r="53">
          <cell r="J53">
            <v>462.25800000000004</v>
          </cell>
        </row>
        <row r="187">
          <cell r="J187">
            <v>114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5">
        <row r="41">
          <cell r="I41">
            <v>608.6133199999999</v>
          </cell>
        </row>
        <row r="53">
          <cell r="I53">
            <v>462.50218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5">
        <row r="41">
          <cell r="M41">
            <v>289.742</v>
          </cell>
        </row>
        <row r="53">
          <cell r="M53">
            <v>220.183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</sheetNames>
    <sheetDataSet>
      <sheetData sheetId="9">
        <row r="41">
          <cell r="J41">
            <v>608.292</v>
          </cell>
        </row>
        <row r="53">
          <cell r="J53">
            <v>462.25800000000004</v>
          </cell>
        </row>
        <row r="193">
          <cell r="J193">
            <v>114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4">
        <row r="23">
          <cell r="J23">
            <v>778.37</v>
          </cell>
          <cell r="S23">
            <v>438.214</v>
          </cell>
        </row>
        <row r="30">
          <cell r="J30">
            <v>591.505</v>
          </cell>
          <cell r="S30">
            <v>333.011</v>
          </cell>
        </row>
        <row r="222">
          <cell r="J222">
            <v>114</v>
          </cell>
          <cell r="S222">
            <v>28.5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8">
          <cell r="AJ8">
            <v>22664.835612</v>
          </cell>
        </row>
        <row r="10">
          <cell r="AJ10">
            <v>1184.5500000000002</v>
          </cell>
        </row>
        <row r="11">
          <cell r="AJ11">
            <v>1184.5500000000002</v>
          </cell>
        </row>
        <row r="12">
          <cell r="AJ12">
            <v>1184.5500000000002</v>
          </cell>
        </row>
        <row r="13">
          <cell r="AJ13">
            <v>1184.5500000000002</v>
          </cell>
        </row>
        <row r="14">
          <cell r="AJ14">
            <v>1184.5500000000002</v>
          </cell>
        </row>
        <row r="15">
          <cell r="AJ15">
            <v>1184.5500000000002</v>
          </cell>
        </row>
        <row r="16">
          <cell r="AJ16">
            <v>1184.5500000000002</v>
          </cell>
        </row>
        <row r="17">
          <cell r="AJ17">
            <v>1184.5500000000002</v>
          </cell>
        </row>
        <row r="18">
          <cell r="AJ18">
            <v>1184.5500000000002</v>
          </cell>
        </row>
        <row r="19">
          <cell r="AJ19">
            <v>1184.5500000000002</v>
          </cell>
        </row>
        <row r="20">
          <cell r="AJ20">
            <v>1184.5500000000002</v>
          </cell>
        </row>
        <row r="21">
          <cell r="AJ21">
            <v>1184.5500000000002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23">
          <cell r="J23">
            <v>778.37</v>
          </cell>
          <cell r="S23">
            <v>438.214</v>
          </cell>
        </row>
        <row r="32">
          <cell r="J32">
            <v>591.505</v>
          </cell>
          <cell r="S32">
            <v>333.011</v>
          </cell>
        </row>
        <row r="215">
          <cell r="J215">
            <v>114</v>
          </cell>
          <cell r="S215">
            <v>28.5</v>
          </cell>
        </row>
      </sheetData>
      <sheetData sheetId="5">
        <row r="23">
          <cell r="J23">
            <v>778.37</v>
          </cell>
          <cell r="S23">
            <v>438.214</v>
          </cell>
        </row>
        <row r="30">
          <cell r="J30">
            <v>591.505</v>
          </cell>
          <cell r="S30">
            <v>333.011</v>
          </cell>
        </row>
        <row r="150">
          <cell r="J150">
            <v>452.61</v>
          </cell>
          <cell r="S150">
            <v>223.062</v>
          </cell>
        </row>
        <row r="157">
          <cell r="J157">
            <v>200</v>
          </cell>
          <cell r="S157">
            <v>50</v>
          </cell>
        </row>
        <row r="253">
          <cell r="J253">
            <v>114</v>
          </cell>
          <cell r="S253">
            <v>28.5</v>
          </cell>
        </row>
      </sheetData>
      <sheetData sheetId="6">
        <row r="23">
          <cell r="J23">
            <v>778.37</v>
          </cell>
          <cell r="S23">
            <v>438.214</v>
          </cell>
        </row>
        <row r="30">
          <cell r="J30">
            <v>591.505</v>
          </cell>
          <cell r="S30">
            <v>333.011</v>
          </cell>
        </row>
        <row r="152">
          <cell r="J152">
            <v>452.61</v>
          </cell>
          <cell r="S152">
            <v>446.124</v>
          </cell>
        </row>
        <row r="159">
          <cell r="J159">
            <v>200</v>
          </cell>
          <cell r="S159">
            <v>50</v>
          </cell>
        </row>
        <row r="255">
          <cell r="J255">
            <v>114</v>
          </cell>
          <cell r="S255">
            <v>28.5</v>
          </cell>
        </row>
      </sheetData>
      <sheetData sheetId="7">
        <row r="23">
          <cell r="J23">
            <v>778.37</v>
          </cell>
          <cell r="S23">
            <v>438.214</v>
          </cell>
        </row>
        <row r="30">
          <cell r="J30">
            <v>591.505</v>
          </cell>
          <cell r="S30">
            <v>333.011</v>
          </cell>
        </row>
        <row r="152">
          <cell r="J152">
            <v>452.61</v>
          </cell>
          <cell r="S152">
            <v>257.18399999999997</v>
          </cell>
        </row>
        <row r="159">
          <cell r="J159">
            <v>200</v>
          </cell>
          <cell r="S159">
            <v>50</v>
          </cell>
        </row>
        <row r="255">
          <cell r="J255">
            <v>114</v>
          </cell>
          <cell r="S255">
            <v>28.5</v>
          </cell>
        </row>
        <row r="287">
          <cell r="J287">
            <v>1800</v>
          </cell>
          <cell r="S287">
            <v>450</v>
          </cell>
        </row>
      </sheetData>
      <sheetData sheetId="8">
        <row r="23">
          <cell r="J23">
            <v>778.37</v>
          </cell>
          <cell r="S23">
            <v>438.214</v>
          </cell>
        </row>
        <row r="30">
          <cell r="J30">
            <v>591.505</v>
          </cell>
          <cell r="S30">
            <v>333.011</v>
          </cell>
        </row>
        <row r="151">
          <cell r="J151">
            <v>452.61</v>
          </cell>
          <cell r="S151">
            <v>251.262</v>
          </cell>
        </row>
        <row r="162">
          <cell r="J162">
            <v>200</v>
          </cell>
          <cell r="S162">
            <v>50</v>
          </cell>
        </row>
        <row r="255">
          <cell r="J255">
            <v>114</v>
          </cell>
          <cell r="S255">
            <v>28.5</v>
          </cell>
        </row>
        <row r="287">
          <cell r="J287">
            <v>600</v>
          </cell>
          <cell r="S287">
            <v>150</v>
          </cell>
        </row>
      </sheetData>
      <sheetData sheetId="9">
        <row r="23">
          <cell r="J23">
            <v>778.37</v>
          </cell>
          <cell r="S23">
            <v>438.214</v>
          </cell>
        </row>
        <row r="30">
          <cell r="J30">
            <v>591.505</v>
          </cell>
          <cell r="S30">
            <v>333.011</v>
          </cell>
        </row>
        <row r="150">
          <cell r="J150">
            <v>452.61</v>
          </cell>
          <cell r="S150">
            <v>251.262</v>
          </cell>
        </row>
        <row r="161">
          <cell r="J161">
            <v>200</v>
          </cell>
          <cell r="S161">
            <v>50</v>
          </cell>
        </row>
        <row r="254">
          <cell r="J254">
            <v>114</v>
          </cell>
          <cell r="S254">
            <v>28.5</v>
          </cell>
        </row>
        <row r="286">
          <cell r="J286">
            <v>600</v>
          </cell>
          <cell r="S286">
            <v>150</v>
          </cell>
        </row>
      </sheetData>
      <sheetData sheetId="10">
        <row r="23">
          <cell r="J23">
            <v>778.37</v>
          </cell>
          <cell r="S23">
            <v>438.214</v>
          </cell>
        </row>
        <row r="30">
          <cell r="J30">
            <v>591.505</v>
          </cell>
          <cell r="S30">
            <v>333.011</v>
          </cell>
        </row>
        <row r="150">
          <cell r="J150">
            <v>452.61</v>
          </cell>
          <cell r="S150">
            <v>223.062</v>
          </cell>
        </row>
        <row r="163">
          <cell r="J163">
            <v>200</v>
          </cell>
          <cell r="S163">
            <v>50</v>
          </cell>
        </row>
        <row r="256">
          <cell r="J256">
            <v>114</v>
          </cell>
          <cell r="S256">
            <v>28.5</v>
          </cell>
        </row>
        <row r="288">
          <cell r="J288">
            <v>600</v>
          </cell>
          <cell r="S288">
            <v>150</v>
          </cell>
        </row>
      </sheetData>
      <sheetData sheetId="11">
        <row r="23">
          <cell r="J23">
            <v>778.37</v>
          </cell>
          <cell r="S23">
            <v>438.214</v>
          </cell>
        </row>
        <row r="30">
          <cell r="J30">
            <v>591.505</v>
          </cell>
          <cell r="S30">
            <v>333.011</v>
          </cell>
        </row>
        <row r="150">
          <cell r="J150">
            <v>452.61</v>
          </cell>
          <cell r="S150">
            <v>223.062</v>
          </cell>
        </row>
        <row r="166">
          <cell r="J166">
            <v>200</v>
          </cell>
          <cell r="S166">
            <v>50</v>
          </cell>
        </row>
        <row r="259">
          <cell r="J259">
            <v>114</v>
          </cell>
          <cell r="S259">
            <v>28.5</v>
          </cell>
        </row>
        <row r="291">
          <cell r="J291">
            <v>600</v>
          </cell>
          <cell r="S29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2">
          <cell r="O42">
            <v>289.676684</v>
          </cell>
        </row>
        <row r="54">
          <cell r="O54">
            <v>220.12486600000003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1">
          <cell r="I41">
            <v>608.6133199999999</v>
          </cell>
        </row>
        <row r="52">
          <cell r="I52">
            <v>462.50218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42">
          <cell r="I42">
            <v>608.6133199999999</v>
          </cell>
        </row>
        <row r="54">
          <cell r="I54">
            <v>462.50218</v>
          </cell>
        </row>
      </sheetData>
      <sheetData sheetId="1">
        <row r="42">
          <cell r="I42">
            <v>608.6133199999999</v>
          </cell>
          <cell r="O42">
            <v>290.08548</v>
          </cell>
        </row>
        <row r="54">
          <cell r="I54">
            <v>462.50218</v>
          </cell>
          <cell r="O54">
            <v>220.44402000000002</v>
          </cell>
        </row>
      </sheetData>
      <sheetData sheetId="2">
        <row r="42">
          <cell r="I42">
            <v>608.6133199999999</v>
          </cell>
          <cell r="O42">
            <v>290.08548</v>
          </cell>
        </row>
        <row r="55">
          <cell r="I55">
            <v>462.50218</v>
          </cell>
          <cell r="O55">
            <v>220.44402000000002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0">
          <cell r="I40">
            <v>608.6133199999999</v>
          </cell>
        </row>
        <row r="52">
          <cell r="I52">
            <v>462.50218</v>
          </cell>
        </row>
      </sheetData>
      <sheetData sheetId="2">
        <row r="41">
          <cell r="M41">
            <v>289.742</v>
          </cell>
        </row>
        <row r="53">
          <cell r="M53">
            <v>220.183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1">
          <cell r="I41">
            <v>608.6133199999999</v>
          </cell>
          <cell r="M41">
            <v>289.742</v>
          </cell>
        </row>
        <row r="53">
          <cell r="I53">
            <v>462.50218</v>
          </cell>
          <cell r="M53">
            <v>220.183</v>
          </cell>
        </row>
      </sheetData>
      <sheetData sheetId="5">
        <row r="41">
          <cell r="M41">
            <v>289.742</v>
          </cell>
        </row>
        <row r="53">
          <cell r="M53">
            <v>220.183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1">
          <cell r="I41">
            <v>608.6133199999999</v>
          </cell>
        </row>
        <row r="53">
          <cell r="I53">
            <v>462.50218</v>
          </cell>
        </row>
      </sheetData>
      <sheetData sheetId="9">
        <row r="41">
          <cell r="I41">
            <v>608.6133199999999</v>
          </cell>
          <cell r="M41">
            <v>289.742</v>
          </cell>
        </row>
        <row r="53">
          <cell r="I53">
            <v>462.50218</v>
          </cell>
          <cell r="M53">
            <v>220.183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9">
        <row r="41">
          <cell r="I41">
            <v>608.6133199999999</v>
          </cell>
          <cell r="M41">
            <v>289.742</v>
          </cell>
        </row>
        <row r="53">
          <cell r="I53">
            <v>462.50218</v>
          </cell>
          <cell r="M53">
            <v>220.183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M42">
            <v>69077.97</v>
          </cell>
          <cell r="N42">
            <v>9964.18</v>
          </cell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1" ySplit="7" topLeftCell="AP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G42" sqref="AG42:BA42"/>
    </sheetView>
  </sheetViews>
  <sheetFormatPr defaultColWidth="9.00390625" defaultRowHeight="12.75"/>
  <cols>
    <col min="1" max="1" width="11.00390625" style="2" customWidth="1"/>
    <col min="2" max="2" width="9.375" style="2" bestFit="1" customWidth="1"/>
    <col min="3" max="3" width="13.25390625" style="2" customWidth="1"/>
    <col min="4" max="4" width="10.375" style="2" customWidth="1"/>
    <col min="5" max="5" width="11.375" style="2" customWidth="1"/>
    <col min="6" max="6" width="9.00390625" style="2" customWidth="1"/>
    <col min="7" max="7" width="9.87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6" width="6.25390625" style="2" customWidth="1"/>
    <col min="17" max="17" width="10.375" style="2" customWidth="1"/>
    <col min="18" max="18" width="7.87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10.00390625" style="2" customWidth="1"/>
    <col min="28" max="28" width="10.125" style="2" bestFit="1" customWidth="1"/>
    <col min="29" max="31" width="11.375" style="2" customWidth="1"/>
    <col min="32" max="32" width="10.25390625" style="2" customWidth="1"/>
    <col min="33" max="35" width="9.25390625" style="2" bestFit="1" customWidth="1"/>
    <col min="36" max="36" width="10.25390625" style="2" customWidth="1"/>
    <col min="37" max="37" width="9.25390625" style="2" bestFit="1" customWidth="1"/>
    <col min="38" max="38" width="10.125" style="2" bestFit="1" customWidth="1"/>
    <col min="39" max="39" width="11.125" style="2" customWidth="1"/>
    <col min="40" max="41" width="9.25390625" style="2" bestFit="1" customWidth="1"/>
    <col min="42" max="43" width="9.25390625" style="2" customWidth="1"/>
    <col min="44" max="44" width="10.125" style="2" bestFit="1" customWidth="1"/>
    <col min="45" max="45" width="10.125" style="2" customWidth="1"/>
    <col min="46" max="46" width="11.875" style="2" customWidth="1"/>
    <col min="47" max="47" width="10.625" style="2" customWidth="1"/>
    <col min="48" max="48" width="10.375" style="2" customWidth="1"/>
    <col min="49" max="50" width="10.125" style="2" bestFit="1" customWidth="1"/>
    <col min="51" max="51" width="10.375" style="2" customWidth="1"/>
    <col min="52" max="52" width="10.75390625" style="2" customWidth="1"/>
    <col min="53" max="55" width="14.00390625" style="2" customWidth="1"/>
    <col min="56" max="56" width="10.125" style="2" customWidth="1"/>
    <col min="57" max="57" width="10.625" style="2" customWidth="1"/>
    <col min="58" max="16384" width="9.125" style="2" customWidth="1"/>
  </cols>
  <sheetData>
    <row r="1" spans="1:18" ht="12.75">
      <c r="A1" s="334" t="s">
        <v>71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335" t="s">
        <v>0</v>
      </c>
      <c r="B3" s="338" t="s">
        <v>1</v>
      </c>
      <c r="C3" s="338" t="s">
        <v>2</v>
      </c>
      <c r="D3" s="338" t="s">
        <v>3</v>
      </c>
      <c r="E3" s="341" t="s">
        <v>4</v>
      </c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31" t="s">
        <v>5</v>
      </c>
      <c r="T3" s="331"/>
      <c r="U3" s="332" t="s">
        <v>6</v>
      </c>
      <c r="V3" s="332"/>
      <c r="W3" s="332"/>
      <c r="X3" s="332"/>
      <c r="Y3" s="332"/>
      <c r="Z3" s="332"/>
      <c r="AA3" s="332"/>
      <c r="AB3" s="332"/>
      <c r="AC3" s="327" t="s">
        <v>7</v>
      </c>
      <c r="AD3" s="327" t="s">
        <v>74</v>
      </c>
      <c r="AE3" s="327" t="s">
        <v>75</v>
      </c>
      <c r="AF3" s="346"/>
      <c r="AG3" s="330" t="s">
        <v>8</v>
      </c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77"/>
      <c r="BD3" s="311" t="s">
        <v>9</v>
      </c>
      <c r="BE3" s="314" t="s">
        <v>10</v>
      </c>
    </row>
    <row r="4" spans="1:57" ht="36" customHeight="1" thickBot="1">
      <c r="A4" s="336"/>
      <c r="B4" s="339"/>
      <c r="C4" s="339"/>
      <c r="D4" s="339"/>
      <c r="E4" s="322" t="s">
        <v>11</v>
      </c>
      <c r="F4" s="322"/>
      <c r="G4" s="322" t="s">
        <v>12</v>
      </c>
      <c r="H4" s="322"/>
      <c r="I4" s="322" t="s">
        <v>13</v>
      </c>
      <c r="J4" s="322"/>
      <c r="K4" s="322" t="s">
        <v>14</v>
      </c>
      <c r="L4" s="322"/>
      <c r="M4" s="322" t="s">
        <v>15</v>
      </c>
      <c r="N4" s="322"/>
      <c r="O4" s="322" t="s">
        <v>16</v>
      </c>
      <c r="P4" s="322"/>
      <c r="Q4" s="322" t="s">
        <v>17</v>
      </c>
      <c r="R4" s="322"/>
      <c r="S4" s="322"/>
      <c r="T4" s="322"/>
      <c r="U4" s="333"/>
      <c r="V4" s="333"/>
      <c r="W4" s="333"/>
      <c r="X4" s="333"/>
      <c r="Y4" s="333"/>
      <c r="Z4" s="333"/>
      <c r="AA4" s="333"/>
      <c r="AB4" s="333"/>
      <c r="AC4" s="328"/>
      <c r="AD4" s="328"/>
      <c r="AE4" s="328"/>
      <c r="AF4" s="347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78"/>
      <c r="BD4" s="312"/>
      <c r="BE4" s="315"/>
    </row>
    <row r="5" spans="1:57" ht="29.25" customHeight="1" thickBot="1">
      <c r="A5" s="336"/>
      <c r="B5" s="339"/>
      <c r="C5" s="339"/>
      <c r="D5" s="339"/>
      <c r="E5" s="342" t="s">
        <v>18</v>
      </c>
      <c r="F5" s="342" t="s">
        <v>19</v>
      </c>
      <c r="G5" s="342" t="s">
        <v>18</v>
      </c>
      <c r="H5" s="342" t="s">
        <v>19</v>
      </c>
      <c r="I5" s="342" t="s">
        <v>18</v>
      </c>
      <c r="J5" s="342" t="s">
        <v>19</v>
      </c>
      <c r="K5" s="342" t="s">
        <v>18</v>
      </c>
      <c r="L5" s="342" t="s">
        <v>19</v>
      </c>
      <c r="M5" s="342" t="s">
        <v>18</v>
      </c>
      <c r="N5" s="342" t="s">
        <v>19</v>
      </c>
      <c r="O5" s="342" t="s">
        <v>18</v>
      </c>
      <c r="P5" s="342" t="s">
        <v>19</v>
      </c>
      <c r="Q5" s="342" t="s">
        <v>18</v>
      </c>
      <c r="R5" s="342" t="s">
        <v>19</v>
      </c>
      <c r="S5" s="342" t="s">
        <v>18</v>
      </c>
      <c r="T5" s="342" t="s">
        <v>19</v>
      </c>
      <c r="U5" s="328" t="s">
        <v>20</v>
      </c>
      <c r="V5" s="328" t="s">
        <v>21</v>
      </c>
      <c r="W5" s="328" t="s">
        <v>22</v>
      </c>
      <c r="X5" s="328" t="s">
        <v>23</v>
      </c>
      <c r="Y5" s="328" t="s">
        <v>24</v>
      </c>
      <c r="Z5" s="328" t="s">
        <v>25</v>
      </c>
      <c r="AA5" s="328" t="s">
        <v>26</v>
      </c>
      <c r="AB5" s="328" t="s">
        <v>27</v>
      </c>
      <c r="AC5" s="328"/>
      <c r="AD5" s="328"/>
      <c r="AE5" s="328"/>
      <c r="AF5" s="347"/>
      <c r="AG5" s="309" t="s">
        <v>28</v>
      </c>
      <c r="AH5" s="309" t="s">
        <v>29</v>
      </c>
      <c r="AI5" s="309" t="s">
        <v>30</v>
      </c>
      <c r="AJ5" s="309" t="s">
        <v>31</v>
      </c>
      <c r="AK5" s="309" t="s">
        <v>32</v>
      </c>
      <c r="AL5" s="309" t="s">
        <v>31</v>
      </c>
      <c r="AM5" s="309" t="s">
        <v>33</v>
      </c>
      <c r="AN5" s="309" t="s">
        <v>31</v>
      </c>
      <c r="AO5" s="309" t="s">
        <v>34</v>
      </c>
      <c r="AP5" s="309" t="s">
        <v>31</v>
      </c>
      <c r="AQ5" s="323" t="s">
        <v>73</v>
      </c>
      <c r="AR5" s="344" t="s">
        <v>31</v>
      </c>
      <c r="AS5" s="325" t="s">
        <v>76</v>
      </c>
      <c r="AT5" s="320" t="s">
        <v>77</v>
      </c>
      <c r="AU5" s="320" t="s">
        <v>31</v>
      </c>
      <c r="AV5" s="317" t="s">
        <v>78</v>
      </c>
      <c r="AW5" s="318"/>
      <c r="AX5" s="319"/>
      <c r="AY5" s="309" t="s">
        <v>17</v>
      </c>
      <c r="AZ5" s="309" t="s">
        <v>36</v>
      </c>
      <c r="BA5" s="309" t="s">
        <v>31</v>
      </c>
      <c r="BB5" s="309" t="s">
        <v>37</v>
      </c>
      <c r="BC5" s="78"/>
      <c r="BD5" s="312"/>
      <c r="BE5" s="315"/>
    </row>
    <row r="6" spans="1:57" ht="54" customHeight="1" thickBot="1">
      <c r="A6" s="337"/>
      <c r="B6" s="340"/>
      <c r="C6" s="340"/>
      <c r="D6" s="340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48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24"/>
      <c r="AR6" s="345"/>
      <c r="AS6" s="326"/>
      <c r="AT6" s="321"/>
      <c r="AU6" s="321"/>
      <c r="AV6" s="82" t="s">
        <v>79</v>
      </c>
      <c r="AW6" s="82" t="s">
        <v>80</v>
      </c>
      <c r="AX6" s="82" t="s">
        <v>81</v>
      </c>
      <c r="AY6" s="310"/>
      <c r="AZ6" s="310"/>
      <c r="BA6" s="310"/>
      <c r="BB6" s="310"/>
      <c r="BC6" s="81" t="s">
        <v>85</v>
      </c>
      <c r="BD6" s="313"/>
      <c r="BE6" s="316"/>
    </row>
    <row r="7" spans="1:57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8">
        <v>43</v>
      </c>
      <c r="AR7" s="9">
        <v>44</v>
      </c>
      <c r="AS7" s="8">
        <v>45</v>
      </c>
      <c r="AT7" s="9">
        <v>46</v>
      </c>
      <c r="AU7" s="8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39"/>
      <c r="BD7" s="129">
        <v>55</v>
      </c>
      <c r="BE7" s="7">
        <v>56</v>
      </c>
    </row>
    <row r="8" spans="1:57" ht="12.75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6"/>
      <c r="AT8" s="6"/>
      <c r="AU8" s="6"/>
      <c r="AV8" s="7"/>
      <c r="AW8" s="7"/>
      <c r="AX8" s="7"/>
      <c r="AY8" s="7"/>
      <c r="AZ8" s="7"/>
      <c r="BA8" s="7"/>
      <c r="BB8" s="7"/>
      <c r="BC8" s="7"/>
      <c r="BD8" s="130"/>
      <c r="BE8" s="30"/>
    </row>
    <row r="9" spans="1:57" ht="12.75">
      <c r="A9" s="12" t="s">
        <v>39</v>
      </c>
      <c r="B9" s="83">
        <v>4422.4</v>
      </c>
      <c r="C9" s="84">
        <f>B9*8.65</f>
        <v>38253.76</v>
      </c>
      <c r="D9" s="85">
        <f>C9*0.24088</f>
        <v>9214.5657088</v>
      </c>
      <c r="E9" s="70">
        <v>3019.7</v>
      </c>
      <c r="F9" s="70">
        <v>668.85</v>
      </c>
      <c r="G9" s="70">
        <v>4046.72</v>
      </c>
      <c r="H9" s="70">
        <v>902.96</v>
      </c>
      <c r="I9" s="70">
        <v>9814.14</v>
      </c>
      <c r="J9" s="70">
        <v>2173.77</v>
      </c>
      <c r="K9" s="70">
        <v>6794.44</v>
      </c>
      <c r="L9" s="70">
        <v>1504.92</v>
      </c>
      <c r="M9" s="70">
        <v>2415.75</v>
      </c>
      <c r="N9" s="70">
        <v>535.08</v>
      </c>
      <c r="O9" s="70">
        <v>0</v>
      </c>
      <c r="P9" s="70">
        <v>0</v>
      </c>
      <c r="Q9" s="70">
        <v>0</v>
      </c>
      <c r="R9" s="70">
        <v>0</v>
      </c>
      <c r="S9" s="62">
        <f>E9+G9+I9+K9+M9+O9+Q9</f>
        <v>26090.749999999996</v>
      </c>
      <c r="T9" s="86">
        <f>P9+N9+L9+J9+H9+F9+R9</f>
        <v>5785.580000000001</v>
      </c>
      <c r="U9" s="62">
        <v>33.09</v>
      </c>
      <c r="V9" s="62">
        <v>44.66</v>
      </c>
      <c r="W9" s="62">
        <v>107.53</v>
      </c>
      <c r="X9" s="62">
        <v>74.44</v>
      </c>
      <c r="Y9" s="62">
        <v>26.47</v>
      </c>
      <c r="Z9" s="67">
        <v>0</v>
      </c>
      <c r="AA9" s="67">
        <v>0</v>
      </c>
      <c r="AB9" s="67">
        <f>SUM(U9:AA9)</f>
        <v>286.19000000000005</v>
      </c>
      <c r="AC9" s="87">
        <f>D9+T9+AB9</f>
        <v>15286.335708800003</v>
      </c>
      <c r="AD9" s="88">
        <f>P9+Z9</f>
        <v>0</v>
      </c>
      <c r="AE9" s="89">
        <f>R9+AA9</f>
        <v>0</v>
      </c>
      <c r="AF9" s="89"/>
      <c r="AG9" s="29">
        <f>0.6*B9</f>
        <v>2653.4399999999996</v>
      </c>
      <c r="AH9" s="29">
        <f>B9*0.2*1.05826</f>
        <v>936.0098048</v>
      </c>
      <c r="AI9" s="29">
        <f>0.8518*B9-0.01</f>
        <v>3766.9903199999994</v>
      </c>
      <c r="AJ9" s="29">
        <f>AI9*0.18</f>
        <v>678.0582575999998</v>
      </c>
      <c r="AK9" s="29">
        <f>1.04*B9*0.9531</f>
        <v>4383.589017599999</v>
      </c>
      <c r="AL9" s="29">
        <f>AK9*0.18</f>
        <v>789.0460231679998</v>
      </c>
      <c r="AM9" s="29">
        <f>(1.91)*B9*0.9531</f>
        <v>8050.629830399999</v>
      </c>
      <c r="AN9" s="29">
        <f>AM9*0.18</f>
        <v>1449.1133694719997</v>
      </c>
      <c r="AO9" s="29"/>
      <c r="AP9" s="29">
        <f>AO9*0.18</f>
        <v>0</v>
      </c>
      <c r="AQ9" s="80"/>
      <c r="AR9" s="80"/>
      <c r="AS9" s="65">
        <v>20152.55</v>
      </c>
      <c r="AT9" s="65"/>
      <c r="AU9" s="65">
        <f>(AS9+AT9)*0.18</f>
        <v>3627.459</v>
      </c>
      <c r="AV9" s="90"/>
      <c r="AW9" s="121"/>
      <c r="AX9" s="29">
        <f>AV9*AW9*1.12*1.18</f>
        <v>0</v>
      </c>
      <c r="AY9" s="92"/>
      <c r="AZ9" s="93"/>
      <c r="BA9" s="93">
        <f>AZ9*0.18</f>
        <v>0</v>
      </c>
      <c r="BB9" s="93">
        <f>SUM(AG9:BA9)-AV9-AW9</f>
        <v>46486.88562304</v>
      </c>
      <c r="BC9" s="122"/>
      <c r="BD9" s="61">
        <f>AC9-BB9</f>
        <v>-31200.549914239993</v>
      </c>
      <c r="BE9" s="29">
        <f>AB9-S9</f>
        <v>-25804.559999999998</v>
      </c>
    </row>
    <row r="10" spans="1:57" ht="12.75">
      <c r="A10" s="12" t="s">
        <v>40</v>
      </c>
      <c r="B10" s="83">
        <v>4422.4</v>
      </c>
      <c r="C10" s="84">
        <f>B10*8.65</f>
        <v>38253.76</v>
      </c>
      <c r="D10" s="85">
        <f>C10*0.24088</f>
        <v>9214.5657088</v>
      </c>
      <c r="E10" s="70">
        <v>2632.62</v>
      </c>
      <c r="F10" s="70">
        <v>652.55</v>
      </c>
      <c r="G10" s="70">
        <v>3553.99</v>
      </c>
      <c r="H10" s="70">
        <v>880.98</v>
      </c>
      <c r="I10" s="70">
        <v>8555.99</v>
      </c>
      <c r="J10" s="70">
        <v>2120.71</v>
      </c>
      <c r="K10" s="70">
        <v>5923.4</v>
      </c>
      <c r="L10" s="70">
        <v>1468.2</v>
      </c>
      <c r="M10" s="70">
        <v>2106.09</v>
      </c>
      <c r="N10" s="70">
        <v>522.03</v>
      </c>
      <c r="O10" s="70">
        <v>0</v>
      </c>
      <c r="P10" s="70">
        <v>0</v>
      </c>
      <c r="Q10" s="70">
        <v>0</v>
      </c>
      <c r="R10" s="70">
        <v>0</v>
      </c>
      <c r="S10" s="62">
        <f>E10+G10+I10+K10+M10+O10+Q10</f>
        <v>22772.09</v>
      </c>
      <c r="T10" s="86">
        <f>P10+N10+L10+J10+H10+F10+R10</f>
        <v>5644.47</v>
      </c>
      <c r="U10" s="62">
        <v>1687.02</v>
      </c>
      <c r="V10" s="62">
        <v>2277.58</v>
      </c>
      <c r="W10" s="62">
        <v>5488.04</v>
      </c>
      <c r="X10" s="62">
        <v>3795.86</v>
      </c>
      <c r="Y10" s="62">
        <v>1349.63</v>
      </c>
      <c r="Z10" s="67">
        <v>0</v>
      </c>
      <c r="AA10" s="67">
        <v>0</v>
      </c>
      <c r="AB10" s="94">
        <f>SUM(U10:AA10)</f>
        <v>14598.130000000001</v>
      </c>
      <c r="AC10" s="95">
        <f>D10+T10+AB10</f>
        <v>29457.165708800003</v>
      </c>
      <c r="AD10" s="89">
        <f>P10+Z10</f>
        <v>0</v>
      </c>
      <c r="AE10" s="89">
        <f>R10+AA10</f>
        <v>0</v>
      </c>
      <c r="AF10" s="89"/>
      <c r="AG10" s="29">
        <f>0.6*B10</f>
        <v>2653.4399999999996</v>
      </c>
      <c r="AH10" s="29">
        <f>B10*0.201</f>
        <v>888.9024</v>
      </c>
      <c r="AI10" s="29">
        <f>0.8518*B10-0.01</f>
        <v>3766.9903199999994</v>
      </c>
      <c r="AJ10" s="29">
        <f>AI10*0.18</f>
        <v>678.0582575999998</v>
      </c>
      <c r="AK10" s="29">
        <f>1.04*B10*0.9531</f>
        <v>4383.589017599999</v>
      </c>
      <c r="AL10" s="29">
        <f>AK10*0.18</f>
        <v>789.0460231679998</v>
      </c>
      <c r="AM10" s="29">
        <f>(1.91)*B10*0.9531</f>
        <v>8050.629830399999</v>
      </c>
      <c r="AN10" s="29">
        <f>AM10*0.18</f>
        <v>1449.1133694719997</v>
      </c>
      <c r="AO10" s="29"/>
      <c r="AP10" s="29">
        <f>AO10*0.18</f>
        <v>0</v>
      </c>
      <c r="AQ10" s="80"/>
      <c r="AR10" s="80"/>
      <c r="AS10" s="65">
        <v>2440</v>
      </c>
      <c r="AT10" s="65"/>
      <c r="AU10" s="65">
        <f>(AS10+AT10)*0.18</f>
        <v>439.2</v>
      </c>
      <c r="AV10" s="90"/>
      <c r="AW10" s="121"/>
      <c r="AX10" s="29">
        <f>AV10*AW10*1.12*1.18</f>
        <v>0</v>
      </c>
      <c r="AY10" s="92"/>
      <c r="AZ10" s="93"/>
      <c r="BA10" s="93">
        <f>AZ10*0.18</f>
        <v>0</v>
      </c>
      <c r="BB10" s="93">
        <f>SUM(AG10:BA10)-AV10-AW10</f>
        <v>25538.969218239996</v>
      </c>
      <c r="BC10" s="122"/>
      <c r="BD10" s="61">
        <f>AC10-BB10</f>
        <v>3918.196490560007</v>
      </c>
      <c r="BE10" s="29">
        <f>AB10-S10</f>
        <v>-8173.959999999999</v>
      </c>
    </row>
    <row r="11" spans="1:57" ht="12.75">
      <c r="A11" s="12" t="s">
        <v>41</v>
      </c>
      <c r="B11" s="83">
        <v>4422.4</v>
      </c>
      <c r="C11" s="84">
        <f>B11*8.65</f>
        <v>38253.76</v>
      </c>
      <c r="D11" s="85">
        <f>C11*0.24035</f>
        <v>9194.291216000001</v>
      </c>
      <c r="E11" s="70">
        <v>2484.27</v>
      </c>
      <c r="F11" s="70">
        <v>667.36</v>
      </c>
      <c r="G11" s="70">
        <v>3353.86</v>
      </c>
      <c r="H11" s="70">
        <v>900.96</v>
      </c>
      <c r="I11" s="70">
        <v>8074.08</v>
      </c>
      <c r="J11" s="70">
        <v>2168.88</v>
      </c>
      <c r="K11" s="70">
        <v>5589.86</v>
      </c>
      <c r="L11" s="70">
        <v>1501.54</v>
      </c>
      <c r="M11" s="70">
        <v>1987.43</v>
      </c>
      <c r="N11" s="70">
        <v>533.88</v>
      </c>
      <c r="O11" s="70">
        <v>0</v>
      </c>
      <c r="P11" s="71">
        <v>0</v>
      </c>
      <c r="Q11" s="70">
        <v>0</v>
      </c>
      <c r="R11" s="71">
        <v>0</v>
      </c>
      <c r="S11" s="62">
        <f>E11+G11+I11+K11+M11+O11+Q11</f>
        <v>21489.5</v>
      </c>
      <c r="T11" s="86">
        <f>P11+N11+L11+J11+H11+F11+R11</f>
        <v>5772.62</v>
      </c>
      <c r="U11" s="62">
        <v>2801.36</v>
      </c>
      <c r="V11" s="62">
        <v>3781.88</v>
      </c>
      <c r="W11" s="62">
        <v>9104.71</v>
      </c>
      <c r="X11" s="62">
        <v>6303.29</v>
      </c>
      <c r="Y11" s="62">
        <v>2241.2</v>
      </c>
      <c r="Z11" s="67">
        <v>0</v>
      </c>
      <c r="AA11" s="67">
        <v>0</v>
      </c>
      <c r="AB11" s="94">
        <f>SUM(U11:AA11)</f>
        <v>24232.44</v>
      </c>
      <c r="AC11" s="95">
        <f>D11+T11+AB11</f>
        <v>39199.351215999995</v>
      </c>
      <c r="AD11" s="89">
        <f>P11+Z11</f>
        <v>0</v>
      </c>
      <c r="AE11" s="89">
        <f>R11+AA11</f>
        <v>0</v>
      </c>
      <c r="AF11" s="89"/>
      <c r="AG11" s="29">
        <f>0.6*B11</f>
        <v>2653.4399999999996</v>
      </c>
      <c r="AH11" s="29">
        <f>B11*0.2*1.02524</f>
        <v>906.8042752</v>
      </c>
      <c r="AI11" s="29">
        <f>0.84932*B11</f>
        <v>3756.0327679999996</v>
      </c>
      <c r="AJ11" s="29">
        <f>AI11*0.18</f>
        <v>676.0858982399999</v>
      </c>
      <c r="AK11" s="29">
        <f>1.04*B11*0.95033</f>
        <v>4370.848967679999</v>
      </c>
      <c r="AL11" s="29">
        <f>AK11*0.18</f>
        <v>786.7528141823998</v>
      </c>
      <c r="AM11" s="29">
        <f>(1.91)*B11*0.95033-0.1</f>
        <v>8027.13223872</v>
      </c>
      <c r="AN11" s="29">
        <f>AM11*0.18</f>
        <v>1444.8838029695999</v>
      </c>
      <c r="AO11" s="29"/>
      <c r="AP11" s="29">
        <f>AO11*0.18</f>
        <v>0</v>
      </c>
      <c r="AQ11" s="80"/>
      <c r="AR11" s="80"/>
      <c r="AS11" s="65">
        <v>25326</v>
      </c>
      <c r="AT11" s="65"/>
      <c r="AU11" s="65">
        <f>(AS11+AT11)*0.18</f>
        <v>4558.679999999999</v>
      </c>
      <c r="AV11" s="90"/>
      <c r="AW11" s="121"/>
      <c r="AX11" s="29">
        <f>AV11*AW11*1.12*1.18</f>
        <v>0</v>
      </c>
      <c r="AY11" s="92"/>
      <c r="AZ11" s="93"/>
      <c r="BA11" s="93">
        <f>AZ11*0.18</f>
        <v>0</v>
      </c>
      <c r="BB11" s="93">
        <f>SUM(AG11:BA11)-AV11-AW11</f>
        <v>52506.660764992</v>
      </c>
      <c r="BC11" s="122"/>
      <c r="BD11" s="61">
        <f>AC11-BB11</f>
        <v>-13307.309548992002</v>
      </c>
      <c r="BE11" s="29">
        <f>AB11-S11</f>
        <v>2742.9399999999987</v>
      </c>
    </row>
    <row r="12" spans="1:57" s="26" customFormat="1" ht="15" customHeight="1">
      <c r="A12" s="21" t="s">
        <v>5</v>
      </c>
      <c r="B12" s="22"/>
      <c r="C12" s="22">
        <f>SUM(C9:C11)+C26</f>
        <v>573483.0630000002</v>
      </c>
      <c r="D12" s="22">
        <f aca="true" t="shared" si="0" ref="D12:BB12">SUM(D9:D11)</f>
        <v>27623.422633600003</v>
      </c>
      <c r="E12" s="22">
        <f t="shared" si="0"/>
        <v>8136.59</v>
      </c>
      <c r="F12" s="22">
        <f t="shared" si="0"/>
        <v>1988.7600000000002</v>
      </c>
      <c r="G12" s="22">
        <f t="shared" si="0"/>
        <v>10954.57</v>
      </c>
      <c r="H12" s="22">
        <f t="shared" si="0"/>
        <v>2684.9</v>
      </c>
      <c r="I12" s="22">
        <f t="shared" si="0"/>
        <v>26444.21</v>
      </c>
      <c r="J12" s="22">
        <f t="shared" si="0"/>
        <v>6463.36</v>
      </c>
      <c r="K12" s="22">
        <f t="shared" si="0"/>
        <v>18307.7</v>
      </c>
      <c r="L12" s="22">
        <f t="shared" si="0"/>
        <v>4474.66</v>
      </c>
      <c r="M12" s="22">
        <f t="shared" si="0"/>
        <v>6509.27</v>
      </c>
      <c r="N12" s="22">
        <f t="shared" si="0"/>
        <v>1590.9900000000002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 t="shared" si="0"/>
        <v>0</v>
      </c>
      <c r="S12" s="23">
        <f t="shared" si="0"/>
        <v>70352.34</v>
      </c>
      <c r="T12" s="23">
        <f t="shared" si="0"/>
        <v>17202.670000000002</v>
      </c>
      <c r="U12" s="24">
        <f t="shared" si="0"/>
        <v>4521.47</v>
      </c>
      <c r="V12" s="24">
        <f t="shared" si="0"/>
        <v>6104.12</v>
      </c>
      <c r="W12" s="24">
        <f t="shared" si="0"/>
        <v>14700.279999999999</v>
      </c>
      <c r="X12" s="24">
        <f t="shared" si="0"/>
        <v>10173.59</v>
      </c>
      <c r="Y12" s="24">
        <f t="shared" si="0"/>
        <v>3617.3</v>
      </c>
      <c r="Z12" s="24">
        <f t="shared" si="0"/>
        <v>0</v>
      </c>
      <c r="AA12" s="24">
        <f t="shared" si="0"/>
        <v>0</v>
      </c>
      <c r="AB12" s="24">
        <f t="shared" si="0"/>
        <v>39116.76</v>
      </c>
      <c r="AC12" s="24">
        <f t="shared" si="0"/>
        <v>83942.8526336</v>
      </c>
      <c r="AD12" s="96">
        <f t="shared" si="0"/>
        <v>0</v>
      </c>
      <c r="AE12" s="96">
        <f t="shared" si="0"/>
        <v>0</v>
      </c>
      <c r="AF12" s="96"/>
      <c r="AG12" s="25">
        <f t="shared" si="0"/>
        <v>7960.319999999999</v>
      </c>
      <c r="AH12" s="25">
        <f t="shared" si="0"/>
        <v>2731.71648</v>
      </c>
      <c r="AI12" s="25">
        <f t="shared" si="0"/>
        <v>11290.013407999999</v>
      </c>
      <c r="AJ12" s="25">
        <f t="shared" si="0"/>
        <v>2032.2024134399994</v>
      </c>
      <c r="AK12" s="25">
        <f t="shared" si="0"/>
        <v>13138.027002879997</v>
      </c>
      <c r="AL12" s="25">
        <f t="shared" si="0"/>
        <v>2364.8448605183994</v>
      </c>
      <c r="AM12" s="25">
        <f>SUM(AM9:AM11)</f>
        <v>24128.39189952</v>
      </c>
      <c r="AN12" s="25">
        <f>SUM(AN9:AN11)</f>
        <v>4343.110541913599</v>
      </c>
      <c r="AO12" s="25">
        <f t="shared" si="0"/>
        <v>0</v>
      </c>
      <c r="AP12" s="25">
        <f t="shared" si="0"/>
        <v>0</v>
      </c>
      <c r="AQ12" s="25"/>
      <c r="AR12" s="25"/>
      <c r="AS12" s="60">
        <f t="shared" si="0"/>
        <v>47918.55</v>
      </c>
      <c r="AT12" s="60">
        <f t="shared" si="0"/>
        <v>0</v>
      </c>
      <c r="AU12" s="60">
        <f t="shared" si="0"/>
        <v>8625.339</v>
      </c>
      <c r="AV12" s="25"/>
      <c r="AW12" s="25"/>
      <c r="AX12" s="25">
        <f t="shared" si="0"/>
        <v>0</v>
      </c>
      <c r="AY12" s="25">
        <f t="shared" si="0"/>
        <v>0</v>
      </c>
      <c r="AZ12" s="25">
        <f t="shared" si="0"/>
        <v>0</v>
      </c>
      <c r="BA12" s="25">
        <f t="shared" si="0"/>
        <v>0</v>
      </c>
      <c r="BB12" s="25">
        <f t="shared" si="0"/>
        <v>124532.515606272</v>
      </c>
      <c r="BC12" s="25">
        <f>SUM(BC9:BC11)</f>
        <v>0</v>
      </c>
      <c r="BD12" s="69">
        <f>SUM(BD9:BD11)</f>
        <v>-40589.662972671984</v>
      </c>
      <c r="BE12" s="25">
        <f>SUM(BE9:BE11)</f>
        <v>-31235.579999999998</v>
      </c>
    </row>
    <row r="13" spans="1:57" ht="15" customHeight="1">
      <c r="A13" s="5" t="s">
        <v>42</v>
      </c>
      <c r="B13" s="13"/>
      <c r="C13" s="14"/>
      <c r="D13" s="14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59"/>
      <c r="P13" s="16"/>
      <c r="Q13" s="15"/>
      <c r="R13" s="15"/>
      <c r="S13" s="15"/>
      <c r="T13" s="15"/>
      <c r="U13" s="27"/>
      <c r="V13" s="27"/>
      <c r="W13" s="27"/>
      <c r="X13" s="27"/>
      <c r="Y13" s="27"/>
      <c r="Z13" s="27"/>
      <c r="AA13" s="17"/>
      <c r="AB13" s="17"/>
      <c r="AC13" s="98"/>
      <c r="AD13" s="99"/>
      <c r="AE13" s="99"/>
      <c r="AF13" s="99"/>
      <c r="AG13" s="18"/>
      <c r="AH13" s="18"/>
      <c r="AI13" s="18"/>
      <c r="AJ13" s="18"/>
      <c r="AK13" s="18"/>
      <c r="AL13" s="18"/>
      <c r="AM13" s="18"/>
      <c r="AN13" s="18"/>
      <c r="AO13" s="19"/>
      <c r="AP13" s="19"/>
      <c r="AQ13" s="19"/>
      <c r="AR13" s="19"/>
      <c r="AS13" s="64"/>
      <c r="AT13" s="64"/>
      <c r="AU13" s="28"/>
      <c r="AV13" s="18"/>
      <c r="AW13" s="18"/>
      <c r="AX13" s="19"/>
      <c r="AY13" s="19"/>
      <c r="AZ13" s="19"/>
      <c r="BA13" s="18"/>
      <c r="BB13" s="18"/>
      <c r="BC13" s="18"/>
      <c r="BD13" s="61"/>
      <c r="BE13" s="30"/>
    </row>
    <row r="14" spans="1:57" ht="12.75">
      <c r="A14" s="12" t="s">
        <v>43</v>
      </c>
      <c r="B14" s="100">
        <v>4422.4</v>
      </c>
      <c r="C14" s="84">
        <f>B14*8.65</f>
        <v>38253.76</v>
      </c>
      <c r="D14" s="85">
        <f>C14*0.125</f>
        <v>4781.72</v>
      </c>
      <c r="E14" s="70">
        <v>2971.26</v>
      </c>
      <c r="F14" s="70">
        <v>667.59</v>
      </c>
      <c r="G14" s="70">
        <v>4011.27</v>
      </c>
      <c r="H14" s="70">
        <v>901.27</v>
      </c>
      <c r="I14" s="70">
        <v>9656.65</v>
      </c>
      <c r="J14" s="70">
        <v>2169.62</v>
      </c>
      <c r="K14" s="70">
        <v>6685.44</v>
      </c>
      <c r="L14" s="70">
        <v>1502.04</v>
      </c>
      <c r="M14" s="70">
        <v>2376.98</v>
      </c>
      <c r="N14" s="70">
        <v>534.08</v>
      </c>
      <c r="O14" s="70">
        <v>0</v>
      </c>
      <c r="P14" s="71">
        <v>0</v>
      </c>
      <c r="Q14" s="70">
        <v>0</v>
      </c>
      <c r="R14" s="71">
        <v>0</v>
      </c>
      <c r="S14" s="62">
        <f>E14+G14+I14+K14+M14+O14+Q14</f>
        <v>25701.6</v>
      </c>
      <c r="T14" s="86">
        <f>P14+N14+L14+J14+H14+F14+R14</f>
        <v>5774.6</v>
      </c>
      <c r="U14" s="62">
        <v>2194.73</v>
      </c>
      <c r="V14" s="62">
        <v>2962.89</v>
      </c>
      <c r="W14" s="62">
        <v>7132.81</v>
      </c>
      <c r="X14" s="62">
        <v>4938.18</v>
      </c>
      <c r="Y14" s="62">
        <v>1755.71</v>
      </c>
      <c r="Z14" s="67">
        <v>0</v>
      </c>
      <c r="AA14" s="67">
        <v>0</v>
      </c>
      <c r="AB14" s="101">
        <f>SUM(U14:AA14)</f>
        <v>18984.32</v>
      </c>
      <c r="AC14" s="95">
        <f>D14+T14+AB14</f>
        <v>29540.64</v>
      </c>
      <c r="AD14" s="89">
        <f>P14+Z14</f>
        <v>0</v>
      </c>
      <c r="AE14" s="89">
        <f>R14+AA14</f>
        <v>0</v>
      </c>
      <c r="AF14" s="89"/>
      <c r="AG14" s="29">
        <f>0.6*B14*0.9</f>
        <v>2388.0959999999995</v>
      </c>
      <c r="AH14" s="29">
        <f>B14*0.2*0.891</f>
        <v>788.07168</v>
      </c>
      <c r="AI14" s="29">
        <f>0.85*B14*0.867-0.02</f>
        <v>3259.0676799999997</v>
      </c>
      <c r="AJ14" s="29">
        <f>AI14*0.18</f>
        <v>586.6321823999999</v>
      </c>
      <c r="AK14" s="29">
        <f>0.83*B14*0.8685</f>
        <v>3187.9091519999997</v>
      </c>
      <c r="AL14" s="29">
        <f>AK14*0.18</f>
        <v>573.8236473599999</v>
      </c>
      <c r="AM14" s="29">
        <f>1.91*B14*0.8686</f>
        <v>7336.8765824</v>
      </c>
      <c r="AN14" s="29">
        <f>AM14*0.18</f>
        <v>1320.637784832</v>
      </c>
      <c r="AO14" s="29"/>
      <c r="AP14" s="29">
        <f>AO14*0.18</f>
        <v>0</v>
      </c>
      <c r="AQ14" s="80"/>
      <c r="AR14" s="80">
        <f>AQ14*0.18</f>
        <v>0</v>
      </c>
      <c r="AS14" s="65">
        <v>269</v>
      </c>
      <c r="AT14" s="65"/>
      <c r="AU14" s="65">
        <f aca="true" t="shared" si="1" ref="AU14:AU19">(AS14+AT14)*0.18</f>
        <v>48.42</v>
      </c>
      <c r="AV14" s="90"/>
      <c r="AW14" s="91">
        <v>1159</v>
      </c>
      <c r="AX14" s="29"/>
      <c r="AY14" s="92"/>
      <c r="AZ14" s="93"/>
      <c r="BA14" s="93">
        <f>AZ14*0.18</f>
        <v>0</v>
      </c>
      <c r="BB14" s="93">
        <f>SUM(AG14:AU14)</f>
        <v>19758.534708991996</v>
      </c>
      <c r="BC14" s="122"/>
      <c r="BD14" s="61">
        <f>AC14+AF14-BB14-BC14</f>
        <v>9782.105291008003</v>
      </c>
      <c r="BE14" s="29">
        <f>AB14-S14</f>
        <v>-6717.279999999999</v>
      </c>
    </row>
    <row r="15" spans="1:57" ht="12.75">
      <c r="A15" s="12" t="s">
        <v>44</v>
      </c>
      <c r="B15" s="100">
        <v>4420.5</v>
      </c>
      <c r="C15" s="84">
        <f>B15*8.65</f>
        <v>38237.325000000004</v>
      </c>
      <c r="D15" s="85">
        <f>C15*0.125</f>
        <v>4779.665625000001</v>
      </c>
      <c r="E15" s="70">
        <v>2945.05</v>
      </c>
      <c r="F15" s="70">
        <v>664.99</v>
      </c>
      <c r="G15" s="70">
        <v>3979.89</v>
      </c>
      <c r="H15" s="70">
        <v>901.76</v>
      </c>
      <c r="I15" s="70">
        <v>9581.12</v>
      </c>
      <c r="J15" s="70">
        <v>2170.79</v>
      </c>
      <c r="K15" s="70">
        <v>6633.14</v>
      </c>
      <c r="L15" s="70">
        <v>1502.86</v>
      </c>
      <c r="M15" s="70">
        <v>2358.4</v>
      </c>
      <c r="N15" s="70">
        <v>534.35</v>
      </c>
      <c r="O15" s="70">
        <v>0</v>
      </c>
      <c r="P15" s="71">
        <v>0</v>
      </c>
      <c r="Q15" s="70">
        <v>0</v>
      </c>
      <c r="R15" s="71">
        <v>0</v>
      </c>
      <c r="S15" s="62">
        <f>E15+G15+I15+K15+M15+O15+Q15</f>
        <v>25497.600000000002</v>
      </c>
      <c r="T15" s="86">
        <f>P15+N15+L15+J15+H15+F15+R15</f>
        <v>5774.75</v>
      </c>
      <c r="U15" s="62">
        <v>1943.63</v>
      </c>
      <c r="V15" s="62">
        <v>2624.02</v>
      </c>
      <c r="W15" s="62">
        <v>6317.22</v>
      </c>
      <c r="X15" s="62">
        <v>4373.27</v>
      </c>
      <c r="Y15" s="62">
        <v>1554.91</v>
      </c>
      <c r="Z15" s="67">
        <v>0</v>
      </c>
      <c r="AA15" s="67">
        <v>0</v>
      </c>
      <c r="AB15" s="94">
        <f>SUM(U15:AA15)</f>
        <v>16813.05</v>
      </c>
      <c r="AC15" s="95">
        <f>D15+T15+AB15</f>
        <v>27367.465625</v>
      </c>
      <c r="AD15" s="89">
        <f>P15+Z15</f>
        <v>0</v>
      </c>
      <c r="AE15" s="89">
        <f>R15+AA15</f>
        <v>0</v>
      </c>
      <c r="AF15" s="89">
        <f>'[1]Т02-09'!$I$39</f>
        <v>0</v>
      </c>
      <c r="AG15" s="29">
        <f>0.6*B15*0.9</f>
        <v>2387.0699999999997</v>
      </c>
      <c r="AH15" s="29">
        <f>B15*0.2*0.9153</f>
        <v>809.21673</v>
      </c>
      <c r="AI15" s="29">
        <f>0.85*B15*0.866</f>
        <v>3253.93005</v>
      </c>
      <c r="AJ15" s="29">
        <f>AI15*0.18</f>
        <v>585.707409</v>
      </c>
      <c r="AK15" s="29">
        <f>0.83*B15*0.8684</f>
        <v>3186.1726259999996</v>
      </c>
      <c r="AL15" s="29">
        <f>AK15*0.18</f>
        <v>573.5110726799999</v>
      </c>
      <c r="AM15" s="29">
        <f>(1.91)*B15*0.8684</f>
        <v>7332.0358019999985</v>
      </c>
      <c r="AN15" s="29">
        <f>AM15*0.18</f>
        <v>1319.7664443599997</v>
      </c>
      <c r="AO15" s="29"/>
      <c r="AP15" s="29">
        <f>AO15*0.18</f>
        <v>0</v>
      </c>
      <c r="AQ15" s="80"/>
      <c r="AR15" s="80">
        <f>AQ15*0.18</f>
        <v>0</v>
      </c>
      <c r="AS15" s="65">
        <v>14680</v>
      </c>
      <c r="AT15" s="65">
        <f>756*6</f>
        <v>4536</v>
      </c>
      <c r="AU15" s="65">
        <f t="shared" si="1"/>
        <v>3458.8799999999997</v>
      </c>
      <c r="AV15" s="90"/>
      <c r="AW15" s="91">
        <v>1016</v>
      </c>
      <c r="AX15" s="29"/>
      <c r="AY15" s="92"/>
      <c r="AZ15" s="93"/>
      <c r="BA15" s="93">
        <f>AZ15*0.18</f>
        <v>0</v>
      </c>
      <c r="BB15" s="93">
        <f>SUM(AG15:AU15)+AY15</f>
        <v>42122.29013403999</v>
      </c>
      <c r="BC15" s="76">
        <f>'[1]Т02-09'!$O$39</f>
        <v>0</v>
      </c>
      <c r="BD15" s="61">
        <f aca="true" t="shared" si="2" ref="BD15:BD25">AC15+AF15-BB15-BC15</f>
        <v>-14754.82450903999</v>
      </c>
      <c r="BE15" s="29">
        <f aca="true" t="shared" si="3" ref="BE15:BE25">AB15-S15</f>
        <v>-8684.550000000003</v>
      </c>
    </row>
    <row r="16" spans="1:57" ht="12.75">
      <c r="A16" s="12" t="s">
        <v>45</v>
      </c>
      <c r="B16" s="123">
        <v>4419.2</v>
      </c>
      <c r="C16" s="84">
        <f>B16*8.65</f>
        <v>38226.08</v>
      </c>
      <c r="D16" s="85">
        <f>C16*0.125</f>
        <v>4778.26</v>
      </c>
      <c r="E16" s="72">
        <v>2893.23</v>
      </c>
      <c r="F16" s="72">
        <v>667.43</v>
      </c>
      <c r="G16" s="72">
        <v>3905.95</v>
      </c>
      <c r="H16" s="72">
        <v>901.06</v>
      </c>
      <c r="I16" s="72">
        <v>9403.1</v>
      </c>
      <c r="J16" s="72">
        <v>2169.1</v>
      </c>
      <c r="K16" s="72">
        <v>6509.9</v>
      </c>
      <c r="L16" s="72">
        <v>1501.69</v>
      </c>
      <c r="M16" s="72">
        <v>2314.58</v>
      </c>
      <c r="N16" s="72">
        <v>533.93</v>
      </c>
      <c r="O16" s="72">
        <v>0</v>
      </c>
      <c r="P16" s="73">
        <v>0</v>
      </c>
      <c r="Q16" s="72">
        <v>0</v>
      </c>
      <c r="R16" s="73">
        <v>0</v>
      </c>
      <c r="S16" s="62">
        <f>E16+G16+I16+K16+M16+O16+Q16</f>
        <v>25026.760000000002</v>
      </c>
      <c r="T16" s="86">
        <f>P16+N16+L16+J16+H16+F16+R16</f>
        <v>5773.209999999999</v>
      </c>
      <c r="U16" s="63">
        <v>3164.37</v>
      </c>
      <c r="V16" s="63">
        <v>4276.1</v>
      </c>
      <c r="W16" s="63">
        <v>10293.61</v>
      </c>
      <c r="X16" s="63">
        <v>7126.68</v>
      </c>
      <c r="Y16" s="63">
        <v>2533.85</v>
      </c>
      <c r="Z16" s="103">
        <v>0</v>
      </c>
      <c r="AA16" s="103">
        <v>0</v>
      </c>
      <c r="AB16" s="101">
        <f>SUM(U16:AA16)</f>
        <v>27394.61</v>
      </c>
      <c r="AC16" s="95">
        <f>D16+T16+AB16</f>
        <v>37946.08</v>
      </c>
      <c r="AD16" s="89">
        <f>P16+Z16</f>
        <v>0</v>
      </c>
      <c r="AE16" s="89">
        <f>R16+AA16</f>
        <v>0</v>
      </c>
      <c r="AF16" s="89">
        <f>'[1]Т03-09'!$I$39</f>
        <v>0</v>
      </c>
      <c r="AG16" s="29">
        <f>0.6*B16*0.9</f>
        <v>2386.368</v>
      </c>
      <c r="AH16" s="74">
        <f>B16*0.2*0.9082-0.01</f>
        <v>802.693488</v>
      </c>
      <c r="AI16" s="29">
        <f>0.85*B16*0.8675</f>
        <v>3258.6076</v>
      </c>
      <c r="AJ16" s="29">
        <f>AI16*0.18</f>
        <v>586.549368</v>
      </c>
      <c r="AK16" s="74">
        <f>0.83*B16*0.838</f>
        <v>3073.7303679999995</v>
      </c>
      <c r="AL16" s="29">
        <f>AK16*0.18</f>
        <v>553.2714662399999</v>
      </c>
      <c r="AM16" s="29">
        <f>1.91*B16*0.8381</f>
        <v>7074.127203199999</v>
      </c>
      <c r="AN16" s="29">
        <f>AM16*0.18</f>
        <v>1273.3428965759997</v>
      </c>
      <c r="AO16" s="29"/>
      <c r="AP16" s="29">
        <f>AO16*0.18</f>
        <v>0</v>
      </c>
      <c r="AQ16" s="80">
        <v>10563.7</v>
      </c>
      <c r="AR16" s="80">
        <f>AQ16*0.18</f>
        <v>1901.4660000000001</v>
      </c>
      <c r="AS16" s="65">
        <v>3312</v>
      </c>
      <c r="AT16" s="65"/>
      <c r="AU16" s="65">
        <f t="shared" si="1"/>
        <v>596.16</v>
      </c>
      <c r="AV16" s="90"/>
      <c r="AW16" s="104">
        <v>875</v>
      </c>
      <c r="AX16" s="29"/>
      <c r="AY16" s="92"/>
      <c r="AZ16" s="93"/>
      <c r="BA16" s="93">
        <f>AZ16*0.18</f>
        <v>0</v>
      </c>
      <c r="BB16" s="93">
        <f>SUM(AG16:AU16)</f>
        <v>35382.016390016</v>
      </c>
      <c r="BC16" s="76">
        <f>'[1]Т03-09'!$O$39</f>
        <v>0</v>
      </c>
      <c r="BD16" s="61">
        <f t="shared" si="2"/>
        <v>2564.063609984005</v>
      </c>
      <c r="BE16" s="29">
        <f t="shared" si="3"/>
        <v>2367.8499999999985</v>
      </c>
    </row>
    <row r="17" spans="1:57" ht="12.75">
      <c r="A17" s="12" t="s">
        <v>46</v>
      </c>
      <c r="B17" s="105">
        <v>4419.2</v>
      </c>
      <c r="C17" s="84">
        <f aca="true" t="shared" si="4" ref="C17:C25">B17*8.65</f>
        <v>38226.08</v>
      </c>
      <c r="D17" s="85">
        <f>C17*0.125</f>
        <v>4778.26</v>
      </c>
      <c r="E17" s="72">
        <v>2909.56</v>
      </c>
      <c r="F17" s="72">
        <v>667.43</v>
      </c>
      <c r="G17" s="72">
        <v>3927.96</v>
      </c>
      <c r="H17" s="72">
        <v>901.04</v>
      </c>
      <c r="I17" s="72">
        <v>9456.14</v>
      </c>
      <c r="J17" s="72">
        <v>2169.1</v>
      </c>
      <c r="K17" s="72">
        <v>6546.62</v>
      </c>
      <c r="L17" s="72">
        <v>1501.69</v>
      </c>
      <c r="M17" s="72">
        <v>2327.59</v>
      </c>
      <c r="N17" s="72">
        <v>533.92</v>
      </c>
      <c r="O17" s="72">
        <v>0</v>
      </c>
      <c r="P17" s="73">
        <v>0</v>
      </c>
      <c r="Q17" s="72">
        <v>0</v>
      </c>
      <c r="R17" s="73">
        <v>0</v>
      </c>
      <c r="S17" s="63">
        <f aca="true" t="shared" si="5" ref="S17:S25">E17+G17+I17+K17+M17+O17+Q17</f>
        <v>25167.87</v>
      </c>
      <c r="T17" s="124">
        <f aca="true" t="shared" si="6" ref="T17:T25">P17+N17+L17+J17+H17+F17+R17</f>
        <v>5773.18</v>
      </c>
      <c r="U17" s="62">
        <v>2348.09</v>
      </c>
      <c r="V17" s="62">
        <v>3169.83</v>
      </c>
      <c r="W17" s="62">
        <v>7631.13</v>
      </c>
      <c r="X17" s="62">
        <v>5283.15</v>
      </c>
      <c r="Y17" s="62">
        <v>1878.45</v>
      </c>
      <c r="Z17" s="62">
        <v>0</v>
      </c>
      <c r="AA17" s="62">
        <v>0</v>
      </c>
      <c r="AB17" s="101">
        <f aca="true" t="shared" si="7" ref="AB17:AB22">SUM(U17:AA17)</f>
        <v>20310.649999999998</v>
      </c>
      <c r="AC17" s="125">
        <f aca="true" t="shared" si="8" ref="AC17:AC22">D17+T17+AB17</f>
        <v>30862.089999999997</v>
      </c>
      <c r="AD17" s="126">
        <f aca="true" t="shared" si="9" ref="AD17:AD25">P17+Z17</f>
        <v>0</v>
      </c>
      <c r="AE17" s="126">
        <f aca="true" t="shared" si="10" ref="AE17:AE25">R17+AA17</f>
        <v>0</v>
      </c>
      <c r="AF17" s="89">
        <f>'[1]Т04-09'!$I$40</f>
        <v>1717.5299720000003</v>
      </c>
      <c r="AG17" s="29">
        <f>0.6*B17*0.9</f>
        <v>2386.368</v>
      </c>
      <c r="AH17" s="74">
        <f>B17*0.2*0.9234</f>
        <v>816.137856</v>
      </c>
      <c r="AI17" s="29">
        <f>0.85*B17*0.8934</f>
        <v>3355.8962879999995</v>
      </c>
      <c r="AJ17" s="29">
        <f aca="true" t="shared" si="11" ref="AJ17:AJ25">AI17*0.18</f>
        <v>604.0613318399999</v>
      </c>
      <c r="AK17" s="29">
        <f>0.83*B17*0.8498</f>
        <v>3117.0120128</v>
      </c>
      <c r="AL17" s="29">
        <f aca="true" t="shared" si="12" ref="AL17:AL25">AK17*0.18</f>
        <v>561.0621623039999</v>
      </c>
      <c r="AM17" s="29">
        <f>(1.91)*B17*0.8498-0.01</f>
        <v>7172.873065599999</v>
      </c>
      <c r="AN17" s="29">
        <f aca="true" t="shared" si="13" ref="AN17:AN25">AM17*0.18</f>
        <v>1291.1171518079998</v>
      </c>
      <c r="AO17" s="75"/>
      <c r="AP17" s="29">
        <f aca="true" t="shared" si="14" ref="AP17:AR25">AO17*0.18</f>
        <v>0</v>
      </c>
      <c r="AQ17" s="80">
        <f>1588.983</f>
        <v>1588.983</v>
      </c>
      <c r="AR17" s="80">
        <f t="shared" si="14"/>
        <v>286.01694</v>
      </c>
      <c r="AS17" s="65">
        <v>5587.36</v>
      </c>
      <c r="AT17" s="65"/>
      <c r="AU17" s="65">
        <f t="shared" si="1"/>
        <v>1005.7248</v>
      </c>
      <c r="AV17" s="90"/>
      <c r="AW17" s="106">
        <v>799</v>
      </c>
      <c r="AX17" s="29">
        <f>AW17*1.12*1.18+1531.73+1342.75+1156.4</f>
        <v>5086.838400000001</v>
      </c>
      <c r="AY17" s="75"/>
      <c r="AZ17" s="102"/>
      <c r="BA17" s="102">
        <f>AZ17*0.18</f>
        <v>0</v>
      </c>
      <c r="BB17" s="93">
        <f aca="true" t="shared" si="15" ref="BB17:BB25">SUM(AG17:BA17)-AV17-AW17</f>
        <v>32859.451008352</v>
      </c>
      <c r="BC17" s="127">
        <f>'[1]Т04-09'!$O$40</f>
        <v>260.9439498400001</v>
      </c>
      <c r="BD17" s="61">
        <f t="shared" si="2"/>
        <v>-540.7749861920032</v>
      </c>
      <c r="BE17" s="29">
        <f t="shared" si="3"/>
        <v>-4857.220000000001</v>
      </c>
    </row>
    <row r="18" spans="1:57" ht="12.75">
      <c r="A18" s="12" t="s">
        <v>47</v>
      </c>
      <c r="B18" s="123">
        <v>4419.2</v>
      </c>
      <c r="C18" s="84">
        <f t="shared" si="4"/>
        <v>38226.08</v>
      </c>
      <c r="D18" s="107">
        <f>C18-E18-F18-G18-H18-I18-J18-K18-L18-M18-N18</f>
        <v>3790.9</v>
      </c>
      <c r="E18" s="72">
        <v>3251.15</v>
      </c>
      <c r="F18" s="72">
        <v>723.65</v>
      </c>
      <c r="G18" s="72">
        <v>4402.77</v>
      </c>
      <c r="H18" s="72">
        <v>980.93</v>
      </c>
      <c r="I18" s="72">
        <v>10579.9</v>
      </c>
      <c r="J18" s="72">
        <v>2355.9</v>
      </c>
      <c r="K18" s="72">
        <v>7328.76</v>
      </c>
      <c r="L18" s="72">
        <v>1632.27</v>
      </c>
      <c r="M18" s="72">
        <v>2600.95</v>
      </c>
      <c r="N18" s="72">
        <v>578.9</v>
      </c>
      <c r="O18" s="72">
        <v>0</v>
      </c>
      <c r="P18" s="73">
        <v>0</v>
      </c>
      <c r="Q18" s="72">
        <v>0</v>
      </c>
      <c r="R18" s="73">
        <v>0</v>
      </c>
      <c r="S18" s="62">
        <f t="shared" si="5"/>
        <v>28163.530000000002</v>
      </c>
      <c r="T18" s="86">
        <f t="shared" si="6"/>
        <v>6271.65</v>
      </c>
      <c r="U18" s="63">
        <v>2448.5</v>
      </c>
      <c r="V18" s="63">
        <v>3305.5</v>
      </c>
      <c r="W18" s="63">
        <v>7957.65</v>
      </c>
      <c r="X18" s="63">
        <v>5509.21</v>
      </c>
      <c r="Y18" s="63">
        <v>1958.82</v>
      </c>
      <c r="Z18" s="103">
        <v>0</v>
      </c>
      <c r="AA18" s="103">
        <v>0</v>
      </c>
      <c r="AB18" s="101">
        <f t="shared" si="7"/>
        <v>21179.68</v>
      </c>
      <c r="AC18" s="95">
        <f t="shared" si="8"/>
        <v>31242.23</v>
      </c>
      <c r="AD18" s="89">
        <f t="shared" si="9"/>
        <v>0</v>
      </c>
      <c r="AE18" s="89">
        <f t="shared" si="10"/>
        <v>0</v>
      </c>
      <c r="AF18" s="89">
        <f>'[1]Т05-09'!$I$40</f>
        <v>608.6133199999999</v>
      </c>
      <c r="AG18" s="29">
        <f>0.6*B18</f>
        <v>2651.52</v>
      </c>
      <c r="AH18" s="29">
        <f>B18*0.2*1.01</f>
        <v>892.6784</v>
      </c>
      <c r="AI18" s="29">
        <f>0.85*B18</f>
        <v>3756.3199999999997</v>
      </c>
      <c r="AJ18" s="29">
        <f t="shared" si="11"/>
        <v>676.1375999999999</v>
      </c>
      <c r="AK18" s="29">
        <f>0.83*B18</f>
        <v>3667.9359999999997</v>
      </c>
      <c r="AL18" s="29">
        <f t="shared" si="12"/>
        <v>660.2284799999999</v>
      </c>
      <c r="AM18" s="29">
        <f>(1.91)*B18</f>
        <v>8440.671999999999</v>
      </c>
      <c r="AN18" s="29">
        <f t="shared" si="13"/>
        <v>1519.3209599999998</v>
      </c>
      <c r="AO18" s="29"/>
      <c r="AP18" s="29">
        <f t="shared" si="14"/>
        <v>0</v>
      </c>
      <c r="AQ18" s="80"/>
      <c r="AR18" s="80">
        <f t="shared" si="14"/>
        <v>0</v>
      </c>
      <c r="AS18" s="65">
        <v>11374.21</v>
      </c>
      <c r="AT18" s="65">
        <v>600</v>
      </c>
      <c r="AU18" s="65">
        <f t="shared" si="1"/>
        <v>2155.3577999999998</v>
      </c>
      <c r="AV18" s="90"/>
      <c r="AW18" s="108">
        <v>580</v>
      </c>
      <c r="AX18" s="29">
        <f aca="true" t="shared" si="16" ref="AX18:AX25">AW18*1.12*1.18</f>
        <v>766.528</v>
      </c>
      <c r="AY18" s="92"/>
      <c r="AZ18" s="93"/>
      <c r="BA18" s="93">
        <f>AZ18*0.18</f>
        <v>0</v>
      </c>
      <c r="BB18" s="93">
        <f t="shared" si="15"/>
        <v>37160.90924</v>
      </c>
      <c r="BC18" s="127">
        <f>'[1]Т05-09'!$O$40</f>
        <v>291.29335844400003</v>
      </c>
      <c r="BD18" s="61">
        <f t="shared" si="2"/>
        <v>-5601.359278444001</v>
      </c>
      <c r="BE18" s="29">
        <f t="shared" si="3"/>
        <v>-6983.850000000002</v>
      </c>
    </row>
    <row r="19" spans="1:57" ht="12.75">
      <c r="A19" s="12" t="s">
        <v>48</v>
      </c>
      <c r="B19" s="123">
        <v>4419.2</v>
      </c>
      <c r="C19" s="84">
        <f t="shared" si="4"/>
        <v>38226.08</v>
      </c>
      <c r="D19" s="107">
        <f aca="true" t="shared" si="17" ref="D19:D25">C19-E19-F19-G19-H19-I19-J19-K19-L19-M19-N19</f>
        <v>3757.520000000007</v>
      </c>
      <c r="E19" s="72">
        <v>3247.64</v>
      </c>
      <c r="F19" s="72">
        <v>731.03</v>
      </c>
      <c r="G19" s="72">
        <v>4397.98</v>
      </c>
      <c r="H19" s="72">
        <v>990.92</v>
      </c>
      <c r="I19" s="72">
        <v>10568.43</v>
      </c>
      <c r="J19" s="72">
        <v>2379.9</v>
      </c>
      <c r="K19" s="72">
        <v>7320.82</v>
      </c>
      <c r="L19" s="72">
        <v>1648.9</v>
      </c>
      <c r="M19" s="72">
        <v>2598.14</v>
      </c>
      <c r="N19" s="72">
        <v>584.8</v>
      </c>
      <c r="O19" s="72">
        <v>0</v>
      </c>
      <c r="P19" s="73">
        <v>0</v>
      </c>
      <c r="Q19" s="72">
        <v>0</v>
      </c>
      <c r="R19" s="73">
        <v>0</v>
      </c>
      <c r="S19" s="62">
        <f t="shared" si="5"/>
        <v>28133.01</v>
      </c>
      <c r="T19" s="86">
        <f t="shared" si="6"/>
        <v>6335.55</v>
      </c>
      <c r="U19" s="63">
        <v>2617.42</v>
      </c>
      <c r="V19" s="63">
        <v>3542.97</v>
      </c>
      <c r="W19" s="63">
        <v>8516.06</v>
      </c>
      <c r="X19" s="63">
        <v>5898.37</v>
      </c>
      <c r="Y19" s="63">
        <v>2094.03</v>
      </c>
      <c r="Z19" s="103">
        <v>0</v>
      </c>
      <c r="AA19" s="103">
        <v>0</v>
      </c>
      <c r="AB19" s="101">
        <f t="shared" si="7"/>
        <v>22668.85</v>
      </c>
      <c r="AC19" s="95">
        <f t="shared" si="8"/>
        <v>32761.920000000006</v>
      </c>
      <c r="AD19" s="89">
        <f t="shared" si="9"/>
        <v>0</v>
      </c>
      <c r="AE19" s="89">
        <f t="shared" si="10"/>
        <v>0</v>
      </c>
      <c r="AF19" s="89">
        <f>'[1]Т06-09'!$I$40</f>
        <v>608.6133199999999</v>
      </c>
      <c r="AG19" s="29">
        <f aca="true" t="shared" si="18" ref="AG19:AG25">0.6*B19</f>
        <v>2651.52</v>
      </c>
      <c r="AH19" s="29">
        <f>B19*0.2*1.01045</f>
        <v>893.076128</v>
      </c>
      <c r="AI19" s="29">
        <f>0.85*B19</f>
        <v>3756.3199999999997</v>
      </c>
      <c r="AJ19" s="29">
        <f t="shared" si="11"/>
        <v>676.1375999999999</v>
      </c>
      <c r="AK19" s="29">
        <f>0.83*B19</f>
        <v>3667.9359999999997</v>
      </c>
      <c r="AL19" s="29">
        <f t="shared" si="12"/>
        <v>660.2284799999999</v>
      </c>
      <c r="AM19" s="29">
        <f>(1.91)*B19+0.01</f>
        <v>8440.681999999999</v>
      </c>
      <c r="AN19" s="29">
        <f t="shared" si="13"/>
        <v>1519.3227599999998</v>
      </c>
      <c r="AO19" s="29"/>
      <c r="AP19" s="29">
        <f t="shared" si="14"/>
        <v>0</v>
      </c>
      <c r="AQ19" s="80">
        <f>5344.55+16485</f>
        <v>21829.55</v>
      </c>
      <c r="AR19" s="80">
        <f t="shared" si="14"/>
        <v>3929.3189999999995</v>
      </c>
      <c r="AS19" s="65">
        <v>59.47</v>
      </c>
      <c r="AT19" s="65"/>
      <c r="AU19" s="65">
        <f t="shared" si="1"/>
        <v>10.7046</v>
      </c>
      <c r="AV19" s="90"/>
      <c r="AW19" s="108">
        <v>743</v>
      </c>
      <c r="AX19" s="29">
        <f t="shared" si="16"/>
        <v>981.9488</v>
      </c>
      <c r="AY19" s="92"/>
      <c r="AZ19" s="93"/>
      <c r="BA19" s="93">
        <f aca="true" t="shared" si="19" ref="BA19:BA25">AZ19*0.18</f>
        <v>0</v>
      </c>
      <c r="BB19" s="93">
        <f t="shared" si="15"/>
        <v>49076.21536799999</v>
      </c>
      <c r="BC19" s="127">
        <f>'[1]Т06-09'!$O$40</f>
        <v>275.76443596</v>
      </c>
      <c r="BD19" s="61">
        <f t="shared" si="2"/>
        <v>-15981.446483959988</v>
      </c>
      <c r="BE19" s="29">
        <f t="shared" si="3"/>
        <v>-5464.16</v>
      </c>
    </row>
    <row r="20" spans="1:57" ht="12.75">
      <c r="A20" s="12" t="s">
        <v>49</v>
      </c>
      <c r="B20" s="100">
        <v>4418.62</v>
      </c>
      <c r="C20" s="84">
        <f t="shared" si="4"/>
        <v>38221.063</v>
      </c>
      <c r="D20" s="107">
        <f t="shared" si="17"/>
        <v>3780.3430000000053</v>
      </c>
      <c r="E20" s="72">
        <v>3249.45</v>
      </c>
      <c r="F20" s="72">
        <v>726.01</v>
      </c>
      <c r="G20" s="72">
        <v>4400.42</v>
      </c>
      <c r="H20" s="72">
        <v>984.14</v>
      </c>
      <c r="I20" s="72">
        <v>10574.29</v>
      </c>
      <c r="J20" s="72">
        <v>2363.58</v>
      </c>
      <c r="K20" s="72">
        <v>7324.86</v>
      </c>
      <c r="L20" s="72">
        <v>1637.59</v>
      </c>
      <c r="M20" s="72">
        <v>2599.6</v>
      </c>
      <c r="N20" s="72">
        <v>580.78</v>
      </c>
      <c r="O20" s="72">
        <v>0</v>
      </c>
      <c r="P20" s="73">
        <v>0</v>
      </c>
      <c r="Q20" s="72">
        <v>0</v>
      </c>
      <c r="R20" s="73">
        <v>0</v>
      </c>
      <c r="S20" s="62">
        <f t="shared" si="5"/>
        <v>28148.62</v>
      </c>
      <c r="T20" s="86">
        <f t="shared" si="6"/>
        <v>6292.1</v>
      </c>
      <c r="U20" s="63">
        <v>2955.38</v>
      </c>
      <c r="V20" s="63">
        <v>4001.06</v>
      </c>
      <c r="W20" s="63">
        <v>9616.25</v>
      </c>
      <c r="X20" s="63">
        <v>6660.73</v>
      </c>
      <c r="Y20" s="63">
        <v>2364.34</v>
      </c>
      <c r="Z20" s="103">
        <v>0</v>
      </c>
      <c r="AA20" s="103">
        <v>0</v>
      </c>
      <c r="AB20" s="101">
        <f t="shared" si="7"/>
        <v>25597.760000000002</v>
      </c>
      <c r="AC20" s="95">
        <f t="shared" si="8"/>
        <v>35670.20300000001</v>
      </c>
      <c r="AD20" s="89">
        <f t="shared" si="9"/>
        <v>0</v>
      </c>
      <c r="AE20" s="89">
        <f t="shared" si="10"/>
        <v>0</v>
      </c>
      <c r="AF20" s="89">
        <f>'[3]Т07-09'!$I$41+'[3]Т07-09'!$I$52</f>
        <v>1071.1154999999999</v>
      </c>
      <c r="AG20" s="29">
        <f t="shared" si="18"/>
        <v>2651.172</v>
      </c>
      <c r="AH20" s="29">
        <f>B20*0.2*0.99425</f>
        <v>878.642587</v>
      </c>
      <c r="AI20" s="29">
        <f>0.85*B20*0.9857</f>
        <v>3702.1186739</v>
      </c>
      <c r="AJ20" s="29">
        <f t="shared" si="11"/>
        <v>666.381361302</v>
      </c>
      <c r="AK20" s="29">
        <f>0.83*B20*0.9905</f>
        <v>3632.6137812999996</v>
      </c>
      <c r="AL20" s="29">
        <f t="shared" si="12"/>
        <v>653.8704806339999</v>
      </c>
      <c r="AM20" s="29">
        <f>(1.91)*B20*0.9904</f>
        <v>8358.544383679999</v>
      </c>
      <c r="AN20" s="29">
        <f t="shared" si="13"/>
        <v>1504.5379890623997</v>
      </c>
      <c r="AO20" s="29"/>
      <c r="AP20" s="29">
        <f t="shared" si="14"/>
        <v>0</v>
      </c>
      <c r="AQ20" s="80"/>
      <c r="AR20" s="80">
        <f t="shared" si="14"/>
        <v>0</v>
      </c>
      <c r="AS20" s="65">
        <v>4144.11</v>
      </c>
      <c r="AT20" s="65"/>
      <c r="AU20" s="65">
        <f aca="true" t="shared" si="20" ref="AU20:AU25">(AS20+AT20)*0.18</f>
        <v>745.9397999999999</v>
      </c>
      <c r="AV20" s="90"/>
      <c r="AW20" s="108">
        <v>514</v>
      </c>
      <c r="AX20" s="29">
        <f t="shared" si="16"/>
        <v>679.3024</v>
      </c>
      <c r="AY20" s="92"/>
      <c r="AZ20" s="93"/>
      <c r="BA20" s="93">
        <f t="shared" si="19"/>
        <v>0</v>
      </c>
      <c r="BB20" s="93">
        <f t="shared" si="15"/>
        <v>27617.233456878395</v>
      </c>
      <c r="BC20" s="76">
        <f>'[1]Т07-09'!$O$41+'[1]Т07-09'!$O$52</f>
        <v>506.1656535</v>
      </c>
      <c r="BD20" s="61">
        <f t="shared" si="2"/>
        <v>8617.919389621613</v>
      </c>
      <c r="BE20" s="29">
        <f t="shared" si="3"/>
        <v>-2550.859999999997</v>
      </c>
    </row>
    <row r="21" spans="1:57" ht="12.75">
      <c r="A21" s="12" t="s">
        <v>50</v>
      </c>
      <c r="B21" s="100">
        <v>4418.62</v>
      </c>
      <c r="C21" s="84">
        <f t="shared" si="4"/>
        <v>38221.063</v>
      </c>
      <c r="D21" s="107">
        <f t="shared" si="17"/>
        <v>3767.963000000006</v>
      </c>
      <c r="E21" s="72">
        <v>3246.52</v>
      </c>
      <c r="F21" s="72">
        <v>730.35</v>
      </c>
      <c r="G21" s="72">
        <v>4396.5</v>
      </c>
      <c r="H21" s="72">
        <v>990</v>
      </c>
      <c r="I21" s="72">
        <v>10564.82</v>
      </c>
      <c r="J21" s="72">
        <v>2377.7</v>
      </c>
      <c r="K21" s="72">
        <v>7318.33</v>
      </c>
      <c r="L21" s="72">
        <v>1647.37</v>
      </c>
      <c r="M21" s="72">
        <v>2597.25</v>
      </c>
      <c r="N21" s="72">
        <v>584.26</v>
      </c>
      <c r="O21" s="72">
        <v>0</v>
      </c>
      <c r="P21" s="73">
        <v>0</v>
      </c>
      <c r="Q21" s="63">
        <v>0</v>
      </c>
      <c r="R21" s="63">
        <v>0</v>
      </c>
      <c r="S21" s="62">
        <f t="shared" si="5"/>
        <v>28123.42</v>
      </c>
      <c r="T21" s="86">
        <f t="shared" si="6"/>
        <v>6329.68</v>
      </c>
      <c r="U21" s="63">
        <v>2858.47</v>
      </c>
      <c r="V21" s="63">
        <v>3869.95</v>
      </c>
      <c r="W21" s="63">
        <v>9300.79</v>
      </c>
      <c r="X21" s="63">
        <v>6442.39</v>
      </c>
      <c r="Y21" s="63">
        <v>2286.76</v>
      </c>
      <c r="Z21" s="103">
        <v>0</v>
      </c>
      <c r="AA21" s="103">
        <v>0</v>
      </c>
      <c r="AB21" s="101">
        <f t="shared" si="7"/>
        <v>24758.36</v>
      </c>
      <c r="AC21" s="95">
        <f t="shared" si="8"/>
        <v>34856.00300000001</v>
      </c>
      <c r="AD21" s="89">
        <f t="shared" si="9"/>
        <v>0</v>
      </c>
      <c r="AE21" s="89">
        <f t="shared" si="10"/>
        <v>0</v>
      </c>
      <c r="AF21" s="89">
        <f>'[3]Т07-09'!$I$41+'[3]Т07-09'!$I$52</f>
        <v>1071.1154999999999</v>
      </c>
      <c r="AG21" s="29">
        <f t="shared" si="18"/>
        <v>2651.172</v>
      </c>
      <c r="AH21" s="29">
        <f>B21*0.2*0.99875</f>
        <v>882.6193450000001</v>
      </c>
      <c r="AI21" s="29">
        <f>0.85*B21*0.98526</f>
        <v>3700.46611002</v>
      </c>
      <c r="AJ21" s="29">
        <f t="shared" si="11"/>
        <v>666.0838998036</v>
      </c>
      <c r="AK21" s="29">
        <f>0.83*B21*0.99</f>
        <v>3630.7800539999994</v>
      </c>
      <c r="AL21" s="29">
        <f t="shared" si="12"/>
        <v>653.5404097199998</v>
      </c>
      <c r="AM21" s="29">
        <f>(1.91)*B21*0.99</f>
        <v>8355.168558</v>
      </c>
      <c r="AN21" s="29">
        <f t="shared" si="13"/>
        <v>1503.9303404399998</v>
      </c>
      <c r="AO21" s="29"/>
      <c r="AP21" s="29">
        <f t="shared" si="14"/>
        <v>0</v>
      </c>
      <c r="AQ21" s="80">
        <v>5502.55</v>
      </c>
      <c r="AR21" s="80">
        <f t="shared" si="14"/>
        <v>990.459</v>
      </c>
      <c r="AS21" s="65">
        <v>121</v>
      </c>
      <c r="AT21" s="65"/>
      <c r="AU21" s="65">
        <f t="shared" si="20"/>
        <v>21.779999999999998</v>
      </c>
      <c r="AV21" s="90"/>
      <c r="AW21" s="108">
        <v>454</v>
      </c>
      <c r="AX21" s="29">
        <f t="shared" si="16"/>
        <v>600.0064000000001</v>
      </c>
      <c r="AY21" s="92"/>
      <c r="AZ21" s="93"/>
      <c r="BA21" s="93">
        <f t="shared" si="19"/>
        <v>0</v>
      </c>
      <c r="BB21" s="93">
        <f t="shared" si="15"/>
        <v>29279.556116983593</v>
      </c>
      <c r="BC21" s="76">
        <f>'[1]Т08-09'!$O$41+'[1]Т08-09'!$O$52</f>
        <v>505.93566855000006</v>
      </c>
      <c r="BD21" s="61">
        <f t="shared" si="2"/>
        <v>6141.626714466419</v>
      </c>
      <c r="BE21" s="29">
        <f t="shared" si="3"/>
        <v>-3365.0599999999977</v>
      </c>
    </row>
    <row r="22" spans="1:57" ht="12.75">
      <c r="A22" s="12" t="s">
        <v>51</v>
      </c>
      <c r="B22" s="83">
        <v>4418.62</v>
      </c>
      <c r="C22" s="84">
        <f t="shared" si="4"/>
        <v>38221.063</v>
      </c>
      <c r="D22" s="107">
        <f t="shared" si="17"/>
        <v>3741.5329999999994</v>
      </c>
      <c r="E22" s="70">
        <v>3249.62</v>
      </c>
      <c r="F22" s="70">
        <v>730.35</v>
      </c>
      <c r="G22" s="70">
        <v>4400.57</v>
      </c>
      <c r="H22" s="70">
        <v>990</v>
      </c>
      <c r="I22" s="70">
        <v>10574.77</v>
      </c>
      <c r="J22" s="70">
        <v>2377.7</v>
      </c>
      <c r="K22" s="70">
        <v>7325.17</v>
      </c>
      <c r="L22" s="70">
        <v>1647.37</v>
      </c>
      <c r="M22" s="70">
        <v>2599.72</v>
      </c>
      <c r="N22" s="70">
        <v>584.26</v>
      </c>
      <c r="O22" s="70">
        <v>0</v>
      </c>
      <c r="P22" s="71">
        <v>0</v>
      </c>
      <c r="Q22" s="70">
        <v>0</v>
      </c>
      <c r="R22" s="71">
        <v>0</v>
      </c>
      <c r="S22" s="62">
        <f t="shared" si="5"/>
        <v>28149.85</v>
      </c>
      <c r="T22" s="86">
        <f t="shared" si="6"/>
        <v>6329.68</v>
      </c>
      <c r="U22" s="62">
        <v>3064.22</v>
      </c>
      <c r="V22" s="62">
        <v>4147.6</v>
      </c>
      <c r="W22" s="62">
        <v>9969.28</v>
      </c>
      <c r="X22" s="62">
        <v>6905.15</v>
      </c>
      <c r="Y22" s="62">
        <v>2450.94</v>
      </c>
      <c r="Z22" s="67">
        <v>0</v>
      </c>
      <c r="AA22" s="67">
        <v>0</v>
      </c>
      <c r="AB22" s="101">
        <f t="shared" si="7"/>
        <v>26537.19</v>
      </c>
      <c r="AC22" s="95">
        <f t="shared" si="8"/>
        <v>36608.403</v>
      </c>
      <c r="AD22" s="89">
        <f t="shared" si="9"/>
        <v>0</v>
      </c>
      <c r="AE22" s="89">
        <f t="shared" si="10"/>
        <v>0</v>
      </c>
      <c r="AF22" s="89">
        <f>'[3]Т07-09'!$I$41+'[3]Т07-09'!$I$52</f>
        <v>1071.1154999999999</v>
      </c>
      <c r="AG22" s="29">
        <f t="shared" si="18"/>
        <v>2651.172</v>
      </c>
      <c r="AH22" s="29">
        <f>B22*0.2*0.9997</f>
        <v>883.4588828000001</v>
      </c>
      <c r="AI22" s="29">
        <f>0.85*B22*0.98509</f>
        <v>3699.8276194299997</v>
      </c>
      <c r="AJ22" s="29">
        <f t="shared" si="11"/>
        <v>665.9689714973999</v>
      </c>
      <c r="AK22" s="29">
        <f>0.83*B22*0.98981</f>
        <v>3630.0832376259996</v>
      </c>
      <c r="AL22" s="29">
        <f t="shared" si="12"/>
        <v>653.4149827726799</v>
      </c>
      <c r="AM22" s="29">
        <f>(1.91)*B22*0.98981</f>
        <v>8353.565040802</v>
      </c>
      <c r="AN22" s="29">
        <f t="shared" si="13"/>
        <v>1503.6417073443597</v>
      </c>
      <c r="AO22" s="29"/>
      <c r="AP22" s="29">
        <f t="shared" si="14"/>
        <v>0</v>
      </c>
      <c r="AQ22" s="80">
        <v>5502.55</v>
      </c>
      <c r="AR22" s="80">
        <f t="shared" si="14"/>
        <v>990.459</v>
      </c>
      <c r="AS22" s="65"/>
      <c r="AT22" s="65"/>
      <c r="AU22" s="65">
        <f t="shared" si="20"/>
        <v>0</v>
      </c>
      <c r="AV22" s="90"/>
      <c r="AW22" s="108">
        <v>644</v>
      </c>
      <c r="AX22" s="29">
        <f t="shared" si="16"/>
        <v>851.1104</v>
      </c>
      <c r="AY22" s="92"/>
      <c r="AZ22" s="93"/>
      <c r="BA22" s="93">
        <f t="shared" si="19"/>
        <v>0</v>
      </c>
      <c r="BB22" s="93">
        <f t="shared" si="15"/>
        <v>29385.251842272435</v>
      </c>
      <c r="BC22" s="76">
        <f>'[1]Т09-09'!$O$41+'[1]Т09-09'!$O$52</f>
        <v>505.859148795</v>
      </c>
      <c r="BD22" s="61">
        <f t="shared" si="2"/>
        <v>7788.407508932563</v>
      </c>
      <c r="BE22" s="29">
        <f t="shared" si="3"/>
        <v>-1612.6599999999999</v>
      </c>
    </row>
    <row r="23" spans="1:57" ht="12.75">
      <c r="A23" s="30" t="s">
        <v>39</v>
      </c>
      <c r="B23" s="83">
        <v>4418.62</v>
      </c>
      <c r="C23" s="109">
        <f t="shared" si="4"/>
        <v>38221.063</v>
      </c>
      <c r="D23" s="107">
        <f t="shared" si="17"/>
        <v>3708.542999999995</v>
      </c>
      <c r="E23" s="66">
        <v>3270.98</v>
      </c>
      <c r="F23" s="62">
        <v>712.87</v>
      </c>
      <c r="G23" s="62">
        <v>4429.31</v>
      </c>
      <c r="H23" s="62">
        <v>966.31</v>
      </c>
      <c r="I23" s="62">
        <v>10644.05</v>
      </c>
      <c r="J23" s="62">
        <v>2320.83</v>
      </c>
      <c r="K23" s="62">
        <v>7373.13</v>
      </c>
      <c r="L23" s="62">
        <v>1607.95</v>
      </c>
      <c r="M23" s="62">
        <v>2616.81</v>
      </c>
      <c r="N23" s="62">
        <v>570.28</v>
      </c>
      <c r="O23" s="62">
        <v>0</v>
      </c>
      <c r="P23" s="67">
        <v>0</v>
      </c>
      <c r="Q23" s="62">
        <v>0</v>
      </c>
      <c r="R23" s="62">
        <v>0</v>
      </c>
      <c r="S23" s="62">
        <f t="shared" si="5"/>
        <v>28334.280000000002</v>
      </c>
      <c r="T23" s="86">
        <f t="shared" si="6"/>
        <v>6178.239999999999</v>
      </c>
      <c r="U23" s="68">
        <f>3033.19+341.9</f>
        <v>3375.09</v>
      </c>
      <c r="V23" s="62">
        <f>4108.44+462.87</f>
        <v>4571.3099999999995</v>
      </c>
      <c r="W23" s="62">
        <f>9871.66+1112.36</f>
        <v>10984.02</v>
      </c>
      <c r="X23" s="62">
        <f>6838.5+770.6</f>
        <v>7609.1</v>
      </c>
      <c r="Y23" s="62">
        <f>2427.01+273.56</f>
        <v>2700.57</v>
      </c>
      <c r="Z23" s="67">
        <v>0</v>
      </c>
      <c r="AA23" s="67">
        <v>0</v>
      </c>
      <c r="AB23" s="67">
        <f>SUM(U23:AA23)</f>
        <v>29240.089999999997</v>
      </c>
      <c r="AC23" s="95">
        <f>AB23+T23+D23</f>
        <v>39126.87299999999</v>
      </c>
      <c r="AD23" s="89">
        <f t="shared" si="9"/>
        <v>0</v>
      </c>
      <c r="AE23" s="89">
        <f t="shared" si="10"/>
        <v>0</v>
      </c>
      <c r="AF23" s="89">
        <f>'[4]Т10'!$I$42+'[4]Т10'!$I$54</f>
        <v>1071.1154999999999</v>
      </c>
      <c r="AG23" s="29">
        <f t="shared" si="18"/>
        <v>2651.172</v>
      </c>
      <c r="AH23" s="29">
        <f>B23*0.2</f>
        <v>883.724</v>
      </c>
      <c r="AI23" s="29">
        <f>0.847*B23</f>
        <v>3742.57114</v>
      </c>
      <c r="AJ23" s="29">
        <f t="shared" si="11"/>
        <v>673.6628052</v>
      </c>
      <c r="AK23" s="29">
        <f>0.83*B23</f>
        <v>3667.4545999999996</v>
      </c>
      <c r="AL23" s="29">
        <f t="shared" si="12"/>
        <v>660.1418279999999</v>
      </c>
      <c r="AM23" s="29">
        <f>(2.25/1.18)*B23</f>
        <v>8425.334745762711</v>
      </c>
      <c r="AN23" s="29">
        <f t="shared" si="13"/>
        <v>1516.560254237288</v>
      </c>
      <c r="AO23" s="29"/>
      <c r="AP23" s="29">
        <f t="shared" si="14"/>
        <v>0</v>
      </c>
      <c r="AQ23" s="80"/>
      <c r="AR23" s="80">
        <f t="shared" si="14"/>
        <v>0</v>
      </c>
      <c r="AS23" s="65">
        <v>2028.8</v>
      </c>
      <c r="AT23" s="65"/>
      <c r="AU23" s="65">
        <f t="shared" si="20"/>
        <v>365.18399999999997</v>
      </c>
      <c r="AV23" s="90"/>
      <c r="AW23" s="91">
        <v>628</v>
      </c>
      <c r="AX23" s="29">
        <f t="shared" si="16"/>
        <v>829.9648</v>
      </c>
      <c r="AY23" s="92"/>
      <c r="AZ23" s="102"/>
      <c r="BA23" s="93">
        <f t="shared" si="19"/>
        <v>0</v>
      </c>
      <c r="BB23" s="93">
        <f t="shared" si="15"/>
        <v>25444.570173199998</v>
      </c>
      <c r="BC23" s="76">
        <f>'[2]Т10'!$O$42+'[2]Т10'!$O$54</f>
        <v>509.80155</v>
      </c>
      <c r="BD23" s="61">
        <f t="shared" si="2"/>
        <v>14243.616776799994</v>
      </c>
      <c r="BE23" s="29">
        <f t="shared" si="3"/>
        <v>905.809999999994</v>
      </c>
    </row>
    <row r="24" spans="1:57" ht="12.75">
      <c r="A24" s="12" t="s">
        <v>40</v>
      </c>
      <c r="B24" s="100">
        <v>4418.62</v>
      </c>
      <c r="C24" s="109">
        <f t="shared" si="4"/>
        <v>38221.063</v>
      </c>
      <c r="D24" s="107">
        <f t="shared" si="17"/>
        <v>3682.8230000000067</v>
      </c>
      <c r="E24" s="70">
        <v>3272.06</v>
      </c>
      <c r="F24" s="70">
        <v>714.81</v>
      </c>
      <c r="G24" s="70">
        <v>4430.6</v>
      </c>
      <c r="H24" s="70">
        <v>968.95</v>
      </c>
      <c r="I24" s="70">
        <v>10647.39</v>
      </c>
      <c r="J24" s="70">
        <v>2327.19</v>
      </c>
      <c r="K24" s="70">
        <v>7375.37</v>
      </c>
      <c r="L24" s="70">
        <v>1612.37</v>
      </c>
      <c r="M24" s="70">
        <v>2617.66</v>
      </c>
      <c r="N24" s="70">
        <v>571.84</v>
      </c>
      <c r="O24" s="70">
        <v>0</v>
      </c>
      <c r="P24" s="71">
        <v>0</v>
      </c>
      <c r="Q24" s="71">
        <v>0</v>
      </c>
      <c r="R24" s="71">
        <v>0</v>
      </c>
      <c r="S24" s="62">
        <f t="shared" si="5"/>
        <v>28343.079999999998</v>
      </c>
      <c r="T24" s="86">
        <f t="shared" si="6"/>
        <v>6195.16</v>
      </c>
      <c r="U24" s="62">
        <v>3565.23</v>
      </c>
      <c r="V24" s="62">
        <v>4825.69</v>
      </c>
      <c r="W24" s="62">
        <v>11599.41</v>
      </c>
      <c r="X24" s="62">
        <v>8034.4</v>
      </c>
      <c r="Y24" s="62">
        <v>2852.22</v>
      </c>
      <c r="Z24" s="67">
        <v>0</v>
      </c>
      <c r="AA24" s="67">
        <v>0</v>
      </c>
      <c r="AB24" s="67">
        <f>SUM(U24:AA24)</f>
        <v>30876.950000000004</v>
      </c>
      <c r="AC24" s="95">
        <f>D24+T24+AB24</f>
        <v>40754.93300000001</v>
      </c>
      <c r="AD24" s="89">
        <f t="shared" si="9"/>
        <v>0</v>
      </c>
      <c r="AE24" s="89">
        <f t="shared" si="10"/>
        <v>0</v>
      </c>
      <c r="AF24" s="89">
        <f>'[4]Т11'!$I$42+'[4]Т11'!$I$54</f>
        <v>1071.1154999999999</v>
      </c>
      <c r="AG24" s="29">
        <f t="shared" si="18"/>
        <v>2651.172</v>
      </c>
      <c r="AH24" s="29">
        <f>B24*0.2</f>
        <v>883.724</v>
      </c>
      <c r="AI24" s="29">
        <f>0.85*B24</f>
        <v>3755.8269999999998</v>
      </c>
      <c r="AJ24" s="29">
        <f t="shared" si="11"/>
        <v>676.0488599999999</v>
      </c>
      <c r="AK24" s="29">
        <f>0.83*B24</f>
        <v>3667.4545999999996</v>
      </c>
      <c r="AL24" s="29">
        <f t="shared" si="12"/>
        <v>660.1418279999999</v>
      </c>
      <c r="AM24" s="29">
        <f>(1.91)*B24</f>
        <v>8439.564199999999</v>
      </c>
      <c r="AN24" s="29">
        <f t="shared" si="13"/>
        <v>1519.1215559999998</v>
      </c>
      <c r="AO24" s="29"/>
      <c r="AP24" s="29">
        <f t="shared" si="14"/>
        <v>0</v>
      </c>
      <c r="AQ24" s="80"/>
      <c r="AR24" s="80">
        <f t="shared" si="14"/>
        <v>0</v>
      </c>
      <c r="AS24" s="65">
        <v>847</v>
      </c>
      <c r="AT24" s="65"/>
      <c r="AU24" s="65">
        <f t="shared" si="20"/>
        <v>152.46</v>
      </c>
      <c r="AV24" s="90"/>
      <c r="AW24" s="91">
        <v>824</v>
      </c>
      <c r="AX24" s="29">
        <f t="shared" si="16"/>
        <v>1088.9984000000002</v>
      </c>
      <c r="AY24" s="92"/>
      <c r="AZ24" s="93"/>
      <c r="BA24" s="93">
        <f t="shared" si="19"/>
        <v>0</v>
      </c>
      <c r="BB24" s="93">
        <f t="shared" si="15"/>
        <v>24341.512443999996</v>
      </c>
      <c r="BC24" s="122">
        <f>'[4]Т11'!$O$42+'[4]Т11'!$O$54</f>
        <v>510.52950000000004</v>
      </c>
      <c r="BD24" s="61">
        <f t="shared" si="2"/>
        <v>16974.006556000015</v>
      </c>
      <c r="BE24" s="29">
        <f t="shared" si="3"/>
        <v>2533.8700000000063</v>
      </c>
    </row>
    <row r="25" spans="1:57" ht="12.75">
      <c r="A25" s="12" t="s">
        <v>41</v>
      </c>
      <c r="B25" s="83">
        <v>4418.62</v>
      </c>
      <c r="C25" s="109">
        <f t="shared" si="4"/>
        <v>38221.063</v>
      </c>
      <c r="D25" s="107">
        <f t="shared" si="17"/>
        <v>2500.953000000004</v>
      </c>
      <c r="E25" s="70">
        <v>3408.57</v>
      </c>
      <c r="F25" s="70">
        <v>714.82</v>
      </c>
      <c r="G25" s="70">
        <v>4615.23</v>
      </c>
      <c r="H25" s="70">
        <v>968.96</v>
      </c>
      <c r="I25" s="70">
        <v>11091.39</v>
      </c>
      <c r="J25" s="70">
        <v>2327.19</v>
      </c>
      <c r="K25" s="70">
        <v>7682.87</v>
      </c>
      <c r="L25" s="70">
        <v>1612.37</v>
      </c>
      <c r="M25" s="70">
        <v>2726.86</v>
      </c>
      <c r="N25" s="70">
        <v>571.85</v>
      </c>
      <c r="O25" s="70">
        <v>0</v>
      </c>
      <c r="P25" s="71">
        <v>0</v>
      </c>
      <c r="Q25" s="71"/>
      <c r="R25" s="71"/>
      <c r="S25" s="62">
        <f t="shared" si="5"/>
        <v>29524.92</v>
      </c>
      <c r="T25" s="86">
        <f t="shared" si="6"/>
        <v>6195.19</v>
      </c>
      <c r="U25" s="62">
        <v>4207.19</v>
      </c>
      <c r="V25" s="62">
        <v>5695.59</v>
      </c>
      <c r="W25" s="62">
        <v>13689.07</v>
      </c>
      <c r="X25" s="62">
        <v>9482.13</v>
      </c>
      <c r="Y25" s="62">
        <v>3365.83</v>
      </c>
      <c r="Z25" s="67">
        <v>0</v>
      </c>
      <c r="AA25" s="67">
        <v>0</v>
      </c>
      <c r="AB25" s="67">
        <f>SUM(U25:AA25)</f>
        <v>36439.81</v>
      </c>
      <c r="AC25" s="95">
        <f>D25+T25+AB25</f>
        <v>45135.953</v>
      </c>
      <c r="AD25" s="89">
        <f t="shared" si="9"/>
        <v>0</v>
      </c>
      <c r="AE25" s="89">
        <f t="shared" si="10"/>
        <v>0</v>
      </c>
      <c r="AF25" s="89">
        <f>'[4]Т12'!$I$42+'[4]Т12'!$I$55</f>
        <v>1071.1154999999999</v>
      </c>
      <c r="AG25" s="29">
        <f t="shared" si="18"/>
        <v>2651.172</v>
      </c>
      <c r="AH25" s="29">
        <f>B25*0.2</f>
        <v>883.724</v>
      </c>
      <c r="AI25" s="29">
        <f>0.85*B25</f>
        <v>3755.8269999999998</v>
      </c>
      <c r="AJ25" s="29">
        <f t="shared" si="11"/>
        <v>676.0488599999999</v>
      </c>
      <c r="AK25" s="29">
        <f>0.83*B25</f>
        <v>3667.4545999999996</v>
      </c>
      <c r="AL25" s="29">
        <f t="shared" si="12"/>
        <v>660.1418279999999</v>
      </c>
      <c r="AM25" s="29">
        <f>(1.91)*B25</f>
        <v>8439.564199999999</v>
      </c>
      <c r="AN25" s="29">
        <f t="shared" si="13"/>
        <v>1519.1215559999998</v>
      </c>
      <c r="AO25" s="29"/>
      <c r="AP25" s="29">
        <f t="shared" si="14"/>
        <v>0</v>
      </c>
      <c r="AQ25" s="80"/>
      <c r="AR25" s="80">
        <f t="shared" si="14"/>
        <v>0</v>
      </c>
      <c r="AS25" s="65">
        <v>0</v>
      </c>
      <c r="AT25" s="65"/>
      <c r="AU25" s="65">
        <f t="shared" si="20"/>
        <v>0</v>
      </c>
      <c r="AV25" s="90"/>
      <c r="AW25" s="91">
        <v>935</v>
      </c>
      <c r="AX25" s="29">
        <f t="shared" si="16"/>
        <v>1235.696</v>
      </c>
      <c r="AY25" s="92"/>
      <c r="AZ25" s="93"/>
      <c r="BA25" s="93">
        <f t="shared" si="19"/>
        <v>0</v>
      </c>
      <c r="BB25" s="93">
        <f t="shared" si="15"/>
        <v>23488.750043999997</v>
      </c>
      <c r="BC25" s="122">
        <f>'[4]Т12'!$O$42+'[4]Т12'!$O$55</f>
        <v>510.52950000000004</v>
      </c>
      <c r="BD25" s="61">
        <f t="shared" si="2"/>
        <v>22207.788956000004</v>
      </c>
      <c r="BE25" s="29">
        <f t="shared" si="3"/>
        <v>6914.889999999999</v>
      </c>
    </row>
    <row r="26" spans="1:57" s="26" customFormat="1" ht="12.75">
      <c r="A26" s="21" t="s">
        <v>5</v>
      </c>
      <c r="B26" s="22"/>
      <c r="C26" s="22">
        <f aca="true" t="shared" si="21" ref="C26:BB26">SUM(C14:C25)</f>
        <v>458721.78300000017</v>
      </c>
      <c r="D26" s="22">
        <f t="shared" si="21"/>
        <v>47848.48362500002</v>
      </c>
      <c r="E26" s="23">
        <f t="shared" si="21"/>
        <v>37915.09</v>
      </c>
      <c r="F26" s="23">
        <f t="shared" si="21"/>
        <v>8451.33</v>
      </c>
      <c r="G26" s="23">
        <f t="shared" si="21"/>
        <v>51298.45</v>
      </c>
      <c r="H26" s="23">
        <f t="shared" si="21"/>
        <v>11445.34</v>
      </c>
      <c r="I26" s="23">
        <f t="shared" si="21"/>
        <v>123342.05000000002</v>
      </c>
      <c r="J26" s="23">
        <f t="shared" si="21"/>
        <v>27508.6</v>
      </c>
      <c r="K26" s="23">
        <f t="shared" si="21"/>
        <v>85424.40999999999</v>
      </c>
      <c r="L26" s="23">
        <f t="shared" si="21"/>
        <v>19054.469999999998</v>
      </c>
      <c r="M26" s="23">
        <f t="shared" si="21"/>
        <v>30334.54</v>
      </c>
      <c r="N26" s="23">
        <f t="shared" si="21"/>
        <v>6763.250000000001</v>
      </c>
      <c r="O26" s="23">
        <f t="shared" si="21"/>
        <v>0</v>
      </c>
      <c r="P26" s="23">
        <f t="shared" si="21"/>
        <v>0</v>
      </c>
      <c r="Q26" s="23">
        <f t="shared" si="21"/>
        <v>0</v>
      </c>
      <c r="R26" s="23">
        <f t="shared" si="21"/>
        <v>0</v>
      </c>
      <c r="S26" s="23">
        <f t="shared" si="21"/>
        <v>328314.54</v>
      </c>
      <c r="T26" s="23">
        <f t="shared" si="21"/>
        <v>73222.99</v>
      </c>
      <c r="U26" s="24">
        <f t="shared" si="21"/>
        <v>34742.32</v>
      </c>
      <c r="V26" s="24">
        <f t="shared" si="21"/>
        <v>46992.51000000001</v>
      </c>
      <c r="W26" s="24">
        <f t="shared" si="21"/>
        <v>113007.29999999999</v>
      </c>
      <c r="X26" s="24">
        <f t="shared" si="21"/>
        <v>78262.76</v>
      </c>
      <c r="Y26" s="24">
        <f t="shared" si="21"/>
        <v>27796.43</v>
      </c>
      <c r="Z26" s="24">
        <f t="shared" si="21"/>
        <v>0</v>
      </c>
      <c r="AA26" s="24">
        <f t="shared" si="21"/>
        <v>0</v>
      </c>
      <c r="AB26" s="24">
        <f t="shared" si="21"/>
        <v>300801.32</v>
      </c>
      <c r="AC26" s="24">
        <f t="shared" si="21"/>
        <v>421872.793625</v>
      </c>
      <c r="AD26" s="96">
        <f t="shared" si="21"/>
        <v>0</v>
      </c>
      <c r="AE26" s="96">
        <f t="shared" si="21"/>
        <v>0</v>
      </c>
      <c r="AF26" s="25">
        <f t="shared" si="21"/>
        <v>9361.449612</v>
      </c>
      <c r="AG26" s="25">
        <f t="shared" si="21"/>
        <v>30757.973999999995</v>
      </c>
      <c r="AH26" s="25">
        <f t="shared" si="21"/>
        <v>10297.7670968</v>
      </c>
      <c r="AI26" s="25">
        <f t="shared" si="21"/>
        <v>42996.779161349994</v>
      </c>
      <c r="AJ26" s="25">
        <f t="shared" si="21"/>
        <v>7739.420249042999</v>
      </c>
      <c r="AK26" s="25">
        <f t="shared" si="21"/>
        <v>41796.53703172599</v>
      </c>
      <c r="AL26" s="25">
        <f t="shared" si="21"/>
        <v>7523.376665710678</v>
      </c>
      <c r="AM26" s="25">
        <f t="shared" si="21"/>
        <v>96169.00778144468</v>
      </c>
      <c r="AN26" s="25">
        <f t="shared" si="21"/>
        <v>17310.421400660045</v>
      </c>
      <c r="AO26" s="25">
        <f t="shared" si="21"/>
        <v>0</v>
      </c>
      <c r="AP26" s="25">
        <f t="shared" si="21"/>
        <v>0</v>
      </c>
      <c r="AQ26" s="25">
        <f>SUM(AQ14:AQ25)</f>
        <v>44987.333000000006</v>
      </c>
      <c r="AR26" s="25">
        <f>SUM(AR14:AR25)</f>
        <v>8097.719939999999</v>
      </c>
      <c r="AS26" s="60">
        <f t="shared" si="21"/>
        <v>42422.950000000004</v>
      </c>
      <c r="AT26" s="60">
        <f t="shared" si="21"/>
        <v>5136</v>
      </c>
      <c r="AU26" s="60">
        <f t="shared" si="21"/>
        <v>8560.610999999999</v>
      </c>
      <c r="AV26" s="25"/>
      <c r="AW26" s="25"/>
      <c r="AX26" s="25">
        <f t="shared" si="21"/>
        <v>12120.393600000001</v>
      </c>
      <c r="AY26" s="25">
        <f t="shared" si="21"/>
        <v>0</v>
      </c>
      <c r="AZ26" s="25">
        <f t="shared" si="21"/>
        <v>0</v>
      </c>
      <c r="BA26" s="25">
        <f t="shared" si="21"/>
        <v>0</v>
      </c>
      <c r="BB26" s="25">
        <f t="shared" si="21"/>
        <v>375916.29092673433</v>
      </c>
      <c r="BC26" s="25">
        <f>SUM(BC14:BC25)</f>
        <v>3876.8227650890003</v>
      </c>
      <c r="BD26" s="69">
        <f>SUM(BD14:BD25)</f>
        <v>51441.129545176635</v>
      </c>
      <c r="BE26" s="25">
        <f>SUM(BE14:BE25)</f>
        <v>-27513.22</v>
      </c>
    </row>
    <row r="27" spans="1:57" ht="12.75">
      <c r="A27" s="110"/>
      <c r="B27" s="111"/>
      <c r="C27" s="112">
        <f>C12+C26</f>
        <v>1032204.8460000004</v>
      </c>
      <c r="D27" s="112">
        <f aca="true" t="shared" si="22" ref="D27:BB27">D12+D26</f>
        <v>75471.90625860002</v>
      </c>
      <c r="E27" s="112">
        <f t="shared" si="22"/>
        <v>46051.67999999999</v>
      </c>
      <c r="F27" s="112">
        <f t="shared" si="22"/>
        <v>10440.09</v>
      </c>
      <c r="G27" s="112">
        <f t="shared" si="22"/>
        <v>62253.02</v>
      </c>
      <c r="H27" s="112">
        <f t="shared" si="22"/>
        <v>14130.24</v>
      </c>
      <c r="I27" s="112">
        <f t="shared" si="22"/>
        <v>149786.26</v>
      </c>
      <c r="J27" s="112">
        <f t="shared" si="22"/>
        <v>33971.96</v>
      </c>
      <c r="K27" s="112">
        <f t="shared" si="22"/>
        <v>103732.10999999999</v>
      </c>
      <c r="L27" s="112">
        <f t="shared" si="22"/>
        <v>23529.129999999997</v>
      </c>
      <c r="M27" s="112">
        <f t="shared" si="22"/>
        <v>36843.81</v>
      </c>
      <c r="N27" s="112">
        <f t="shared" si="22"/>
        <v>8354.240000000002</v>
      </c>
      <c r="O27" s="112">
        <f t="shared" si="22"/>
        <v>0</v>
      </c>
      <c r="P27" s="112">
        <f t="shared" si="22"/>
        <v>0</v>
      </c>
      <c r="Q27" s="112">
        <f t="shared" si="22"/>
        <v>0</v>
      </c>
      <c r="R27" s="112">
        <f t="shared" si="22"/>
        <v>0</v>
      </c>
      <c r="S27" s="112">
        <f t="shared" si="22"/>
        <v>398666.88</v>
      </c>
      <c r="T27" s="112">
        <f t="shared" si="22"/>
        <v>90425.66</v>
      </c>
      <c r="U27" s="112">
        <f t="shared" si="22"/>
        <v>39263.79</v>
      </c>
      <c r="V27" s="112">
        <f t="shared" si="22"/>
        <v>53096.63000000001</v>
      </c>
      <c r="W27" s="112">
        <f t="shared" si="22"/>
        <v>127707.57999999999</v>
      </c>
      <c r="X27" s="112">
        <f t="shared" si="22"/>
        <v>88436.34999999999</v>
      </c>
      <c r="Y27" s="112">
        <f t="shared" si="22"/>
        <v>31413.73</v>
      </c>
      <c r="Z27" s="112">
        <f t="shared" si="22"/>
        <v>0</v>
      </c>
      <c r="AA27" s="112">
        <f t="shared" si="22"/>
        <v>0</v>
      </c>
      <c r="AB27" s="112">
        <f t="shared" si="22"/>
        <v>339918.08</v>
      </c>
      <c r="AC27" s="112">
        <f t="shared" si="22"/>
        <v>505815.6462586</v>
      </c>
      <c r="AD27" s="112">
        <f t="shared" si="22"/>
        <v>0</v>
      </c>
      <c r="AE27" s="112">
        <f t="shared" si="22"/>
        <v>0</v>
      </c>
      <c r="AF27" s="112">
        <f t="shared" si="22"/>
        <v>9361.449612</v>
      </c>
      <c r="AG27" s="112">
        <f t="shared" si="22"/>
        <v>38718.293999999994</v>
      </c>
      <c r="AH27" s="112">
        <f t="shared" si="22"/>
        <v>13029.483576800001</v>
      </c>
      <c r="AI27" s="112">
        <f t="shared" si="22"/>
        <v>54286.79256934999</v>
      </c>
      <c r="AJ27" s="112">
        <f t="shared" si="22"/>
        <v>9771.622662482998</v>
      </c>
      <c r="AK27" s="112">
        <f t="shared" si="22"/>
        <v>54934.56403460598</v>
      </c>
      <c r="AL27" s="112">
        <f t="shared" si="22"/>
        <v>9888.221526229077</v>
      </c>
      <c r="AM27" s="112">
        <f t="shared" si="22"/>
        <v>120297.39968096468</v>
      </c>
      <c r="AN27" s="112">
        <f t="shared" si="22"/>
        <v>21653.531942573645</v>
      </c>
      <c r="AO27" s="112">
        <f t="shared" si="22"/>
        <v>0</v>
      </c>
      <c r="AP27" s="112">
        <f t="shared" si="22"/>
        <v>0</v>
      </c>
      <c r="AQ27" s="112">
        <f t="shared" si="22"/>
        <v>44987.333000000006</v>
      </c>
      <c r="AR27" s="112">
        <f t="shared" si="22"/>
        <v>8097.719939999999</v>
      </c>
      <c r="AS27" s="112">
        <f t="shared" si="22"/>
        <v>90341.5</v>
      </c>
      <c r="AT27" s="112">
        <f t="shared" si="22"/>
        <v>5136</v>
      </c>
      <c r="AU27" s="112">
        <f t="shared" si="22"/>
        <v>17185.949999999997</v>
      </c>
      <c r="AV27" s="112">
        <f t="shared" si="22"/>
        <v>0</v>
      </c>
      <c r="AW27" s="112">
        <f t="shared" si="22"/>
        <v>0</v>
      </c>
      <c r="AX27" s="112">
        <f t="shared" si="22"/>
        <v>12120.393600000001</v>
      </c>
      <c r="AY27" s="112">
        <f t="shared" si="22"/>
        <v>0</v>
      </c>
      <c r="AZ27" s="112">
        <f t="shared" si="22"/>
        <v>0</v>
      </c>
      <c r="BA27" s="112">
        <f t="shared" si="22"/>
        <v>0</v>
      </c>
      <c r="BB27" s="112">
        <f t="shared" si="22"/>
        <v>500448.80653300637</v>
      </c>
      <c r="BC27" s="112">
        <f>BC12+BC26</f>
        <v>3876.8227650890003</v>
      </c>
      <c r="BD27" s="112">
        <f>BD12+BD26</f>
        <v>10851.46657250465</v>
      </c>
      <c r="BE27" s="25">
        <f>BE12+BE26</f>
        <v>-58748.8</v>
      </c>
    </row>
    <row r="28" spans="1:57" ht="15" customHeight="1">
      <c r="A28" s="5" t="s">
        <v>82</v>
      </c>
      <c r="B28" s="13"/>
      <c r="C28" s="14"/>
      <c r="D28" s="14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59"/>
      <c r="P28" s="16"/>
      <c r="Q28" s="15"/>
      <c r="R28" s="15"/>
      <c r="S28" s="15"/>
      <c r="T28" s="15"/>
      <c r="U28" s="27"/>
      <c r="V28" s="27"/>
      <c r="W28" s="27"/>
      <c r="X28" s="27"/>
      <c r="Y28" s="27"/>
      <c r="Z28" s="27"/>
      <c r="AA28" s="17"/>
      <c r="AB28" s="17"/>
      <c r="AC28" s="98"/>
      <c r="AD28" s="99"/>
      <c r="AE28" s="99"/>
      <c r="AF28" s="99"/>
      <c r="AG28" s="18"/>
      <c r="AH28" s="18"/>
      <c r="AI28" s="18"/>
      <c r="AJ28" s="18"/>
      <c r="AK28" s="18"/>
      <c r="AL28" s="18"/>
      <c r="AM28" s="18"/>
      <c r="AN28" s="18"/>
      <c r="AO28" s="19"/>
      <c r="AP28" s="19"/>
      <c r="AQ28" s="19"/>
      <c r="AR28" s="19"/>
      <c r="AS28" s="64"/>
      <c r="AT28" s="64"/>
      <c r="AU28" s="28"/>
      <c r="AV28" s="18"/>
      <c r="AW28" s="18"/>
      <c r="AX28" s="19"/>
      <c r="AY28" s="19"/>
      <c r="AZ28" s="19"/>
      <c r="BA28" s="18"/>
      <c r="BB28" s="18"/>
      <c r="BC28" s="18"/>
      <c r="BD28" s="61"/>
      <c r="BE28" s="30"/>
    </row>
    <row r="29" spans="1:57" ht="12.75">
      <c r="A29" s="12" t="s">
        <v>43</v>
      </c>
      <c r="B29" s="83">
        <v>4418.62</v>
      </c>
      <c r="C29" s="109">
        <f aca="true" t="shared" si="23" ref="C29:C40">B29*8.65</f>
        <v>38221.063</v>
      </c>
      <c r="D29" s="107">
        <f aca="true" t="shared" si="24" ref="D29:D34">C29-E29-F29-G29-H29-I29-J29-K29-L29-M29-N29</f>
        <v>3667.372999999998</v>
      </c>
      <c r="E29" s="70">
        <v>3285.18</v>
      </c>
      <c r="F29" s="70">
        <v>703.51</v>
      </c>
      <c r="G29" s="70">
        <v>4448.29</v>
      </c>
      <c r="H29" s="70">
        <v>953.63</v>
      </c>
      <c r="I29" s="70">
        <v>10690.01</v>
      </c>
      <c r="J29" s="70">
        <v>2290.38</v>
      </c>
      <c r="K29" s="70">
        <v>7404.86</v>
      </c>
      <c r="L29" s="70">
        <v>1586.87</v>
      </c>
      <c r="M29" s="70">
        <v>2628.16</v>
      </c>
      <c r="N29" s="70">
        <v>562.8</v>
      </c>
      <c r="O29" s="70">
        <v>0</v>
      </c>
      <c r="P29" s="71">
        <v>0</v>
      </c>
      <c r="Q29" s="71"/>
      <c r="R29" s="71"/>
      <c r="S29" s="62">
        <f aca="true" t="shared" si="25" ref="S29:S40">E29+G29+I29+K29+M29+O29+Q29</f>
        <v>28456.5</v>
      </c>
      <c r="T29" s="86">
        <f aca="true" t="shared" si="26" ref="T29:T40">P29+N29+L29+J29+H29+F29+R29</f>
        <v>6097.1900000000005</v>
      </c>
      <c r="U29" s="62">
        <v>2220.28</v>
      </c>
      <c r="V29" s="62">
        <v>3006.38</v>
      </c>
      <c r="W29" s="62">
        <v>7224.93</v>
      </c>
      <c r="X29" s="62">
        <v>5004.56</v>
      </c>
      <c r="Y29" s="62">
        <v>1776.19</v>
      </c>
      <c r="Z29" s="67">
        <v>0</v>
      </c>
      <c r="AA29" s="67">
        <v>0</v>
      </c>
      <c r="AB29" s="67">
        <f>SUM(U29:AA29)</f>
        <v>19232.34</v>
      </c>
      <c r="AC29" s="95">
        <f aca="true" t="shared" si="27" ref="AC29:AC40">D29+T29+AB29</f>
        <v>28996.903</v>
      </c>
      <c r="AD29" s="89">
        <f aca="true" t="shared" si="28" ref="AD29:AD40">P29+Z29</f>
        <v>0</v>
      </c>
      <c r="AE29" s="89">
        <f aca="true" t="shared" si="29" ref="AE29:AE40">R29+AA29</f>
        <v>0</v>
      </c>
      <c r="AF29" s="89">
        <f>'[5]Т01-10'!$I$40+'[5]Т01-10'!$I$52</f>
        <v>1071.1154999999999</v>
      </c>
      <c r="AG29" s="29">
        <f aca="true" t="shared" si="30" ref="AG29:AG40">0.6*B29</f>
        <v>2651.172</v>
      </c>
      <c r="AH29" s="29">
        <f aca="true" t="shared" si="31" ref="AH29:AH40">B29*0.2</f>
        <v>883.724</v>
      </c>
      <c r="AI29" s="29">
        <f aca="true" t="shared" si="32" ref="AI29:AI40">1*B29</f>
        <v>4418.62</v>
      </c>
      <c r="AJ29" s="29">
        <v>0</v>
      </c>
      <c r="AK29" s="29">
        <f aca="true" t="shared" si="33" ref="AK29:AK40">0.98*B29</f>
        <v>4330.2476</v>
      </c>
      <c r="AL29" s="29">
        <v>0</v>
      </c>
      <c r="AM29" s="29">
        <f>2.25*B29</f>
        <v>9941.895</v>
      </c>
      <c r="AN29" s="29">
        <v>0</v>
      </c>
      <c r="AO29" s="29"/>
      <c r="AP29" s="29">
        <v>0</v>
      </c>
      <c r="AQ29" s="80"/>
      <c r="AR29" s="80"/>
      <c r="AS29" s="65">
        <v>0</v>
      </c>
      <c r="AT29" s="65"/>
      <c r="AU29" s="65">
        <f>AT29*0.18</f>
        <v>0</v>
      </c>
      <c r="AV29" s="90"/>
      <c r="AW29" s="91">
        <v>960</v>
      </c>
      <c r="AX29" s="29">
        <f aca="true" t="shared" si="34" ref="AX29:AX39">AW29*1.4</f>
        <v>1344</v>
      </c>
      <c r="AY29" s="92"/>
      <c r="AZ29" s="93"/>
      <c r="BA29" s="93">
        <f aca="true" t="shared" si="35" ref="BA29:BA40">AZ29*0.18</f>
        <v>0</v>
      </c>
      <c r="BB29" s="93">
        <f aca="true" t="shared" si="36" ref="BB29:BB40">SUM(AG29:BA29)-AV29-AW29</f>
        <v>23569.6586</v>
      </c>
      <c r="BC29" s="122">
        <f>'[5]Т03-10'!$M$41+'[5]Т03-10'!$M$53</f>
        <v>509.925</v>
      </c>
      <c r="BD29" s="61">
        <f>AC29+AF29-BB29-BC29</f>
        <v>5988.434899999999</v>
      </c>
      <c r="BE29" s="29">
        <f>AB29-S29</f>
        <v>-9224.16</v>
      </c>
    </row>
    <row r="30" spans="1:57" ht="12.75">
      <c r="A30" s="12" t="s">
        <v>44</v>
      </c>
      <c r="B30" s="100">
        <v>4418.62</v>
      </c>
      <c r="C30" s="109">
        <f t="shared" si="23"/>
        <v>38221.063</v>
      </c>
      <c r="D30" s="107">
        <f t="shared" si="24"/>
        <v>3642.2230000000104</v>
      </c>
      <c r="E30" s="79">
        <v>3293.38</v>
      </c>
      <c r="F30" s="70">
        <v>698.27</v>
      </c>
      <c r="G30" s="70">
        <v>4459.23</v>
      </c>
      <c r="H30" s="70">
        <v>946.53</v>
      </c>
      <c r="I30" s="70">
        <v>10716.54</v>
      </c>
      <c r="J30" s="70">
        <v>2273.32</v>
      </c>
      <c r="K30" s="70">
        <v>7423.19</v>
      </c>
      <c r="L30" s="70">
        <v>1575.06</v>
      </c>
      <c r="M30" s="70">
        <v>2634.71</v>
      </c>
      <c r="N30" s="70">
        <v>558.61</v>
      </c>
      <c r="O30" s="70">
        <v>0</v>
      </c>
      <c r="P30" s="71">
        <v>0</v>
      </c>
      <c r="Q30" s="67">
        <v>0</v>
      </c>
      <c r="R30" s="67">
        <v>0</v>
      </c>
      <c r="S30" s="62">
        <f t="shared" si="25"/>
        <v>28527.05</v>
      </c>
      <c r="T30" s="86">
        <f t="shared" si="26"/>
        <v>6051.789999999999</v>
      </c>
      <c r="U30" s="62">
        <v>3894.63</v>
      </c>
      <c r="V30" s="62">
        <v>5274.72</v>
      </c>
      <c r="W30" s="62">
        <v>12110.68</v>
      </c>
      <c r="X30" s="62">
        <v>8380.72</v>
      </c>
      <c r="Y30" s="62">
        <v>2973.85</v>
      </c>
      <c r="Z30" s="67">
        <v>0</v>
      </c>
      <c r="AA30" s="67">
        <v>0</v>
      </c>
      <c r="AB30" s="67">
        <f>SUM(U30:AA30)</f>
        <v>32634.6</v>
      </c>
      <c r="AC30" s="95">
        <f t="shared" si="27"/>
        <v>42328.61300000001</v>
      </c>
      <c r="AD30" s="89">
        <f t="shared" si="28"/>
        <v>0</v>
      </c>
      <c r="AE30" s="89">
        <f t="shared" si="29"/>
        <v>0</v>
      </c>
      <c r="AF30" s="89">
        <f>'[5]Т01-10'!$I$40+'[5]Т01-10'!$I$52</f>
        <v>1071.1154999999999</v>
      </c>
      <c r="AG30" s="29">
        <f t="shared" si="30"/>
        <v>2651.172</v>
      </c>
      <c r="AH30" s="29">
        <f t="shared" si="31"/>
        <v>883.724</v>
      </c>
      <c r="AI30" s="29">
        <f t="shared" si="32"/>
        <v>4418.62</v>
      </c>
      <c r="AJ30" s="29">
        <v>0</v>
      </c>
      <c r="AK30" s="29">
        <f t="shared" si="33"/>
        <v>4330.2476</v>
      </c>
      <c r="AL30" s="29">
        <v>0</v>
      </c>
      <c r="AM30" s="29">
        <f>2.25*B30</f>
        <v>9941.895</v>
      </c>
      <c r="AN30" s="29">
        <v>0</v>
      </c>
      <c r="AO30" s="29"/>
      <c r="AP30" s="29"/>
      <c r="AQ30" s="80"/>
      <c r="AR30" s="80"/>
      <c r="AS30" s="65">
        <v>9614</v>
      </c>
      <c r="AT30" s="65"/>
      <c r="AU30" s="65">
        <f>AT30*0.18</f>
        <v>0</v>
      </c>
      <c r="AV30" s="90"/>
      <c r="AW30" s="91">
        <v>998</v>
      </c>
      <c r="AX30" s="29">
        <f t="shared" si="34"/>
        <v>1397.1999999999998</v>
      </c>
      <c r="AY30" s="92"/>
      <c r="AZ30" s="93"/>
      <c r="BA30" s="93">
        <f t="shared" si="35"/>
        <v>0</v>
      </c>
      <c r="BB30" s="93">
        <f t="shared" si="36"/>
        <v>33236.85859999999</v>
      </c>
      <c r="BC30" s="122">
        <f>'[5]Т03-10'!$M$41+'[5]Т03-10'!$M$53</f>
        <v>509.925</v>
      </c>
      <c r="BD30" s="61">
        <f aca="true" t="shared" si="37" ref="BD30:BD40">AC30+AF30-BB30-BC30</f>
        <v>9652.94490000002</v>
      </c>
      <c r="BE30" s="29">
        <f aca="true" t="shared" si="38" ref="BE30:BE40">AB30-S30</f>
        <v>4107.549999999999</v>
      </c>
    </row>
    <row r="31" spans="1:57" ht="12.75">
      <c r="A31" s="12" t="s">
        <v>45</v>
      </c>
      <c r="B31" s="83">
        <v>4418.62</v>
      </c>
      <c r="C31" s="109">
        <f t="shared" si="23"/>
        <v>38221.063</v>
      </c>
      <c r="D31" s="107">
        <f t="shared" si="24"/>
        <v>3634.8130000000083</v>
      </c>
      <c r="E31" s="70">
        <v>3302.35</v>
      </c>
      <c r="F31" s="70">
        <v>690.17</v>
      </c>
      <c r="G31" s="70">
        <v>4471.35</v>
      </c>
      <c r="H31" s="70">
        <v>935.55</v>
      </c>
      <c r="I31" s="70">
        <v>10745.71</v>
      </c>
      <c r="J31" s="70">
        <v>2246.96</v>
      </c>
      <c r="K31" s="70">
        <v>7443.36</v>
      </c>
      <c r="L31" s="70">
        <v>1556.79</v>
      </c>
      <c r="M31" s="70">
        <v>2641.88</v>
      </c>
      <c r="N31" s="70">
        <v>552.13</v>
      </c>
      <c r="O31" s="70">
        <v>0</v>
      </c>
      <c r="P31" s="71">
        <v>0</v>
      </c>
      <c r="Q31" s="71">
        <v>0</v>
      </c>
      <c r="R31" s="71">
        <v>0</v>
      </c>
      <c r="S31" s="62">
        <f t="shared" si="25"/>
        <v>28604.65</v>
      </c>
      <c r="T31" s="86">
        <f t="shared" si="26"/>
        <v>5981.6</v>
      </c>
      <c r="U31" s="62">
        <v>3335.93</v>
      </c>
      <c r="V31" s="62">
        <v>4514.7</v>
      </c>
      <c r="W31" s="62">
        <v>11416.19</v>
      </c>
      <c r="X31" s="62">
        <v>7915.96</v>
      </c>
      <c r="Y31" s="62">
        <v>2810.62</v>
      </c>
      <c r="Z31" s="67">
        <v>0</v>
      </c>
      <c r="AA31" s="67">
        <v>0</v>
      </c>
      <c r="AB31" s="67">
        <f>SUM(U31:AA31)</f>
        <v>29993.399999999998</v>
      </c>
      <c r="AC31" s="95">
        <f t="shared" si="27"/>
        <v>39609.81300000001</v>
      </c>
      <c r="AD31" s="89">
        <f t="shared" si="28"/>
        <v>0</v>
      </c>
      <c r="AE31" s="89">
        <f t="shared" si="29"/>
        <v>0</v>
      </c>
      <c r="AF31" s="89">
        <f>'[5]Т01-10'!$I$40+'[5]Т01-10'!$I$52</f>
        <v>1071.1154999999999</v>
      </c>
      <c r="AG31" s="29">
        <f t="shared" si="30"/>
        <v>2651.172</v>
      </c>
      <c r="AH31" s="29">
        <f t="shared" si="31"/>
        <v>883.724</v>
      </c>
      <c r="AI31" s="29">
        <f t="shared" si="32"/>
        <v>4418.62</v>
      </c>
      <c r="AJ31" s="29">
        <v>0</v>
      </c>
      <c r="AK31" s="29">
        <f t="shared" si="33"/>
        <v>4330.2476</v>
      </c>
      <c r="AL31" s="29">
        <v>0</v>
      </c>
      <c r="AM31" s="29">
        <f>2.25*B31</f>
        <v>9941.895</v>
      </c>
      <c r="AN31" s="29">
        <v>0</v>
      </c>
      <c r="AO31" s="29"/>
      <c r="AP31" s="29"/>
      <c r="AQ31" s="80"/>
      <c r="AR31" s="80"/>
      <c r="AS31" s="65">
        <v>9808</v>
      </c>
      <c r="AT31" s="65"/>
      <c r="AU31" s="65">
        <f>AT31*0.18</f>
        <v>0</v>
      </c>
      <c r="AV31" s="90"/>
      <c r="AW31" s="91">
        <v>735</v>
      </c>
      <c r="AX31" s="29">
        <f t="shared" si="34"/>
        <v>1029</v>
      </c>
      <c r="AY31" s="92"/>
      <c r="AZ31" s="93"/>
      <c r="BA31" s="93">
        <f t="shared" si="35"/>
        <v>0</v>
      </c>
      <c r="BB31" s="93">
        <f t="shared" si="36"/>
        <v>33062.658599999995</v>
      </c>
      <c r="BC31" s="122">
        <f>'[5]Т03-10'!$M$41+'[5]Т03-10'!$M$53</f>
        <v>509.925</v>
      </c>
      <c r="BD31" s="61">
        <f t="shared" si="37"/>
        <v>7108.344900000014</v>
      </c>
      <c r="BE31" s="29">
        <f t="shared" si="38"/>
        <v>1388.7499999999964</v>
      </c>
    </row>
    <row r="32" spans="1:57" ht="12.75">
      <c r="A32" s="12" t="s">
        <v>46</v>
      </c>
      <c r="B32" s="83">
        <v>4418.62</v>
      </c>
      <c r="C32" s="109">
        <f t="shared" si="23"/>
        <v>38221.063</v>
      </c>
      <c r="D32" s="107">
        <f t="shared" si="24"/>
        <v>3661.623000000008</v>
      </c>
      <c r="E32" s="70">
        <v>3299.2</v>
      </c>
      <c r="F32" s="70">
        <v>690.17</v>
      </c>
      <c r="G32" s="70">
        <v>4467.24</v>
      </c>
      <c r="H32" s="70">
        <v>935.55</v>
      </c>
      <c r="I32" s="70">
        <v>10735.6</v>
      </c>
      <c r="J32" s="70">
        <v>2246.96</v>
      </c>
      <c r="K32" s="70">
        <v>7436.43</v>
      </c>
      <c r="L32" s="70">
        <v>1556.79</v>
      </c>
      <c r="M32" s="70">
        <v>2639.37</v>
      </c>
      <c r="N32" s="70">
        <v>552.13</v>
      </c>
      <c r="O32" s="70">
        <v>0</v>
      </c>
      <c r="P32" s="71">
        <v>0</v>
      </c>
      <c r="Q32" s="71"/>
      <c r="R32" s="71"/>
      <c r="S32" s="62">
        <f t="shared" si="25"/>
        <v>28577.84</v>
      </c>
      <c r="T32" s="86">
        <f t="shared" si="26"/>
        <v>5981.6</v>
      </c>
      <c r="U32" s="62">
        <v>2348.09</v>
      </c>
      <c r="V32" s="62">
        <v>3169.83</v>
      </c>
      <c r="W32" s="62">
        <v>7631.13</v>
      </c>
      <c r="X32" s="62">
        <v>5283.15</v>
      </c>
      <c r="Y32" s="62">
        <v>1878.45</v>
      </c>
      <c r="Z32" s="67">
        <v>0</v>
      </c>
      <c r="AA32" s="67">
        <v>0</v>
      </c>
      <c r="AB32" s="67">
        <f>SUM(U32:AA32)</f>
        <v>20310.649999999998</v>
      </c>
      <c r="AC32" s="95">
        <f t="shared" si="27"/>
        <v>29953.873000000007</v>
      </c>
      <c r="AD32" s="89">
        <f t="shared" si="28"/>
        <v>0</v>
      </c>
      <c r="AE32" s="89">
        <f t="shared" si="29"/>
        <v>0</v>
      </c>
      <c r="AF32" s="89">
        <f>'[6]Т04-10'!$I$41+'[6]Т04-10'!$I$53</f>
        <v>1071.1154999999999</v>
      </c>
      <c r="AG32" s="29">
        <f t="shared" si="30"/>
        <v>2651.172</v>
      </c>
      <c r="AH32" s="29">
        <f t="shared" si="31"/>
        <v>883.724</v>
      </c>
      <c r="AI32" s="29">
        <f t="shared" si="32"/>
        <v>4418.62</v>
      </c>
      <c r="AJ32" s="29">
        <v>0</v>
      </c>
      <c r="AK32" s="29">
        <f t="shared" si="33"/>
        <v>4330.2476</v>
      </c>
      <c r="AL32" s="29">
        <v>0</v>
      </c>
      <c r="AM32" s="29">
        <f>2.25*B32</f>
        <v>9941.895</v>
      </c>
      <c r="AN32" s="29">
        <v>0</v>
      </c>
      <c r="AO32" s="29"/>
      <c r="AP32" s="29"/>
      <c r="AQ32" s="80"/>
      <c r="AR32" s="80"/>
      <c r="AS32" s="65">
        <v>4188</v>
      </c>
      <c r="AT32" s="65"/>
      <c r="AU32" s="65">
        <f>AT32*0.18</f>
        <v>0</v>
      </c>
      <c r="AV32" s="90"/>
      <c r="AW32" s="91">
        <v>659</v>
      </c>
      <c r="AX32" s="29">
        <f t="shared" si="34"/>
        <v>922.5999999999999</v>
      </c>
      <c r="AY32" s="92"/>
      <c r="AZ32" s="93"/>
      <c r="BA32" s="93">
        <f t="shared" si="35"/>
        <v>0</v>
      </c>
      <c r="BB32" s="93">
        <f t="shared" si="36"/>
        <v>27336.258599999997</v>
      </c>
      <c r="BC32" s="122">
        <f>'[6]Т04-10'!$M$41+'[6]Т04-10'!$M$53</f>
        <v>509.925</v>
      </c>
      <c r="BD32" s="61">
        <f t="shared" si="37"/>
        <v>3178.804900000009</v>
      </c>
      <c r="BE32" s="29">
        <f t="shared" si="38"/>
        <v>-8267.190000000002</v>
      </c>
    </row>
    <row r="33" spans="1:57" ht="12.75">
      <c r="A33" s="12" t="s">
        <v>47</v>
      </c>
      <c r="B33" s="83">
        <v>4420.16</v>
      </c>
      <c r="C33" s="109">
        <f t="shared" si="23"/>
        <v>38234.384</v>
      </c>
      <c r="D33" s="107">
        <f t="shared" si="24"/>
        <v>3689.883999999996</v>
      </c>
      <c r="E33" s="70">
        <v>3282.69</v>
      </c>
      <c r="F33" s="70">
        <v>704.91</v>
      </c>
      <c r="G33" s="70">
        <v>4444.97</v>
      </c>
      <c r="H33" s="70">
        <v>955.53</v>
      </c>
      <c r="I33" s="70">
        <v>10681.99</v>
      </c>
      <c r="J33" s="70">
        <v>2294.98</v>
      </c>
      <c r="K33" s="70">
        <v>7399.28</v>
      </c>
      <c r="L33" s="70">
        <v>1590.05</v>
      </c>
      <c r="M33" s="70">
        <v>2626.17</v>
      </c>
      <c r="N33" s="70">
        <v>563.93</v>
      </c>
      <c r="O33" s="70">
        <v>0</v>
      </c>
      <c r="P33" s="71">
        <v>0</v>
      </c>
      <c r="Q33" s="71"/>
      <c r="R33" s="71"/>
      <c r="S33" s="62">
        <f t="shared" si="25"/>
        <v>28435.1</v>
      </c>
      <c r="T33" s="86">
        <f t="shared" si="26"/>
        <v>6109.4</v>
      </c>
      <c r="U33" s="113">
        <v>2762.09</v>
      </c>
      <c r="V33" s="113">
        <v>3740.67</v>
      </c>
      <c r="W33" s="113">
        <v>8988.87</v>
      </c>
      <c r="X33" s="113">
        <v>6227.11</v>
      </c>
      <c r="Y33" s="113">
        <v>2209.78</v>
      </c>
      <c r="Z33" s="114">
        <v>0</v>
      </c>
      <c r="AA33" s="114">
        <v>0</v>
      </c>
      <c r="AB33" s="67">
        <f aca="true" t="shared" si="39" ref="AB33:AB40">SUM(U33:AA33)</f>
        <v>23928.52</v>
      </c>
      <c r="AC33" s="95">
        <f t="shared" si="27"/>
        <v>33727.804</v>
      </c>
      <c r="AD33" s="89">
        <f t="shared" si="28"/>
        <v>0</v>
      </c>
      <c r="AE33" s="89">
        <f t="shared" si="29"/>
        <v>0</v>
      </c>
      <c r="AF33" s="89">
        <f>'[6]Т04-10'!$I$41+'[6]Т04-10'!$I$53</f>
        <v>1071.1154999999999</v>
      </c>
      <c r="AG33" s="29">
        <f t="shared" si="30"/>
        <v>2652.096</v>
      </c>
      <c r="AH33" s="29">
        <f t="shared" si="31"/>
        <v>884.032</v>
      </c>
      <c r="AI33" s="29">
        <f t="shared" si="32"/>
        <v>4420.16</v>
      </c>
      <c r="AJ33" s="29">
        <v>0</v>
      </c>
      <c r="AK33" s="29">
        <f t="shared" si="33"/>
        <v>4331.7568</v>
      </c>
      <c r="AL33" s="29">
        <v>0</v>
      </c>
      <c r="AM33" s="29">
        <f aca="true" t="shared" si="40" ref="AM33:AM40">2.25*B33</f>
        <v>9945.36</v>
      </c>
      <c r="AN33" s="29">
        <v>0</v>
      </c>
      <c r="AO33" s="29">
        <v>4914</v>
      </c>
      <c r="AP33" s="29"/>
      <c r="AQ33" s="80"/>
      <c r="AR33" s="80"/>
      <c r="AS33" s="65">
        <v>839</v>
      </c>
      <c r="AT33" s="65"/>
      <c r="AU33" s="65">
        <f>AT33*0.18</f>
        <v>0</v>
      </c>
      <c r="AV33" s="90"/>
      <c r="AW33" s="91">
        <v>493</v>
      </c>
      <c r="AX33" s="29">
        <f t="shared" si="34"/>
        <v>690.1999999999999</v>
      </c>
      <c r="AY33" s="92"/>
      <c r="AZ33" s="93"/>
      <c r="BA33" s="93">
        <f t="shared" si="35"/>
        <v>0</v>
      </c>
      <c r="BB33" s="93">
        <f t="shared" si="36"/>
        <v>28676.6048</v>
      </c>
      <c r="BC33" s="122">
        <f>'[6]Т04-10'!$M$41+'[6]Т04-10'!$M$53</f>
        <v>509.925</v>
      </c>
      <c r="BD33" s="61">
        <f t="shared" si="37"/>
        <v>5612.389699999995</v>
      </c>
      <c r="BE33" s="29">
        <f t="shared" si="38"/>
        <v>-4506.579999999998</v>
      </c>
    </row>
    <row r="34" spans="1:57" ht="12.75">
      <c r="A34" s="12" t="s">
        <v>48</v>
      </c>
      <c r="B34" s="185">
        <v>4420.16</v>
      </c>
      <c r="C34" s="109">
        <f t="shared" si="23"/>
        <v>38234.384</v>
      </c>
      <c r="D34" s="107">
        <f t="shared" si="24"/>
        <v>3703.6439999999934</v>
      </c>
      <c r="E34" s="141">
        <v>3281.09</v>
      </c>
      <c r="F34" s="141">
        <v>704.91</v>
      </c>
      <c r="G34" s="141">
        <v>4442.85</v>
      </c>
      <c r="H34" s="141">
        <v>955.53</v>
      </c>
      <c r="I34" s="141">
        <v>10676.82</v>
      </c>
      <c r="J34" s="141">
        <v>2294.98</v>
      </c>
      <c r="K34" s="141">
        <v>7395.72</v>
      </c>
      <c r="L34" s="141">
        <v>1590.05</v>
      </c>
      <c r="M34" s="141">
        <v>2624.86</v>
      </c>
      <c r="N34" s="141">
        <v>563.93</v>
      </c>
      <c r="O34" s="141">
        <v>0</v>
      </c>
      <c r="P34" s="142">
        <v>0</v>
      </c>
      <c r="Q34" s="141">
        <v>0</v>
      </c>
      <c r="R34" s="142">
        <v>0</v>
      </c>
      <c r="S34" s="143">
        <f t="shared" si="25"/>
        <v>28421.340000000004</v>
      </c>
      <c r="T34" s="144">
        <f t="shared" si="26"/>
        <v>6109.4</v>
      </c>
      <c r="U34" s="143">
        <v>2748.67</v>
      </c>
      <c r="V34" s="143">
        <v>3722.07</v>
      </c>
      <c r="W34" s="143">
        <v>8944.55</v>
      </c>
      <c r="X34" s="143">
        <v>6195.87</v>
      </c>
      <c r="Y34" s="143">
        <v>2198.93</v>
      </c>
      <c r="Z34" s="145">
        <v>0</v>
      </c>
      <c r="AA34" s="145">
        <v>0</v>
      </c>
      <c r="AB34" s="145">
        <f t="shared" si="39"/>
        <v>23810.09</v>
      </c>
      <c r="AC34" s="146">
        <f t="shared" si="27"/>
        <v>33623.13399999999</v>
      </c>
      <c r="AD34" s="147">
        <f t="shared" si="28"/>
        <v>0</v>
      </c>
      <c r="AE34" s="147">
        <f t="shared" si="29"/>
        <v>0</v>
      </c>
      <c r="AF34" s="147">
        <f>'[13]Т06-10'!$I$41+'[13]Т06-10'!$I$53</f>
        <v>1071.1154999999999</v>
      </c>
      <c r="AG34" s="148">
        <f t="shared" si="30"/>
        <v>2652.096</v>
      </c>
      <c r="AH34" s="148">
        <f t="shared" si="31"/>
        <v>884.032</v>
      </c>
      <c r="AI34" s="148">
        <f t="shared" si="32"/>
        <v>4420.16</v>
      </c>
      <c r="AJ34" s="148">
        <v>0</v>
      </c>
      <c r="AK34" s="148">
        <f t="shared" si="33"/>
        <v>4331.7568</v>
      </c>
      <c r="AL34" s="148">
        <v>0</v>
      </c>
      <c r="AM34" s="148">
        <f t="shared" si="40"/>
        <v>9945.36</v>
      </c>
      <c r="AN34" s="148">
        <v>0</v>
      </c>
      <c r="AO34" s="148"/>
      <c r="AP34" s="148"/>
      <c r="AQ34" s="149">
        <f>100</f>
        <v>100</v>
      </c>
      <c r="AR34" s="149"/>
      <c r="AS34" s="150">
        <v>4818</v>
      </c>
      <c r="AT34" s="150">
        <v>766.27</v>
      </c>
      <c r="AU34" s="150">
        <f>AT34*0</f>
        <v>0</v>
      </c>
      <c r="AV34" s="151"/>
      <c r="AW34" s="152">
        <v>385</v>
      </c>
      <c r="AX34" s="148">
        <f>AW34*1.4</f>
        <v>539</v>
      </c>
      <c r="AY34" s="92"/>
      <c r="AZ34" s="153"/>
      <c r="BA34" s="153">
        <f t="shared" si="35"/>
        <v>0</v>
      </c>
      <c r="BB34" s="153">
        <f t="shared" si="36"/>
        <v>28456.6748</v>
      </c>
      <c r="BC34" s="154">
        <f>'[14]Т06-10'!$M$41+'[14]Т06-10'!$M$53</f>
        <v>509.925</v>
      </c>
      <c r="BD34" s="61">
        <f t="shared" si="37"/>
        <v>5727.64969999999</v>
      </c>
      <c r="BE34" s="29">
        <f t="shared" si="38"/>
        <v>-4611.250000000004</v>
      </c>
    </row>
    <row r="35" spans="1:57" ht="12.75">
      <c r="A35" s="12" t="s">
        <v>49</v>
      </c>
      <c r="B35" s="83">
        <v>4420.16</v>
      </c>
      <c r="C35" s="109">
        <f t="shared" si="23"/>
        <v>38234.384</v>
      </c>
      <c r="D35" s="107">
        <f aca="true" t="shared" si="41" ref="D35:D40">C35-E35-F35-G35-H35-I35-J35-K35-L35-M35-N35</f>
        <v>3733.0740000000014</v>
      </c>
      <c r="E35" s="79">
        <v>3989.42</v>
      </c>
      <c r="F35" s="70">
        <v>0</v>
      </c>
      <c r="G35" s="70">
        <v>5402.87</v>
      </c>
      <c r="H35" s="70">
        <v>0</v>
      </c>
      <c r="I35" s="70">
        <v>12924.17</v>
      </c>
      <c r="J35" s="70">
        <v>0</v>
      </c>
      <c r="K35" s="70">
        <v>8993.31</v>
      </c>
      <c r="L35" s="70">
        <v>0</v>
      </c>
      <c r="M35" s="70">
        <v>3191.54</v>
      </c>
      <c r="N35" s="70">
        <v>0</v>
      </c>
      <c r="O35" s="70">
        <v>0</v>
      </c>
      <c r="P35" s="71">
        <v>0</v>
      </c>
      <c r="Q35" s="71"/>
      <c r="R35" s="71"/>
      <c r="S35" s="62">
        <f t="shared" si="25"/>
        <v>34501.31</v>
      </c>
      <c r="T35" s="86">
        <f t="shared" si="26"/>
        <v>0</v>
      </c>
      <c r="U35" s="66">
        <v>4483.53</v>
      </c>
      <c r="V35" s="62">
        <v>6071.33</v>
      </c>
      <c r="W35" s="62">
        <v>14562.37</v>
      </c>
      <c r="X35" s="62">
        <v>10106.15</v>
      </c>
      <c r="Y35" s="62">
        <v>3586.73</v>
      </c>
      <c r="Z35" s="67">
        <v>0</v>
      </c>
      <c r="AA35" s="67">
        <v>0</v>
      </c>
      <c r="AB35" s="67">
        <f t="shared" si="39"/>
        <v>38810.11000000001</v>
      </c>
      <c r="AC35" s="95">
        <f t="shared" si="27"/>
        <v>42543.18400000001</v>
      </c>
      <c r="AD35" s="89">
        <f t="shared" si="28"/>
        <v>0</v>
      </c>
      <c r="AE35" s="89">
        <f t="shared" si="29"/>
        <v>0</v>
      </c>
      <c r="AF35" s="89">
        <f>'[7]Т07-10'!$I$41+'[7]Т07-10'!$I$53</f>
        <v>1071.1154999999999</v>
      </c>
      <c r="AG35" s="29">
        <f t="shared" si="30"/>
        <v>2652.096</v>
      </c>
      <c r="AH35" s="29">
        <f t="shared" si="31"/>
        <v>884.032</v>
      </c>
      <c r="AI35" s="29">
        <f t="shared" si="32"/>
        <v>4420.16</v>
      </c>
      <c r="AJ35" s="29">
        <v>0</v>
      </c>
      <c r="AK35" s="29">
        <f t="shared" si="33"/>
        <v>4331.7568</v>
      </c>
      <c r="AL35" s="29">
        <v>0</v>
      </c>
      <c r="AM35" s="29">
        <f t="shared" si="40"/>
        <v>9945.36</v>
      </c>
      <c r="AN35" s="29">
        <v>0</v>
      </c>
      <c r="AO35" s="29"/>
      <c r="AP35" s="29"/>
      <c r="AQ35" s="80"/>
      <c r="AR35" s="80"/>
      <c r="AS35" s="65"/>
      <c r="AT35" s="65">
        <f>12000</f>
        <v>12000</v>
      </c>
      <c r="AU35" s="65">
        <f>0*0.18</f>
        <v>0</v>
      </c>
      <c r="AV35" s="90"/>
      <c r="AW35" s="91">
        <v>458</v>
      </c>
      <c r="AX35" s="29">
        <f t="shared" si="34"/>
        <v>641.1999999999999</v>
      </c>
      <c r="AY35" s="92"/>
      <c r="AZ35" s="93"/>
      <c r="BA35" s="93">
        <f t="shared" si="35"/>
        <v>0</v>
      </c>
      <c r="BB35" s="93">
        <f t="shared" si="36"/>
        <v>34874.6048</v>
      </c>
      <c r="BC35" s="122">
        <f>'[6]Т06-10'!$M$41+'[6]Т06-10'!$M$53</f>
        <v>509.925</v>
      </c>
      <c r="BD35" s="61">
        <f t="shared" si="37"/>
        <v>8229.769700000008</v>
      </c>
      <c r="BE35" s="29">
        <f t="shared" si="38"/>
        <v>4308.80000000001</v>
      </c>
    </row>
    <row r="36" spans="1:57" ht="12.75">
      <c r="A36" s="12" t="s">
        <v>50</v>
      </c>
      <c r="B36" s="83">
        <v>4420.16</v>
      </c>
      <c r="C36" s="109">
        <f t="shared" si="23"/>
        <v>38234.384</v>
      </c>
      <c r="D36" s="107">
        <f t="shared" si="41"/>
        <v>3725.533999999996</v>
      </c>
      <c r="E36" s="79">
        <v>3990.29</v>
      </c>
      <c r="F36" s="70">
        <v>0</v>
      </c>
      <c r="G36" s="70">
        <v>5404.02</v>
      </c>
      <c r="H36" s="70">
        <v>0</v>
      </c>
      <c r="I36" s="70">
        <v>12927.01</v>
      </c>
      <c r="J36" s="70">
        <v>0</v>
      </c>
      <c r="K36" s="70">
        <v>8995.29</v>
      </c>
      <c r="L36" s="70">
        <v>0</v>
      </c>
      <c r="M36" s="70">
        <v>3192.24</v>
      </c>
      <c r="N36" s="70">
        <v>0</v>
      </c>
      <c r="O36" s="70">
        <v>0</v>
      </c>
      <c r="P36" s="71">
        <v>0</v>
      </c>
      <c r="Q36" s="71"/>
      <c r="R36" s="71"/>
      <c r="S36" s="62">
        <f t="shared" si="25"/>
        <v>34508.85</v>
      </c>
      <c r="T36" s="86">
        <f t="shared" si="26"/>
        <v>0</v>
      </c>
      <c r="U36" s="113">
        <v>3418.81</v>
      </c>
      <c r="V36" s="113">
        <v>4630.13</v>
      </c>
      <c r="W36" s="113">
        <v>11084.21</v>
      </c>
      <c r="X36" s="113">
        <v>7707.07</v>
      </c>
      <c r="Y36" s="113">
        <v>2735</v>
      </c>
      <c r="Z36" s="114">
        <v>0</v>
      </c>
      <c r="AA36" s="114">
        <v>0</v>
      </c>
      <c r="AB36" s="67">
        <f t="shared" si="39"/>
        <v>29575.22</v>
      </c>
      <c r="AC36" s="95">
        <f t="shared" si="27"/>
        <v>33300.754</v>
      </c>
      <c r="AD36" s="89">
        <f t="shared" si="28"/>
        <v>0</v>
      </c>
      <c r="AE36" s="89">
        <f t="shared" si="29"/>
        <v>0</v>
      </c>
      <c r="AF36" s="89">
        <f>'[7]Т07-10'!$I$41+'[7]Т07-10'!$I$53</f>
        <v>1071.1154999999999</v>
      </c>
      <c r="AG36" s="29">
        <f t="shared" si="30"/>
        <v>2652.096</v>
      </c>
      <c r="AH36" s="29">
        <f t="shared" si="31"/>
        <v>884.032</v>
      </c>
      <c r="AI36" s="29">
        <f t="shared" si="32"/>
        <v>4420.16</v>
      </c>
      <c r="AJ36" s="29">
        <v>0</v>
      </c>
      <c r="AK36" s="29">
        <f t="shared" si="33"/>
        <v>4331.7568</v>
      </c>
      <c r="AL36" s="29">
        <v>0</v>
      </c>
      <c r="AM36" s="29">
        <f t="shared" si="40"/>
        <v>9945.36</v>
      </c>
      <c r="AN36" s="29">
        <v>0</v>
      </c>
      <c r="AO36" s="29"/>
      <c r="AP36" s="29"/>
      <c r="AQ36" s="80"/>
      <c r="AR36" s="80"/>
      <c r="AS36" s="65">
        <v>1988</v>
      </c>
      <c r="AT36" s="65">
        <f>10000+47.8+54</f>
        <v>10101.8</v>
      </c>
      <c r="AU36" s="65">
        <v>0</v>
      </c>
      <c r="AV36" s="90"/>
      <c r="AW36" s="91">
        <v>523</v>
      </c>
      <c r="AX36" s="29">
        <f t="shared" si="34"/>
        <v>732.1999999999999</v>
      </c>
      <c r="AY36" s="92"/>
      <c r="AZ36" s="93"/>
      <c r="BA36" s="93">
        <f t="shared" si="35"/>
        <v>0</v>
      </c>
      <c r="BB36" s="93">
        <f t="shared" si="36"/>
        <v>35055.4048</v>
      </c>
      <c r="BC36" s="122">
        <f>'[6]Т06-10'!$M$41+'[6]Т06-10'!$M$53</f>
        <v>509.925</v>
      </c>
      <c r="BD36" s="61">
        <f t="shared" si="37"/>
        <v>-1193.4602999999959</v>
      </c>
      <c r="BE36" s="29">
        <f t="shared" si="38"/>
        <v>-4933.629999999997</v>
      </c>
    </row>
    <row r="37" spans="1:57" ht="12.75">
      <c r="A37" s="12" t="s">
        <v>51</v>
      </c>
      <c r="B37" s="83">
        <v>4420.16</v>
      </c>
      <c r="C37" s="109">
        <f t="shared" si="23"/>
        <v>38234.384</v>
      </c>
      <c r="D37" s="107">
        <f t="shared" si="41"/>
        <v>3721.0840000000007</v>
      </c>
      <c r="E37" s="70">
        <v>3990.81</v>
      </c>
      <c r="F37" s="70">
        <v>0</v>
      </c>
      <c r="G37" s="70">
        <v>5404.69</v>
      </c>
      <c r="H37" s="70">
        <v>0</v>
      </c>
      <c r="I37" s="70">
        <v>12928.69</v>
      </c>
      <c r="J37" s="70">
        <v>0</v>
      </c>
      <c r="K37" s="70">
        <v>8996.45</v>
      </c>
      <c r="L37" s="70">
        <v>0</v>
      </c>
      <c r="M37" s="70">
        <v>3192.66</v>
      </c>
      <c r="N37" s="70">
        <v>0</v>
      </c>
      <c r="O37" s="70">
        <v>0</v>
      </c>
      <c r="P37" s="71">
        <v>0</v>
      </c>
      <c r="Q37" s="71"/>
      <c r="R37" s="71"/>
      <c r="S37" s="62">
        <f t="shared" si="25"/>
        <v>34513.3</v>
      </c>
      <c r="T37" s="86">
        <f t="shared" si="26"/>
        <v>0</v>
      </c>
      <c r="U37" s="62">
        <v>4103.79</v>
      </c>
      <c r="V37" s="62">
        <v>5557.76</v>
      </c>
      <c r="W37" s="62">
        <v>12801.72</v>
      </c>
      <c r="X37" s="62">
        <v>8751.11</v>
      </c>
      <c r="Y37" s="62">
        <v>3282.59</v>
      </c>
      <c r="Z37" s="67">
        <v>0</v>
      </c>
      <c r="AA37" s="67">
        <v>0</v>
      </c>
      <c r="AB37" s="67">
        <f t="shared" si="39"/>
        <v>34496.97</v>
      </c>
      <c r="AC37" s="95">
        <f t="shared" si="27"/>
        <v>38218.054000000004</v>
      </c>
      <c r="AD37" s="89">
        <f t="shared" si="28"/>
        <v>0</v>
      </c>
      <c r="AE37" s="89">
        <f t="shared" si="29"/>
        <v>0</v>
      </c>
      <c r="AF37" s="89">
        <f>'[7]Т07-10'!$I$41+'[7]Т07-10'!$I$53</f>
        <v>1071.1154999999999</v>
      </c>
      <c r="AG37" s="29">
        <f t="shared" si="30"/>
        <v>2652.096</v>
      </c>
      <c r="AH37" s="29">
        <f t="shared" si="31"/>
        <v>884.032</v>
      </c>
      <c r="AI37" s="29">
        <f t="shared" si="32"/>
        <v>4420.16</v>
      </c>
      <c r="AJ37" s="29">
        <v>0</v>
      </c>
      <c r="AK37" s="29">
        <f t="shared" si="33"/>
        <v>4331.7568</v>
      </c>
      <c r="AL37" s="29">
        <v>0</v>
      </c>
      <c r="AM37" s="29">
        <f t="shared" si="40"/>
        <v>9945.36</v>
      </c>
      <c r="AN37" s="29">
        <v>0</v>
      </c>
      <c r="AO37" s="29"/>
      <c r="AP37" s="29"/>
      <c r="AQ37" s="80"/>
      <c r="AR37" s="80"/>
      <c r="AS37" s="65">
        <v>4391</v>
      </c>
      <c r="AT37" s="65">
        <f>21702+2827.62</f>
        <v>24529.62</v>
      </c>
      <c r="AU37" s="128">
        <v>508.97</v>
      </c>
      <c r="AV37" s="90"/>
      <c r="AW37" s="91">
        <v>667</v>
      </c>
      <c r="AX37" s="29">
        <f t="shared" si="34"/>
        <v>933.8</v>
      </c>
      <c r="AY37" s="92"/>
      <c r="AZ37" s="93"/>
      <c r="BA37" s="93">
        <f t="shared" si="35"/>
        <v>0</v>
      </c>
      <c r="BB37" s="93">
        <f t="shared" si="36"/>
        <v>52596.7948</v>
      </c>
      <c r="BC37" s="122">
        <f>'[6]Т06-10'!$M$41+'[6]Т06-10'!$M$53</f>
        <v>509.925</v>
      </c>
      <c r="BD37" s="61">
        <f t="shared" si="37"/>
        <v>-13817.550299999999</v>
      </c>
      <c r="BE37" s="29">
        <f t="shared" si="38"/>
        <v>-16.330000000001746</v>
      </c>
    </row>
    <row r="38" spans="1:57" ht="12.75">
      <c r="A38" s="30" t="s">
        <v>39</v>
      </c>
      <c r="B38" s="83">
        <v>4420.16</v>
      </c>
      <c r="C38" s="109">
        <f t="shared" si="23"/>
        <v>38234.384</v>
      </c>
      <c r="D38" s="107">
        <f t="shared" si="41"/>
        <v>3718.413999999999</v>
      </c>
      <c r="E38" s="72">
        <v>3991.14</v>
      </c>
      <c r="F38" s="72">
        <v>0</v>
      </c>
      <c r="G38" s="72">
        <v>5405.11</v>
      </c>
      <c r="H38" s="72">
        <v>0</v>
      </c>
      <c r="I38" s="72">
        <v>12929.67</v>
      </c>
      <c r="J38" s="72">
        <v>0</v>
      </c>
      <c r="K38" s="72">
        <v>8997.14</v>
      </c>
      <c r="L38" s="72">
        <v>0</v>
      </c>
      <c r="M38" s="72">
        <v>3192.91</v>
      </c>
      <c r="N38" s="72">
        <v>0</v>
      </c>
      <c r="O38" s="72">
        <v>0</v>
      </c>
      <c r="P38" s="73">
        <v>0</v>
      </c>
      <c r="Q38" s="73"/>
      <c r="R38" s="73"/>
      <c r="S38" s="62">
        <f t="shared" si="25"/>
        <v>34515.97</v>
      </c>
      <c r="T38" s="86">
        <f t="shared" si="26"/>
        <v>0</v>
      </c>
      <c r="U38" s="62">
        <v>3675.08</v>
      </c>
      <c r="V38" s="62">
        <v>4977.25</v>
      </c>
      <c r="W38" s="62">
        <v>11906.33</v>
      </c>
      <c r="X38" s="62">
        <v>8284.79</v>
      </c>
      <c r="Y38" s="62">
        <v>2939.99</v>
      </c>
      <c r="Z38" s="67">
        <v>0</v>
      </c>
      <c r="AA38" s="67">
        <v>0</v>
      </c>
      <c r="AB38" s="67">
        <f t="shared" si="39"/>
        <v>31783.440000000002</v>
      </c>
      <c r="AC38" s="95">
        <f t="shared" si="27"/>
        <v>35501.854</v>
      </c>
      <c r="AD38" s="89">
        <f t="shared" si="28"/>
        <v>0</v>
      </c>
      <c r="AE38" s="89">
        <f t="shared" si="29"/>
        <v>0</v>
      </c>
      <c r="AF38" s="89">
        <f>'[7]Т10-10'!$I$41+'[7]Т10-10'!$I$53+150</f>
        <v>1221.1154999999999</v>
      </c>
      <c r="AG38" s="29">
        <f t="shared" si="30"/>
        <v>2652.096</v>
      </c>
      <c r="AH38" s="29">
        <f t="shared" si="31"/>
        <v>884.032</v>
      </c>
      <c r="AI38" s="29">
        <f t="shared" si="32"/>
        <v>4420.16</v>
      </c>
      <c r="AJ38" s="29">
        <v>0</v>
      </c>
      <c r="AK38" s="29">
        <f t="shared" si="33"/>
        <v>4331.7568</v>
      </c>
      <c r="AL38" s="29">
        <v>0</v>
      </c>
      <c r="AM38" s="29">
        <f t="shared" si="40"/>
        <v>9945.36</v>
      </c>
      <c r="AN38" s="29">
        <v>0</v>
      </c>
      <c r="AO38" s="29"/>
      <c r="AP38" s="29"/>
      <c r="AQ38" s="80"/>
      <c r="AR38" s="80"/>
      <c r="AS38" s="65">
        <v>21847</v>
      </c>
      <c r="AT38" s="65">
        <v>12000</v>
      </c>
      <c r="AU38" s="65">
        <f>0*0.18</f>
        <v>0</v>
      </c>
      <c r="AV38" s="90"/>
      <c r="AW38" s="91">
        <v>593</v>
      </c>
      <c r="AX38" s="29">
        <f t="shared" si="34"/>
        <v>830.1999999999999</v>
      </c>
      <c r="AY38" s="92"/>
      <c r="AZ38" s="93"/>
      <c r="BA38" s="93">
        <f t="shared" si="35"/>
        <v>0</v>
      </c>
      <c r="BB38" s="93">
        <f t="shared" si="36"/>
        <v>56910.6048</v>
      </c>
      <c r="BC38" s="122">
        <f>'[7]Т10-10'!$M$41+'[7]Т10-10'!$M$53+37.5</f>
        <v>547.425</v>
      </c>
      <c r="BD38" s="61">
        <f t="shared" si="37"/>
        <v>-20735.0603</v>
      </c>
      <c r="BE38" s="29">
        <f t="shared" si="38"/>
        <v>-2732.529999999999</v>
      </c>
    </row>
    <row r="39" spans="1:57" ht="12.75">
      <c r="A39" s="12" t="s">
        <v>40</v>
      </c>
      <c r="B39" s="83">
        <v>4420.16</v>
      </c>
      <c r="C39" s="109">
        <f t="shared" si="23"/>
        <v>38234.384</v>
      </c>
      <c r="D39" s="107">
        <f t="shared" si="41"/>
        <v>3716.1139999999973</v>
      </c>
      <c r="E39" s="70">
        <v>3991.4</v>
      </c>
      <c r="F39" s="70">
        <v>0</v>
      </c>
      <c r="G39" s="70">
        <v>5405.45</v>
      </c>
      <c r="H39" s="70">
        <v>0</v>
      </c>
      <c r="I39" s="70">
        <v>12930.56</v>
      </c>
      <c r="J39" s="70">
        <v>0</v>
      </c>
      <c r="K39" s="70">
        <v>8997.72</v>
      </c>
      <c r="L39" s="70">
        <v>0</v>
      </c>
      <c r="M39" s="70">
        <v>3193.14</v>
      </c>
      <c r="N39" s="70">
        <v>0</v>
      </c>
      <c r="O39" s="70">
        <v>0</v>
      </c>
      <c r="P39" s="71">
        <v>0</v>
      </c>
      <c r="Q39" s="71"/>
      <c r="R39" s="71"/>
      <c r="S39" s="62">
        <f t="shared" si="25"/>
        <v>34518.27</v>
      </c>
      <c r="T39" s="86">
        <f t="shared" si="26"/>
        <v>0</v>
      </c>
      <c r="U39" s="66">
        <v>3580.15</v>
      </c>
      <c r="V39" s="62">
        <v>4848.21</v>
      </c>
      <c r="W39" s="62">
        <v>11591.98</v>
      </c>
      <c r="X39" s="62">
        <v>8070.61</v>
      </c>
      <c r="Y39" s="62">
        <v>2864.79</v>
      </c>
      <c r="Z39" s="67">
        <v>0</v>
      </c>
      <c r="AA39" s="67">
        <v>0</v>
      </c>
      <c r="AB39" s="67">
        <f t="shared" si="39"/>
        <v>30955.74</v>
      </c>
      <c r="AC39" s="95">
        <f t="shared" si="27"/>
        <v>34671.854</v>
      </c>
      <c r="AD39" s="89">
        <f t="shared" si="28"/>
        <v>0</v>
      </c>
      <c r="AE39" s="89">
        <f t="shared" si="29"/>
        <v>0</v>
      </c>
      <c r="AF39" s="89">
        <f>'[7]Т10-10'!$I$41+'[7]Т10-10'!$I$53+150</f>
        <v>1221.1154999999999</v>
      </c>
      <c r="AG39" s="29">
        <f t="shared" si="30"/>
        <v>2652.096</v>
      </c>
      <c r="AH39" s="29">
        <f t="shared" si="31"/>
        <v>884.032</v>
      </c>
      <c r="AI39" s="29">
        <f t="shared" si="32"/>
        <v>4420.16</v>
      </c>
      <c r="AJ39" s="29">
        <v>0</v>
      </c>
      <c r="AK39" s="29">
        <f t="shared" si="33"/>
        <v>4331.7568</v>
      </c>
      <c r="AL39" s="29">
        <v>0</v>
      </c>
      <c r="AM39" s="29">
        <f t="shared" si="40"/>
        <v>9945.36</v>
      </c>
      <c r="AN39" s="29">
        <v>0</v>
      </c>
      <c r="AO39" s="29"/>
      <c r="AP39" s="29"/>
      <c r="AQ39" s="80"/>
      <c r="AR39" s="80"/>
      <c r="AS39" s="65"/>
      <c r="AT39" s="65"/>
      <c r="AU39" s="65">
        <f>0*0.18</f>
        <v>0</v>
      </c>
      <c r="AV39" s="90"/>
      <c r="AW39" s="91">
        <v>860</v>
      </c>
      <c r="AX39" s="29">
        <f t="shared" si="34"/>
        <v>1204</v>
      </c>
      <c r="AY39" s="92"/>
      <c r="AZ39" s="93"/>
      <c r="BA39" s="93">
        <f t="shared" si="35"/>
        <v>0</v>
      </c>
      <c r="BB39" s="93">
        <f t="shared" si="36"/>
        <v>23437.4048</v>
      </c>
      <c r="BC39" s="122">
        <f>'[7]Т10-10'!$M$41+'[7]Т10-10'!$M$53+37.5</f>
        <v>547.425</v>
      </c>
      <c r="BD39" s="61">
        <f t="shared" si="37"/>
        <v>11908.1397</v>
      </c>
      <c r="BE39" s="29">
        <f t="shared" si="38"/>
        <v>-3562.529999999995</v>
      </c>
    </row>
    <row r="40" spans="1:57" ht="13.5" thickBot="1">
      <c r="A40" s="46" t="s">
        <v>41</v>
      </c>
      <c r="B40" s="140">
        <v>4418.66</v>
      </c>
      <c r="C40" s="109">
        <f t="shared" si="23"/>
        <v>38221.409</v>
      </c>
      <c r="D40" s="107">
        <f t="shared" si="41"/>
        <v>3706.029000000001</v>
      </c>
      <c r="E40" s="141">
        <v>3991.06</v>
      </c>
      <c r="F40" s="141">
        <v>0</v>
      </c>
      <c r="G40" s="141">
        <v>5405.01</v>
      </c>
      <c r="H40" s="141">
        <v>0</v>
      </c>
      <c r="I40" s="141">
        <v>12929.47</v>
      </c>
      <c r="J40" s="141">
        <v>0</v>
      </c>
      <c r="K40" s="141">
        <v>8996.98</v>
      </c>
      <c r="L40" s="141">
        <v>0</v>
      </c>
      <c r="M40" s="141">
        <v>3192.86</v>
      </c>
      <c r="N40" s="141">
        <v>0</v>
      </c>
      <c r="O40" s="141">
        <v>0</v>
      </c>
      <c r="P40" s="142">
        <v>0</v>
      </c>
      <c r="Q40" s="142"/>
      <c r="R40" s="142"/>
      <c r="S40" s="143">
        <f t="shared" si="25"/>
        <v>34515.38</v>
      </c>
      <c r="T40" s="144">
        <f t="shared" si="26"/>
        <v>0</v>
      </c>
      <c r="U40" s="143">
        <v>3905.54</v>
      </c>
      <c r="V40" s="143">
        <v>5288.76</v>
      </c>
      <c r="W40" s="143">
        <v>12650.85</v>
      </c>
      <c r="X40" s="143">
        <v>8803.62</v>
      </c>
      <c r="Y40" s="143">
        <v>3124.46</v>
      </c>
      <c r="Z40" s="145">
        <v>0</v>
      </c>
      <c r="AA40" s="145">
        <v>0</v>
      </c>
      <c r="AB40" s="145">
        <f t="shared" si="39"/>
        <v>33773.23</v>
      </c>
      <c r="AC40" s="146">
        <f t="shared" si="27"/>
        <v>37479.259000000005</v>
      </c>
      <c r="AD40" s="147">
        <f t="shared" si="28"/>
        <v>0</v>
      </c>
      <c r="AE40" s="147">
        <f t="shared" si="29"/>
        <v>0</v>
      </c>
      <c r="AF40" s="147">
        <f>'[8]Т10-10'!$I$41+'[8]Т10-10'!$I$53+150</f>
        <v>1221.1154999999999</v>
      </c>
      <c r="AG40" s="148">
        <f t="shared" si="30"/>
        <v>2651.196</v>
      </c>
      <c r="AH40" s="148">
        <f t="shared" si="31"/>
        <v>883.732</v>
      </c>
      <c r="AI40" s="148">
        <f t="shared" si="32"/>
        <v>4418.66</v>
      </c>
      <c r="AJ40" s="148">
        <v>0</v>
      </c>
      <c r="AK40" s="148">
        <f t="shared" si="33"/>
        <v>4330.2868</v>
      </c>
      <c r="AL40" s="148">
        <v>0</v>
      </c>
      <c r="AM40" s="148">
        <f t="shared" si="40"/>
        <v>9941.985</v>
      </c>
      <c r="AN40" s="148">
        <v>0</v>
      </c>
      <c r="AO40" s="148"/>
      <c r="AP40" s="148"/>
      <c r="AQ40" s="149"/>
      <c r="AR40" s="149"/>
      <c r="AS40" s="150"/>
      <c r="AT40" s="150">
        <f>147.46+27230.58+9806.72</f>
        <v>37184.76</v>
      </c>
      <c r="AU40" s="150">
        <f>AT40*0.18</f>
        <v>6693.2568</v>
      </c>
      <c r="AV40" s="151"/>
      <c r="AW40" s="152">
        <v>1635</v>
      </c>
      <c r="AX40" s="148">
        <f>AW40*1.4</f>
        <v>2289</v>
      </c>
      <c r="AY40" s="92"/>
      <c r="AZ40" s="153"/>
      <c r="BA40" s="153">
        <f t="shared" si="35"/>
        <v>0</v>
      </c>
      <c r="BB40" s="153">
        <f t="shared" si="36"/>
        <v>68392.8766</v>
      </c>
      <c r="BC40" s="154">
        <f>'[8]Т10-10'!$M$41+'[8]Т10-10'!$M$53+37.5</f>
        <v>547.425</v>
      </c>
      <c r="BD40" s="61">
        <f t="shared" si="37"/>
        <v>-30239.927099999997</v>
      </c>
      <c r="BE40" s="29">
        <f t="shared" si="38"/>
        <v>-742.1499999999942</v>
      </c>
    </row>
    <row r="41" spans="1:57" s="26" customFormat="1" ht="13.5" thickBot="1">
      <c r="A41" s="131" t="s">
        <v>5</v>
      </c>
      <c r="B41" s="132"/>
      <c r="C41" s="132">
        <f aca="true" t="shared" si="42" ref="C41:AE41">SUM(C29:C40)</f>
        <v>458746.34900000005</v>
      </c>
      <c r="D41" s="132">
        <f t="shared" si="42"/>
        <v>44319.809</v>
      </c>
      <c r="E41" s="133">
        <f t="shared" si="42"/>
        <v>43688.01</v>
      </c>
      <c r="F41" s="133">
        <f t="shared" si="42"/>
        <v>4191.94</v>
      </c>
      <c r="G41" s="133">
        <f t="shared" si="42"/>
        <v>59161.08</v>
      </c>
      <c r="H41" s="133">
        <f t="shared" si="42"/>
        <v>5682.32</v>
      </c>
      <c r="I41" s="133">
        <f t="shared" si="42"/>
        <v>141816.24</v>
      </c>
      <c r="J41" s="133">
        <f t="shared" si="42"/>
        <v>13647.58</v>
      </c>
      <c r="K41" s="133">
        <f t="shared" si="42"/>
        <v>98479.73</v>
      </c>
      <c r="L41" s="133">
        <f t="shared" si="42"/>
        <v>9455.609999999999</v>
      </c>
      <c r="M41" s="133">
        <f t="shared" si="42"/>
        <v>34950.5</v>
      </c>
      <c r="N41" s="133">
        <f t="shared" si="42"/>
        <v>3353.5299999999997</v>
      </c>
      <c r="O41" s="133">
        <f t="shared" si="42"/>
        <v>0</v>
      </c>
      <c r="P41" s="133">
        <f t="shared" si="42"/>
        <v>0</v>
      </c>
      <c r="Q41" s="133">
        <f t="shared" si="42"/>
        <v>0</v>
      </c>
      <c r="R41" s="133">
        <f t="shared" si="42"/>
        <v>0</v>
      </c>
      <c r="S41" s="133">
        <f t="shared" si="42"/>
        <v>378095.56000000006</v>
      </c>
      <c r="T41" s="133">
        <f t="shared" si="42"/>
        <v>36330.98</v>
      </c>
      <c r="U41" s="134">
        <f t="shared" si="42"/>
        <v>40476.590000000004</v>
      </c>
      <c r="V41" s="134">
        <f t="shared" si="42"/>
        <v>54801.81</v>
      </c>
      <c r="W41" s="134">
        <f t="shared" si="42"/>
        <v>130913.81</v>
      </c>
      <c r="X41" s="134">
        <f t="shared" si="42"/>
        <v>90730.72000000002</v>
      </c>
      <c r="Y41" s="134">
        <f t="shared" si="42"/>
        <v>32381.380000000005</v>
      </c>
      <c r="Z41" s="134">
        <f t="shared" si="42"/>
        <v>0</v>
      </c>
      <c r="AA41" s="134">
        <f t="shared" si="42"/>
        <v>0</v>
      </c>
      <c r="AB41" s="134">
        <f t="shared" si="42"/>
        <v>349304.31</v>
      </c>
      <c r="AC41" s="134">
        <f t="shared" si="42"/>
        <v>429955.09900000005</v>
      </c>
      <c r="AD41" s="135">
        <f t="shared" si="42"/>
        <v>0</v>
      </c>
      <c r="AE41" s="135">
        <f t="shared" si="42"/>
        <v>0</v>
      </c>
      <c r="AF41" s="136">
        <f aca="true" t="shared" si="43" ref="AF41:AU41">SUM(AF29:AF40)</f>
        <v>13303.385999999999</v>
      </c>
      <c r="AG41" s="136">
        <f t="shared" si="43"/>
        <v>31820.556000000004</v>
      </c>
      <c r="AH41" s="136">
        <f t="shared" si="43"/>
        <v>10606.851999999999</v>
      </c>
      <c r="AI41" s="136">
        <f t="shared" si="43"/>
        <v>53034.26000000001</v>
      </c>
      <c r="AJ41" s="136">
        <f t="shared" si="43"/>
        <v>0</v>
      </c>
      <c r="AK41" s="136">
        <f t="shared" si="43"/>
        <v>51973.57480000001</v>
      </c>
      <c r="AL41" s="136">
        <f t="shared" si="43"/>
        <v>0</v>
      </c>
      <c r="AM41" s="136">
        <f t="shared" si="43"/>
        <v>119327.085</v>
      </c>
      <c r="AN41" s="136">
        <f t="shared" si="43"/>
        <v>0</v>
      </c>
      <c r="AO41" s="136">
        <f t="shared" si="43"/>
        <v>4914</v>
      </c>
      <c r="AP41" s="136">
        <f t="shared" si="43"/>
        <v>0</v>
      </c>
      <c r="AQ41" s="136">
        <f t="shared" si="43"/>
        <v>100</v>
      </c>
      <c r="AR41" s="136">
        <f t="shared" si="43"/>
        <v>0</v>
      </c>
      <c r="AS41" s="137">
        <f t="shared" si="43"/>
        <v>57493</v>
      </c>
      <c r="AT41" s="137">
        <f t="shared" si="43"/>
        <v>96582.45000000001</v>
      </c>
      <c r="AU41" s="137">
        <f t="shared" si="43"/>
        <v>7202.2268</v>
      </c>
      <c r="AV41" s="136"/>
      <c r="AW41" s="136"/>
      <c r="AX41" s="136">
        <f aca="true" t="shared" si="44" ref="AX41:BE41">SUM(AX29:AX40)</f>
        <v>12552.4</v>
      </c>
      <c r="AY41" s="136">
        <f t="shared" si="44"/>
        <v>0</v>
      </c>
      <c r="AZ41" s="136">
        <f t="shared" si="44"/>
        <v>0</v>
      </c>
      <c r="BA41" s="136">
        <f t="shared" si="44"/>
        <v>0</v>
      </c>
      <c r="BB41" s="136">
        <f t="shared" si="44"/>
        <v>445606.40460000007</v>
      </c>
      <c r="BC41" s="136">
        <f t="shared" si="44"/>
        <v>6231.600000000001</v>
      </c>
      <c r="BD41" s="138">
        <f t="shared" si="44"/>
        <v>-8579.51959999996</v>
      </c>
      <c r="BE41" s="139">
        <f t="shared" si="44"/>
        <v>-28791.249999999985</v>
      </c>
    </row>
    <row r="42" spans="1:57" ht="13.5" thickBot="1">
      <c r="A42" s="47"/>
      <c r="B42" s="48"/>
      <c r="C42" s="49">
        <f aca="true" t="shared" si="45" ref="C42:AH42">C27+C41</f>
        <v>1490951.1950000003</v>
      </c>
      <c r="D42" s="49">
        <f t="shared" si="45"/>
        <v>119791.71525860002</v>
      </c>
      <c r="E42" s="49">
        <f t="shared" si="45"/>
        <v>89739.69</v>
      </c>
      <c r="F42" s="49">
        <f t="shared" si="45"/>
        <v>14632.029999999999</v>
      </c>
      <c r="G42" s="49">
        <f t="shared" si="45"/>
        <v>121414.1</v>
      </c>
      <c r="H42" s="49">
        <f t="shared" si="45"/>
        <v>19812.559999999998</v>
      </c>
      <c r="I42" s="49">
        <f t="shared" si="45"/>
        <v>291602.5</v>
      </c>
      <c r="J42" s="49">
        <f t="shared" si="45"/>
        <v>47619.54</v>
      </c>
      <c r="K42" s="49">
        <f t="shared" si="45"/>
        <v>202211.83999999997</v>
      </c>
      <c r="L42" s="49">
        <f t="shared" si="45"/>
        <v>32984.74</v>
      </c>
      <c r="M42" s="49">
        <f t="shared" si="45"/>
        <v>71794.31</v>
      </c>
      <c r="N42" s="49">
        <f t="shared" si="45"/>
        <v>11707.77</v>
      </c>
      <c r="O42" s="49">
        <f t="shared" si="45"/>
        <v>0</v>
      </c>
      <c r="P42" s="49">
        <f t="shared" si="45"/>
        <v>0</v>
      </c>
      <c r="Q42" s="49">
        <f t="shared" si="45"/>
        <v>0</v>
      </c>
      <c r="R42" s="49">
        <f t="shared" si="45"/>
        <v>0</v>
      </c>
      <c r="S42" s="49">
        <f t="shared" si="45"/>
        <v>776762.4400000001</v>
      </c>
      <c r="T42" s="49">
        <f t="shared" si="45"/>
        <v>126756.64000000001</v>
      </c>
      <c r="U42" s="49">
        <f t="shared" si="45"/>
        <v>79740.38</v>
      </c>
      <c r="V42" s="49">
        <f t="shared" si="45"/>
        <v>107898.44</v>
      </c>
      <c r="W42" s="49">
        <f t="shared" si="45"/>
        <v>258621.38999999998</v>
      </c>
      <c r="X42" s="49">
        <f t="shared" si="45"/>
        <v>179167.07</v>
      </c>
      <c r="Y42" s="49">
        <f t="shared" si="45"/>
        <v>63795.11</v>
      </c>
      <c r="Z42" s="49">
        <f t="shared" si="45"/>
        <v>0</v>
      </c>
      <c r="AA42" s="49">
        <f t="shared" si="45"/>
        <v>0</v>
      </c>
      <c r="AB42" s="49">
        <f t="shared" si="45"/>
        <v>689222.39</v>
      </c>
      <c r="AC42" s="49">
        <f t="shared" si="45"/>
        <v>935770.7452586</v>
      </c>
      <c r="AD42" s="49">
        <f t="shared" si="45"/>
        <v>0</v>
      </c>
      <c r="AE42" s="49">
        <f t="shared" si="45"/>
        <v>0</v>
      </c>
      <c r="AF42" s="49">
        <f t="shared" si="45"/>
        <v>22664.835612</v>
      </c>
      <c r="AG42" s="49">
        <f t="shared" si="45"/>
        <v>70538.85</v>
      </c>
      <c r="AH42" s="49">
        <f t="shared" si="45"/>
        <v>23636.3355768</v>
      </c>
      <c r="AI42" s="49">
        <f aca="true" t="shared" si="46" ref="AI42:BE42">AI27+AI41</f>
        <v>107321.05256935</v>
      </c>
      <c r="AJ42" s="49">
        <f t="shared" si="46"/>
        <v>9771.622662482998</v>
      </c>
      <c r="AK42" s="49">
        <f t="shared" si="46"/>
        <v>106908.13883460598</v>
      </c>
      <c r="AL42" s="49">
        <f t="shared" si="46"/>
        <v>9888.221526229077</v>
      </c>
      <c r="AM42" s="49">
        <f t="shared" si="46"/>
        <v>239624.48468096467</v>
      </c>
      <c r="AN42" s="49">
        <f t="shared" si="46"/>
        <v>21653.531942573645</v>
      </c>
      <c r="AO42" s="49">
        <f t="shared" si="46"/>
        <v>4914</v>
      </c>
      <c r="AP42" s="49">
        <f t="shared" si="46"/>
        <v>0</v>
      </c>
      <c r="AQ42" s="49">
        <f t="shared" si="46"/>
        <v>45087.333000000006</v>
      </c>
      <c r="AR42" s="49">
        <f t="shared" si="46"/>
        <v>8097.719939999999</v>
      </c>
      <c r="AS42" s="49">
        <f t="shared" si="46"/>
        <v>147834.5</v>
      </c>
      <c r="AT42" s="49">
        <f t="shared" si="46"/>
        <v>101718.45000000001</v>
      </c>
      <c r="AU42" s="49">
        <f t="shared" si="46"/>
        <v>24388.176799999997</v>
      </c>
      <c r="AV42" s="49">
        <f t="shared" si="46"/>
        <v>0</v>
      </c>
      <c r="AW42" s="49">
        <f t="shared" si="46"/>
        <v>0</v>
      </c>
      <c r="AX42" s="49">
        <f t="shared" si="46"/>
        <v>24672.7936</v>
      </c>
      <c r="AY42" s="49">
        <f t="shared" si="46"/>
        <v>0</v>
      </c>
      <c r="AZ42" s="49">
        <f t="shared" si="46"/>
        <v>0</v>
      </c>
      <c r="BA42" s="49">
        <f t="shared" si="46"/>
        <v>0</v>
      </c>
      <c r="BB42" s="49">
        <f t="shared" si="46"/>
        <v>946055.2111330065</v>
      </c>
      <c r="BC42" s="49">
        <f t="shared" si="46"/>
        <v>10108.422765089002</v>
      </c>
      <c r="BD42" s="49">
        <f t="shared" si="46"/>
        <v>2271.946972504691</v>
      </c>
      <c r="BE42" s="50">
        <f t="shared" si="46"/>
        <v>-87540.04999999999</v>
      </c>
    </row>
  </sheetData>
  <sheetProtection/>
  <mergeCells count="66">
    <mergeCell ref="AD3:AD6"/>
    <mergeCell ref="AL5:AL6"/>
    <mergeCell ref="X5:X6"/>
    <mergeCell ref="AT5:AT6"/>
    <mergeCell ref="AM5:AM6"/>
    <mergeCell ref="AN5:AN6"/>
    <mergeCell ref="AO5:AO6"/>
    <mergeCell ref="AR5:AR6"/>
    <mergeCell ref="AF3:AF6"/>
    <mergeCell ref="Y5:Y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O5:O6"/>
    <mergeCell ref="Z5:Z6"/>
    <mergeCell ref="V5:V6"/>
    <mergeCell ref="W5:W6"/>
    <mergeCell ref="R5:R6"/>
    <mergeCell ref="S5:S6"/>
    <mergeCell ref="U5:U6"/>
    <mergeCell ref="E4:F4"/>
    <mergeCell ref="Q5:Q6"/>
    <mergeCell ref="T5:T6"/>
    <mergeCell ref="AA5:AA6"/>
    <mergeCell ref="AC3:AC6"/>
    <mergeCell ref="M4:N4"/>
    <mergeCell ref="O4:P4"/>
    <mergeCell ref="Q4:R4"/>
    <mergeCell ref="M5:M6"/>
    <mergeCell ref="N5:N6"/>
    <mergeCell ref="AH5:AH6"/>
    <mergeCell ref="AB5:AB6"/>
    <mergeCell ref="S3:T4"/>
    <mergeCell ref="U3:AB4"/>
    <mergeCell ref="A1:N1"/>
    <mergeCell ref="A3:A6"/>
    <mergeCell ref="B3:B6"/>
    <mergeCell ref="C3:C6"/>
    <mergeCell ref="D3:D6"/>
    <mergeCell ref="E3:R3"/>
    <mergeCell ref="AU5:AU6"/>
    <mergeCell ref="G4:H4"/>
    <mergeCell ref="I4:J4"/>
    <mergeCell ref="K4:L4"/>
    <mergeCell ref="AP5:AP6"/>
    <mergeCell ref="AQ5:AQ6"/>
    <mergeCell ref="AS5:AS6"/>
    <mergeCell ref="AE3:AE6"/>
    <mergeCell ref="AG3:BB4"/>
    <mergeCell ref="AG5:AG6"/>
    <mergeCell ref="AY5:AY6"/>
    <mergeCell ref="AI5:AI6"/>
    <mergeCell ref="AJ5:AJ6"/>
    <mergeCell ref="AK5:AK6"/>
    <mergeCell ref="BD3:BD6"/>
    <mergeCell ref="BE3:BE6"/>
    <mergeCell ref="AV5:AX5"/>
    <mergeCell ref="AZ5:AZ6"/>
    <mergeCell ref="BA5:BA6"/>
    <mergeCell ref="BB5:B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6">
      <selection activeCell="L29" sqref="L29"/>
    </sheetView>
  </sheetViews>
  <sheetFormatPr defaultColWidth="9.00390625" defaultRowHeight="12.75"/>
  <cols>
    <col min="1" max="1" width="10.125" style="2" customWidth="1"/>
    <col min="2" max="2" width="8.875" style="2" customWidth="1"/>
    <col min="3" max="3" width="12.625" style="2" customWidth="1"/>
    <col min="4" max="4" width="12.00390625" style="2" customWidth="1"/>
    <col min="5" max="5" width="11.875" style="2" customWidth="1"/>
    <col min="6" max="6" width="10.625" style="2" customWidth="1"/>
    <col min="7" max="7" width="9.875" style="160" customWidth="1"/>
    <col min="8" max="8" width="11.875" style="2" customWidth="1"/>
    <col min="9" max="9" width="12.125" style="2" customWidth="1"/>
    <col min="10" max="10" width="10.125" style="2" customWidth="1"/>
    <col min="11" max="11" width="10.00390625" style="2" customWidth="1"/>
    <col min="12" max="12" width="12.625" style="2" customWidth="1"/>
    <col min="13" max="13" width="10.875" style="2" customWidth="1"/>
    <col min="14" max="14" width="10.375" style="2" customWidth="1"/>
    <col min="15" max="15" width="11.875" style="2" customWidth="1"/>
    <col min="16" max="16" width="12.00390625" style="160" customWidth="1"/>
    <col min="17" max="17" width="10.125" style="2" customWidth="1"/>
    <col min="18" max="18" width="10.375" style="2" customWidth="1"/>
    <col min="19" max="19" width="10.75390625" style="2" customWidth="1"/>
    <col min="20" max="20" width="14.00390625" style="2" customWidth="1"/>
    <col min="21" max="16384" width="9.125" style="2" customWidth="1"/>
  </cols>
  <sheetData>
    <row r="1" ht="18.75">
      <c r="E1" s="31" t="s">
        <v>52</v>
      </c>
    </row>
    <row r="2" ht="18.75">
      <c r="E2" s="31" t="s">
        <v>53</v>
      </c>
    </row>
    <row r="6" spans="1:19" ht="12.75">
      <c r="A6" s="373" t="s">
        <v>72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ht="12.75">
      <c r="A7" s="373" t="s">
        <v>89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</row>
    <row r="8" spans="1:19" ht="12.75">
      <c r="A8" s="32"/>
      <c r="B8" s="32"/>
      <c r="C8" s="32"/>
      <c r="D8" s="32"/>
      <c r="E8" s="32"/>
      <c r="F8" s="32"/>
      <c r="I8" s="32"/>
      <c r="J8" s="32"/>
      <c r="L8" s="32"/>
      <c r="M8" s="32"/>
      <c r="N8" s="32"/>
      <c r="O8" s="32"/>
      <c r="P8" s="32"/>
      <c r="Q8" s="32"/>
      <c r="R8" s="32"/>
      <c r="S8" s="32"/>
    </row>
    <row r="9" spans="1:5" ht="13.5" thickBot="1">
      <c r="A9" s="33" t="s">
        <v>54</v>
      </c>
      <c r="D9" s="4"/>
      <c r="E9" s="33">
        <v>8.65</v>
      </c>
    </row>
    <row r="10" spans="1:18" ht="12.75" customHeight="1">
      <c r="A10" s="335" t="s">
        <v>55</v>
      </c>
      <c r="B10" s="375" t="s">
        <v>1</v>
      </c>
      <c r="C10" s="378" t="s">
        <v>56</v>
      </c>
      <c r="D10" s="385" t="s">
        <v>3</v>
      </c>
      <c r="E10" s="381" t="s">
        <v>57</v>
      </c>
      <c r="F10" s="382"/>
      <c r="G10" s="365" t="s">
        <v>90</v>
      </c>
      <c r="H10" s="388" t="s">
        <v>83</v>
      </c>
      <c r="I10" s="389"/>
      <c r="J10" s="392" t="s">
        <v>8</v>
      </c>
      <c r="K10" s="330"/>
      <c r="L10" s="330"/>
      <c r="M10" s="330"/>
      <c r="N10" s="330"/>
      <c r="O10" s="393"/>
      <c r="P10" s="362" t="s">
        <v>85</v>
      </c>
      <c r="Q10" s="351" t="s">
        <v>58</v>
      </c>
      <c r="R10" s="351" t="s">
        <v>10</v>
      </c>
    </row>
    <row r="11" spans="1:18" ht="12.75" customHeight="1">
      <c r="A11" s="336"/>
      <c r="B11" s="376"/>
      <c r="C11" s="379"/>
      <c r="D11" s="386"/>
      <c r="E11" s="383"/>
      <c r="F11" s="384"/>
      <c r="G11" s="366"/>
      <c r="H11" s="390"/>
      <c r="I11" s="391"/>
      <c r="J11" s="394"/>
      <c r="K11" s="309"/>
      <c r="L11" s="309"/>
      <c r="M11" s="309"/>
      <c r="N11" s="309"/>
      <c r="O11" s="395"/>
      <c r="P11" s="363"/>
      <c r="Q11" s="352"/>
      <c r="R11" s="352"/>
    </row>
    <row r="12" spans="1:18" ht="26.25" customHeight="1">
      <c r="A12" s="336"/>
      <c r="B12" s="376"/>
      <c r="C12" s="379"/>
      <c r="D12" s="386"/>
      <c r="E12" s="354" t="s">
        <v>59</v>
      </c>
      <c r="F12" s="355"/>
      <c r="G12" s="366"/>
      <c r="H12" s="360" t="s">
        <v>84</v>
      </c>
      <c r="I12" s="368" t="s">
        <v>7</v>
      </c>
      <c r="J12" s="356" t="s">
        <v>60</v>
      </c>
      <c r="K12" s="358" t="s">
        <v>30</v>
      </c>
      <c r="L12" s="358" t="s">
        <v>61</v>
      </c>
      <c r="M12" s="358" t="s">
        <v>35</v>
      </c>
      <c r="N12" s="358" t="s">
        <v>62</v>
      </c>
      <c r="O12" s="368" t="s">
        <v>37</v>
      </c>
      <c r="P12" s="363"/>
      <c r="Q12" s="352"/>
      <c r="R12" s="352"/>
    </row>
    <row r="13" spans="1:18" ht="66.75" customHeight="1" thickBot="1">
      <c r="A13" s="374"/>
      <c r="B13" s="377"/>
      <c r="C13" s="380"/>
      <c r="D13" s="387"/>
      <c r="E13" s="35" t="s">
        <v>63</v>
      </c>
      <c r="F13" s="36" t="s">
        <v>19</v>
      </c>
      <c r="G13" s="367"/>
      <c r="H13" s="361"/>
      <c r="I13" s="369"/>
      <c r="J13" s="357"/>
      <c r="K13" s="359"/>
      <c r="L13" s="359"/>
      <c r="M13" s="359"/>
      <c r="N13" s="359"/>
      <c r="O13" s="369"/>
      <c r="P13" s="364"/>
      <c r="Q13" s="353"/>
      <c r="R13" s="353"/>
    </row>
    <row r="14" spans="1:18" ht="13.5" thickBot="1">
      <c r="A14" s="37">
        <v>1</v>
      </c>
      <c r="B14" s="38">
        <v>2</v>
      </c>
      <c r="C14" s="37">
        <v>3</v>
      </c>
      <c r="D14" s="38">
        <v>4</v>
      </c>
      <c r="E14" s="37">
        <v>5</v>
      </c>
      <c r="F14" s="38">
        <v>6</v>
      </c>
      <c r="G14" s="37">
        <v>7</v>
      </c>
      <c r="H14" s="38">
        <v>8</v>
      </c>
      <c r="I14" s="37">
        <v>9</v>
      </c>
      <c r="J14" s="38">
        <v>10</v>
      </c>
      <c r="K14" s="37">
        <v>11</v>
      </c>
      <c r="L14" s="38">
        <v>12</v>
      </c>
      <c r="M14" s="37">
        <v>13</v>
      </c>
      <c r="N14" s="38">
        <v>14</v>
      </c>
      <c r="O14" s="37">
        <v>15</v>
      </c>
      <c r="P14" s="38">
        <v>16</v>
      </c>
      <c r="Q14" s="37">
        <v>17</v>
      </c>
      <c r="R14" s="38">
        <v>18</v>
      </c>
    </row>
    <row r="15" spans="1:18" ht="12.75">
      <c r="A15" s="8" t="s">
        <v>38</v>
      </c>
      <c r="B15" s="9"/>
      <c r="C15" s="34"/>
      <c r="D15" s="8"/>
      <c r="E15" s="9"/>
      <c r="F15" s="10"/>
      <c r="G15" s="155"/>
      <c r="H15" s="8"/>
      <c r="I15" s="10"/>
      <c r="J15" s="8"/>
      <c r="K15" s="9"/>
      <c r="L15" s="9"/>
      <c r="M15" s="9"/>
      <c r="N15" s="9"/>
      <c r="O15" s="10"/>
      <c r="P15" s="161"/>
      <c r="Q15" s="40"/>
      <c r="R15" s="41"/>
    </row>
    <row r="16" spans="1:18" ht="12.75">
      <c r="A16" s="12" t="s">
        <v>39</v>
      </c>
      <c r="B16" s="115">
        <f>Лист1!B9</f>
        <v>4422.4</v>
      </c>
      <c r="C16" s="42">
        <f>Лист1!C9</f>
        <v>38253.76</v>
      </c>
      <c r="D16" s="43">
        <f>Лист1!D9</f>
        <v>9214.5657088</v>
      </c>
      <c r="E16" s="18">
        <f>Лист1!S9</f>
        <v>26090.749999999996</v>
      </c>
      <c r="F16" s="20">
        <f>Лист1!T9</f>
        <v>5785.580000000001</v>
      </c>
      <c r="G16" s="168">
        <f>'[9]Лист1'!AF9</f>
        <v>0</v>
      </c>
      <c r="H16" s="44">
        <f>Лист1!AB9</f>
        <v>286.19000000000005</v>
      </c>
      <c r="I16" s="20">
        <f>Лист1!AC9</f>
        <v>15286.335708800003</v>
      </c>
      <c r="J16" s="44">
        <f>Лист1!AG9</f>
        <v>2653.4399999999996</v>
      </c>
      <c r="K16" s="18">
        <f>Лист1!AI9+Лист1!AJ9</f>
        <v>4445.0485776</v>
      </c>
      <c r="L16" s="18">
        <f>Лист1!AH9+Лист1!AK9+Лист1!AL9+Лист1!AM9+Лист1!AN9+Лист1!AP9+Лист1!AO9+Лист1!AQ9+Лист1!AR9</f>
        <v>15608.388045439997</v>
      </c>
      <c r="M16" s="19">
        <f>Лист1!AS9+Лист1!AT9+Лист1!AU9</f>
        <v>23780.009</v>
      </c>
      <c r="N16" s="19">
        <f>Лист1!AX9</f>
        <v>0</v>
      </c>
      <c r="O16" s="20">
        <f>Лист1!BB9</f>
        <v>46486.88562304</v>
      </c>
      <c r="P16" s="162">
        <v>0</v>
      </c>
      <c r="Q16" s="45">
        <f>Лист1!BD9</f>
        <v>-31200.549914239993</v>
      </c>
      <c r="R16" s="45">
        <f>Лист1!BE9</f>
        <v>-25804.559999999998</v>
      </c>
    </row>
    <row r="17" spans="1:18" ht="12.75">
      <c r="A17" s="12" t="s">
        <v>40</v>
      </c>
      <c r="B17" s="115">
        <f>Лист1!B10</f>
        <v>4422.4</v>
      </c>
      <c r="C17" s="42">
        <f>Лист1!C10</f>
        <v>38253.76</v>
      </c>
      <c r="D17" s="43">
        <f>Лист1!D10</f>
        <v>9214.5657088</v>
      </c>
      <c r="E17" s="18">
        <f>Лист1!S10</f>
        <v>22772.09</v>
      </c>
      <c r="F17" s="20">
        <f>Лист1!T10</f>
        <v>5644.47</v>
      </c>
      <c r="G17" s="168">
        <f>'[9]Лист1'!AF10</f>
        <v>0</v>
      </c>
      <c r="H17" s="44">
        <f>Лист1!AB10</f>
        <v>14598.130000000001</v>
      </c>
      <c r="I17" s="20">
        <f>Лист1!AC10</f>
        <v>29457.165708800003</v>
      </c>
      <c r="J17" s="44">
        <f>Лист1!AG10</f>
        <v>2653.4399999999996</v>
      </c>
      <c r="K17" s="18">
        <f>Лист1!AI10+Лист1!AJ10</f>
        <v>4445.0485776</v>
      </c>
      <c r="L17" s="18">
        <f>Лист1!AH10+Лист1!AK10+Лист1!AL10+Лист1!AM10+Лист1!AN10+Лист1!AP10+Лист1!AO10+Лист1!AQ10+Лист1!AR10</f>
        <v>15561.280640639998</v>
      </c>
      <c r="M17" s="19">
        <f>Лист1!AS10+Лист1!AT10+Лист1!AU10</f>
        <v>2879.2</v>
      </c>
      <c r="N17" s="19">
        <f>Лист1!AX10</f>
        <v>0</v>
      </c>
      <c r="O17" s="20">
        <f>Лист1!BB10</f>
        <v>25538.969218239996</v>
      </c>
      <c r="P17" s="162">
        <v>0</v>
      </c>
      <c r="Q17" s="45">
        <f>Лист1!BD10</f>
        <v>3918.196490560007</v>
      </c>
      <c r="R17" s="45">
        <f>Лист1!BE10</f>
        <v>-8173.959999999999</v>
      </c>
    </row>
    <row r="18" spans="1:18" ht="13.5" thickBot="1">
      <c r="A18" s="46" t="s">
        <v>41</v>
      </c>
      <c r="B18" s="115">
        <f>Лист1!B11</f>
        <v>4422.4</v>
      </c>
      <c r="C18" s="42">
        <f>Лист1!C11</f>
        <v>38253.76</v>
      </c>
      <c r="D18" s="43">
        <f>Лист1!D11</f>
        <v>9194.291216000001</v>
      </c>
      <c r="E18" s="18">
        <f>Лист1!S11</f>
        <v>21489.5</v>
      </c>
      <c r="F18" s="20">
        <f>Лист1!T11</f>
        <v>5772.62</v>
      </c>
      <c r="G18" s="168">
        <f>'[9]Лист1'!AF11</f>
        <v>0</v>
      </c>
      <c r="H18" s="44">
        <f>Лист1!AB11</f>
        <v>24232.44</v>
      </c>
      <c r="I18" s="20">
        <f>Лист1!AC11</f>
        <v>39199.351215999995</v>
      </c>
      <c r="J18" s="44">
        <f>Лист1!AG11</f>
        <v>2653.4399999999996</v>
      </c>
      <c r="K18" s="18">
        <f>Лист1!AI11+Лист1!AJ11</f>
        <v>4432.11866624</v>
      </c>
      <c r="L18" s="18">
        <f>Лист1!AH11+Лист1!AK11+Лист1!AL11+Лист1!AM11+Лист1!AN11+Лист1!AP11+Лист1!AO11+Лист1!AQ11+Лист1!AR11</f>
        <v>15536.422098751998</v>
      </c>
      <c r="M18" s="19">
        <f>Лист1!AS11+Лист1!AT11+Лист1!AU11</f>
        <v>29884.68</v>
      </c>
      <c r="N18" s="19">
        <f>Лист1!AX11</f>
        <v>0</v>
      </c>
      <c r="O18" s="20">
        <f>Лист1!BB11</f>
        <v>52506.660764992</v>
      </c>
      <c r="P18" s="162">
        <v>0</v>
      </c>
      <c r="Q18" s="45">
        <f>Лист1!BD11</f>
        <v>-13307.309548992002</v>
      </c>
      <c r="R18" s="45">
        <f>Лист1!BE11</f>
        <v>2742.9399999999987</v>
      </c>
    </row>
    <row r="19" spans="1:18" s="26" customFormat="1" ht="13.5" thickBot="1">
      <c r="A19" s="47" t="s">
        <v>5</v>
      </c>
      <c r="B19" s="48"/>
      <c r="C19" s="51">
        <f aca="true" t="shared" si="0" ref="C19:O19">SUM(C16:C18)</f>
        <v>114761.28</v>
      </c>
      <c r="D19" s="51">
        <f t="shared" si="0"/>
        <v>27623.422633600003</v>
      </c>
      <c r="E19" s="51">
        <f t="shared" si="0"/>
        <v>70352.34</v>
      </c>
      <c r="F19" s="51">
        <f t="shared" si="0"/>
        <v>17202.670000000002</v>
      </c>
      <c r="G19" s="163">
        <f t="shared" si="0"/>
        <v>0</v>
      </c>
      <c r="H19" s="51">
        <f t="shared" si="0"/>
        <v>39116.76</v>
      </c>
      <c r="I19" s="51">
        <f t="shared" si="0"/>
        <v>83942.8526336</v>
      </c>
      <c r="J19" s="51">
        <f t="shared" si="0"/>
        <v>7960.319999999999</v>
      </c>
      <c r="K19" s="51">
        <f t="shared" si="0"/>
        <v>13322.215821439999</v>
      </c>
      <c r="L19" s="51">
        <f t="shared" si="0"/>
        <v>46706.09078483199</v>
      </c>
      <c r="M19" s="51">
        <f t="shared" si="0"/>
        <v>56543.888999999996</v>
      </c>
      <c r="N19" s="51">
        <f t="shared" si="0"/>
        <v>0</v>
      </c>
      <c r="O19" s="51">
        <f t="shared" si="0"/>
        <v>124532.515606272</v>
      </c>
      <c r="P19" s="163">
        <v>0</v>
      </c>
      <c r="Q19" s="51">
        <f>SUM(Q16:Q18)</f>
        <v>-40589.662972671984</v>
      </c>
      <c r="R19" s="51">
        <f>SUM(R16:R18)</f>
        <v>-31235.579999999998</v>
      </c>
    </row>
    <row r="20" spans="1:18" ht="12.75">
      <c r="A20" s="8" t="s">
        <v>42</v>
      </c>
      <c r="B20" s="116"/>
      <c r="C20" s="52"/>
      <c r="D20" s="53"/>
      <c r="E20" s="54"/>
      <c r="F20" s="55"/>
      <c r="G20" s="169"/>
      <c r="H20" s="56"/>
      <c r="I20" s="55"/>
      <c r="J20" s="56"/>
      <c r="K20" s="18"/>
      <c r="L20" s="18"/>
      <c r="M20" s="19"/>
      <c r="N20" s="117"/>
      <c r="O20" s="20"/>
      <c r="P20" s="164"/>
      <c r="Q20" s="45"/>
      <c r="R20" s="45"/>
    </row>
    <row r="21" spans="1:18" ht="12.75">
      <c r="A21" s="12" t="s">
        <v>43</v>
      </c>
      <c r="B21" s="115">
        <f>Лист1!B14</f>
        <v>4422.4</v>
      </c>
      <c r="C21" s="42">
        <f>Лист1!C14</f>
        <v>38253.76</v>
      </c>
      <c r="D21" s="43">
        <f>Лист1!D14</f>
        <v>4781.72</v>
      </c>
      <c r="E21" s="18">
        <f>Лист1!S14</f>
        <v>25701.6</v>
      </c>
      <c r="F21" s="20">
        <f>Лист1!T14</f>
        <v>5774.6</v>
      </c>
      <c r="G21" s="168"/>
      <c r="H21" s="44">
        <f>Лист1!AB14</f>
        <v>18984.32</v>
      </c>
      <c r="I21" s="20">
        <f>Лист1!AC14</f>
        <v>29540.64</v>
      </c>
      <c r="J21" s="44">
        <f>Лист1!AG14</f>
        <v>2388.0959999999995</v>
      </c>
      <c r="K21" s="18">
        <f>Лист1!AI14+Лист1!AJ14</f>
        <v>3845.6998624</v>
      </c>
      <c r="L21" s="18">
        <f>Лист1!AH14+Лист1!AK14+Лист1!AL14+Лист1!AM14+Лист1!AN14+Лист1!AP14+Лист1!AO14+Лист1!AQ14+Лист1!AR14</f>
        <v>13207.318846592</v>
      </c>
      <c r="M21" s="19">
        <f>Лист1!AS14+Лист1!AT14+Лист1!AU14</f>
        <v>317.42</v>
      </c>
      <c r="N21" s="19"/>
      <c r="O21" s="61">
        <f>Лист1!BB14</f>
        <v>19758.534708991996</v>
      </c>
      <c r="P21" s="25">
        <f>Лист1!BC14</f>
        <v>0</v>
      </c>
      <c r="Q21" s="159">
        <f>I21+G21-O21-P21</f>
        <v>9782.105291008003</v>
      </c>
      <c r="R21" s="45">
        <f>Лист1!BE14</f>
        <v>-6717.279999999999</v>
      </c>
    </row>
    <row r="22" spans="1:18" ht="12.75">
      <c r="A22" s="12" t="s">
        <v>44</v>
      </c>
      <c r="B22" s="115">
        <f>Лист1!B15</f>
        <v>4420.5</v>
      </c>
      <c r="C22" s="42">
        <f>Лист1!C15</f>
        <v>38237.325000000004</v>
      </c>
      <c r="D22" s="43">
        <f>Лист1!D15</f>
        <v>4779.665625000001</v>
      </c>
      <c r="E22" s="18">
        <f>Лист1!S15</f>
        <v>25497.600000000002</v>
      </c>
      <c r="F22" s="20">
        <f>Лист1!T15</f>
        <v>5774.75</v>
      </c>
      <c r="G22" s="168"/>
      <c r="H22" s="44">
        <f>Лист1!AB15</f>
        <v>16813.05</v>
      </c>
      <c r="I22" s="20">
        <f>Лист1!AC15</f>
        <v>27367.465625</v>
      </c>
      <c r="J22" s="44">
        <f>Лист1!AG15</f>
        <v>2387.0699999999997</v>
      </c>
      <c r="K22" s="18">
        <f>Лист1!AI15+Лист1!AJ15</f>
        <v>3839.637459</v>
      </c>
      <c r="L22" s="18">
        <f>Лист1!AH15+Лист1!AK15+Лист1!AL15+Лист1!AM15+Лист1!AN15+Лист1!AP15+Лист1!AO15+Лист1!AQ15+Лист1!AR15</f>
        <v>13220.702675039996</v>
      </c>
      <c r="M22" s="19">
        <f>Лист1!AS15+Лист1!AT15+Лист1!AU15</f>
        <v>22674.88</v>
      </c>
      <c r="N22" s="19"/>
      <c r="O22" s="61">
        <f>Лист1!BB15</f>
        <v>42122.29013403999</v>
      </c>
      <c r="P22" s="25">
        <f>Лист1!BC15</f>
        <v>0</v>
      </c>
      <c r="Q22" s="159">
        <f aca="true" t="shared" si="1" ref="Q22:Q32">I22+G22-O22-P22</f>
        <v>-14754.82450903999</v>
      </c>
      <c r="R22" s="45">
        <f>Лист1!BE15</f>
        <v>-8684.550000000003</v>
      </c>
    </row>
    <row r="23" spans="1:18" ht="12.75">
      <c r="A23" s="12" t="s">
        <v>45</v>
      </c>
      <c r="B23" s="115">
        <f>Лист1!B16</f>
        <v>4419.2</v>
      </c>
      <c r="C23" s="42">
        <f>Лист1!C16</f>
        <v>38226.08</v>
      </c>
      <c r="D23" s="43">
        <f>Лист1!D16</f>
        <v>4778.26</v>
      </c>
      <c r="E23" s="18">
        <f>Лист1!S16</f>
        <v>25026.760000000002</v>
      </c>
      <c r="F23" s="20">
        <f>Лист1!T16</f>
        <v>5773.209999999999</v>
      </c>
      <c r="G23" s="168"/>
      <c r="H23" s="44">
        <f>Лист1!AB16</f>
        <v>27394.61</v>
      </c>
      <c r="I23" s="20">
        <f>Лист1!AC16</f>
        <v>37946.08</v>
      </c>
      <c r="J23" s="44">
        <f>Лист1!AG16</f>
        <v>2386.368</v>
      </c>
      <c r="K23" s="18">
        <f>Лист1!AI16+Лист1!AJ16</f>
        <v>3845.156968</v>
      </c>
      <c r="L23" s="18">
        <f>Лист1!AH16+Лист1!AK16+Лист1!AL16+Лист1!AM16+Лист1!AN16+Лист1!AP16+Лист1!AO16+Лист1!AQ16+Лист1!AR16</f>
        <v>25242.331422016</v>
      </c>
      <c r="M23" s="19">
        <f>Лист1!AS16+Лист1!AT16+Лист1!AU16+Лист1!AQ16+Лист1!AR16</f>
        <v>16373.326000000001</v>
      </c>
      <c r="N23" s="19"/>
      <c r="O23" s="61">
        <f>Лист1!BB16</f>
        <v>35382.016390016</v>
      </c>
      <c r="P23" s="25">
        <f>Лист1!BC16</f>
        <v>0</v>
      </c>
      <c r="Q23" s="159">
        <f t="shared" si="1"/>
        <v>2564.063609984005</v>
      </c>
      <c r="R23" s="45">
        <f>Лист1!BE16</f>
        <v>2367.8499999999985</v>
      </c>
    </row>
    <row r="24" spans="1:18" ht="12.75">
      <c r="A24" s="12" t="s">
        <v>46</v>
      </c>
      <c r="B24" s="115">
        <f>Лист1!B17</f>
        <v>4419.2</v>
      </c>
      <c r="C24" s="42">
        <f>Лист1!C17</f>
        <v>38226.08</v>
      </c>
      <c r="D24" s="43">
        <f>Лист1!D17</f>
        <v>4778.26</v>
      </c>
      <c r="E24" s="18">
        <f>Лист1!S17</f>
        <v>25167.87</v>
      </c>
      <c r="F24" s="20">
        <f>Лист1!T17</f>
        <v>5773.18</v>
      </c>
      <c r="G24" s="168">
        <f>Лист1!AF17</f>
        <v>1717.5299720000003</v>
      </c>
      <c r="H24" s="44">
        <f>Лист1!AB17</f>
        <v>20310.649999999998</v>
      </c>
      <c r="I24" s="20">
        <f>Лист1!AC17</f>
        <v>30862.089999999997</v>
      </c>
      <c r="J24" s="44">
        <f>Лист1!AG17</f>
        <v>2386.368</v>
      </c>
      <c r="K24" s="18">
        <f>Лист1!AI17+Лист1!AJ17</f>
        <v>3959.957619839999</v>
      </c>
      <c r="L24" s="18">
        <f>Лист1!AH17+Лист1!AK17+Лист1!AL17+Лист1!AM17+Лист1!AN17+Лист1!AP17+Лист1!AO17+Лист1!AQ17+Лист1!AR17</f>
        <v>14833.202188511998</v>
      </c>
      <c r="M24" s="19">
        <f>Лист1!AS17+Лист1!AT17+Лист1!AU17+Лист1!AQ17+Лист1!AR17</f>
        <v>8468.08474</v>
      </c>
      <c r="N24" s="19">
        <f>Лист1!AX17</f>
        <v>5086.838400000001</v>
      </c>
      <c r="O24" s="61">
        <f>Лист1!BB17</f>
        <v>32859.451008352</v>
      </c>
      <c r="P24" s="25">
        <f>Лист1!BC17</f>
        <v>260.9439498400001</v>
      </c>
      <c r="Q24" s="159">
        <f t="shared" si="1"/>
        <v>-540.7749861920032</v>
      </c>
      <c r="R24" s="45">
        <f>Лист1!BE17</f>
        <v>-4857.220000000001</v>
      </c>
    </row>
    <row r="25" spans="1:18" ht="12.75">
      <c r="A25" s="12" t="s">
        <v>47</v>
      </c>
      <c r="B25" s="115">
        <f>Лист1!B18</f>
        <v>4419.2</v>
      </c>
      <c r="C25" s="42">
        <f>Лист1!C18</f>
        <v>38226.08</v>
      </c>
      <c r="D25" s="43">
        <f>Лист1!D18</f>
        <v>3790.9</v>
      </c>
      <c r="E25" s="18">
        <f>Лист1!S18</f>
        <v>28163.530000000002</v>
      </c>
      <c r="F25" s="20">
        <f>Лист1!T18</f>
        <v>6271.65</v>
      </c>
      <c r="G25" s="168">
        <f>Лист1!AF18</f>
        <v>608.6133199999999</v>
      </c>
      <c r="H25" s="44">
        <f>Лист1!AB18</f>
        <v>21179.68</v>
      </c>
      <c r="I25" s="20">
        <f>Лист1!AC18</f>
        <v>31242.23</v>
      </c>
      <c r="J25" s="44">
        <f>Лист1!AG18</f>
        <v>2651.52</v>
      </c>
      <c r="K25" s="18">
        <f>Лист1!AI18+Лист1!AJ18</f>
        <v>4432.4576</v>
      </c>
      <c r="L25" s="18">
        <f>Лист1!AH18+Лист1!AK18+Лист1!AL18+Лист1!AM18+Лист1!AN18+Лист1!AP18+Лист1!AO18+Лист1!AQ18+Лист1!AR18</f>
        <v>15180.835839999998</v>
      </c>
      <c r="M25" s="19">
        <f>Лист1!AS18+Лист1!AT18+Лист1!AU18+Лист1!AQ18+Лист1!AR18</f>
        <v>14129.567799999999</v>
      </c>
      <c r="N25" s="19">
        <f>Лист1!AX18</f>
        <v>766.528</v>
      </c>
      <c r="O25" s="61">
        <f>Лист1!BB18</f>
        <v>37160.90924</v>
      </c>
      <c r="P25" s="25">
        <f>Лист1!BC18</f>
        <v>291.29335844400003</v>
      </c>
      <c r="Q25" s="159">
        <f t="shared" si="1"/>
        <v>-5601.359278444001</v>
      </c>
      <c r="R25" s="45">
        <f>Лист1!BE18</f>
        <v>-6983.850000000002</v>
      </c>
    </row>
    <row r="26" spans="1:18" ht="12.75">
      <c r="A26" s="12" t="s">
        <v>48</v>
      </c>
      <c r="B26" s="115">
        <f>Лист1!B19</f>
        <v>4419.2</v>
      </c>
      <c r="C26" s="42">
        <f>Лист1!C19</f>
        <v>38226.08</v>
      </c>
      <c r="D26" s="43">
        <f>Лист1!D19</f>
        <v>3757.520000000007</v>
      </c>
      <c r="E26" s="18">
        <f>Лист1!S19</f>
        <v>28133.01</v>
      </c>
      <c r="F26" s="20">
        <f>Лист1!T19</f>
        <v>6335.55</v>
      </c>
      <c r="G26" s="168">
        <f>Лист1!AF19</f>
        <v>608.6133199999999</v>
      </c>
      <c r="H26" s="44">
        <f>Лист1!AB19</f>
        <v>22668.85</v>
      </c>
      <c r="I26" s="20">
        <f>Лист1!AC19</f>
        <v>32761.920000000006</v>
      </c>
      <c r="J26" s="44">
        <f>Лист1!AG19</f>
        <v>2651.52</v>
      </c>
      <c r="K26" s="18">
        <f>Лист1!AI19+Лист1!AJ19</f>
        <v>4432.4576</v>
      </c>
      <c r="L26" s="18">
        <f>Лист1!AH19+Лист1!AK19+Лист1!AL19+Лист1!AM19+Лист1!AN19+Лист1!AP19+Лист1!AO19+Лист1!AQ19+Лист1!AR19</f>
        <v>40940.114367999995</v>
      </c>
      <c r="M26" s="19">
        <f>Лист1!AS19+Лист1!AT19+Лист1!AU19+Лист1!AQ19+Лист1!AR19</f>
        <v>25829.043599999997</v>
      </c>
      <c r="N26" s="19">
        <f>Лист1!AX19</f>
        <v>981.9488</v>
      </c>
      <c r="O26" s="61">
        <f>Лист1!BB19</f>
        <v>49076.21536799999</v>
      </c>
      <c r="P26" s="25">
        <f>Лист1!BC19</f>
        <v>275.76443596</v>
      </c>
      <c r="Q26" s="159">
        <f t="shared" si="1"/>
        <v>-15981.446483959988</v>
      </c>
      <c r="R26" s="45">
        <f>Лист1!BE19</f>
        <v>-5464.16</v>
      </c>
    </row>
    <row r="27" spans="1:18" ht="12.75">
      <c r="A27" s="12" t="s">
        <v>49</v>
      </c>
      <c r="B27" s="115">
        <f>Лист1!B20</f>
        <v>4418.62</v>
      </c>
      <c r="C27" s="42">
        <f>Лист1!C20</f>
        <v>38221.063</v>
      </c>
      <c r="D27" s="43">
        <f>Лист1!D20</f>
        <v>3780.3430000000053</v>
      </c>
      <c r="E27" s="18">
        <f>Лист1!S20</f>
        <v>28148.62</v>
      </c>
      <c r="F27" s="20">
        <f>Лист1!T20</f>
        <v>6292.1</v>
      </c>
      <c r="G27" s="168">
        <f>Лист1!AF20</f>
        <v>1071.1154999999999</v>
      </c>
      <c r="H27" s="44">
        <f>Лист1!AB20</f>
        <v>25597.760000000002</v>
      </c>
      <c r="I27" s="20">
        <f>Лист1!AC20</f>
        <v>35670.20300000001</v>
      </c>
      <c r="J27" s="44">
        <f>Лист1!AG20</f>
        <v>2651.172</v>
      </c>
      <c r="K27" s="18">
        <f>Лист1!AI20+Лист1!AJ20</f>
        <v>4368.500035202</v>
      </c>
      <c r="L27" s="18">
        <f>Лист1!AH20+Лист1!AK20+Лист1!AL20+Лист1!AM20+Лист1!AN20+Лист1!AP20+Лист1!AO20+Лист1!AQ20+Лист1!AR20</f>
        <v>15028.209221676398</v>
      </c>
      <c r="M27" s="19">
        <f>Лист1!AS20+Лист1!AT20+Лист1!AU20+Лист1!AQ20+Лист1!AR20</f>
        <v>4890.0498</v>
      </c>
      <c r="N27" s="19">
        <f>Лист1!AX20</f>
        <v>679.3024</v>
      </c>
      <c r="O27" s="61">
        <f>Лист1!BB20</f>
        <v>27617.233456878395</v>
      </c>
      <c r="P27" s="25">
        <f>Лист1!BC20</f>
        <v>506.1656535</v>
      </c>
      <c r="Q27" s="159">
        <f t="shared" si="1"/>
        <v>8617.919389621613</v>
      </c>
      <c r="R27" s="45">
        <f>Лист1!BE20</f>
        <v>-2550.859999999997</v>
      </c>
    </row>
    <row r="28" spans="1:18" ht="12.75">
      <c r="A28" s="12" t="s">
        <v>50</v>
      </c>
      <c r="B28" s="115">
        <f>Лист1!B21</f>
        <v>4418.62</v>
      </c>
      <c r="C28" s="42">
        <f>Лист1!C21</f>
        <v>38221.063</v>
      </c>
      <c r="D28" s="43">
        <f>Лист1!D21</f>
        <v>3767.963000000006</v>
      </c>
      <c r="E28" s="18">
        <f>Лист1!S21</f>
        <v>28123.42</v>
      </c>
      <c r="F28" s="20">
        <f>Лист1!T21</f>
        <v>6329.68</v>
      </c>
      <c r="G28" s="168">
        <f>Лист1!AF21</f>
        <v>1071.1154999999999</v>
      </c>
      <c r="H28" s="44">
        <f>Лист1!AB21</f>
        <v>24758.36</v>
      </c>
      <c r="I28" s="20">
        <f>Лист1!AC21</f>
        <v>34856.00300000001</v>
      </c>
      <c r="J28" s="44">
        <f>Лист1!AG21</f>
        <v>2651.172</v>
      </c>
      <c r="K28" s="18">
        <f>Лист1!AI21+Лист1!AJ21</f>
        <v>4366.5500098236</v>
      </c>
      <c r="L28" s="18">
        <f>Лист1!AH21+Лист1!AK21+Лист1!AL21+Лист1!AM21+Лист1!AN21+Лист1!AP21+Лист1!AO21+Лист1!AQ21+Лист1!AR21</f>
        <v>21519.04770716</v>
      </c>
      <c r="M28" s="19">
        <f>Лист1!AS21+Лист1!AT21+Лист1!AU21+Лист1!AQ21+Лист1!AR21</f>
        <v>6635.789</v>
      </c>
      <c r="N28" s="19">
        <f>Лист1!AX21</f>
        <v>600.0064000000001</v>
      </c>
      <c r="O28" s="61">
        <f>Лист1!BB21</f>
        <v>29279.556116983593</v>
      </c>
      <c r="P28" s="25">
        <f>Лист1!BC21</f>
        <v>505.93566855000006</v>
      </c>
      <c r="Q28" s="159">
        <f t="shared" si="1"/>
        <v>6141.626714466419</v>
      </c>
      <c r="R28" s="45">
        <f>Лист1!BE21</f>
        <v>-3365.0599999999977</v>
      </c>
    </row>
    <row r="29" spans="1:18" ht="12.75">
      <c r="A29" s="12" t="s">
        <v>51</v>
      </c>
      <c r="B29" s="115">
        <f>Лист1!B22</f>
        <v>4418.62</v>
      </c>
      <c r="C29" s="42">
        <f>Лист1!C22</f>
        <v>38221.063</v>
      </c>
      <c r="D29" s="43">
        <f>Лист1!D22</f>
        <v>3741.5329999999994</v>
      </c>
      <c r="E29" s="18">
        <f>Лист1!S22</f>
        <v>28149.85</v>
      </c>
      <c r="F29" s="20">
        <f>Лист1!T22</f>
        <v>6329.68</v>
      </c>
      <c r="G29" s="168">
        <f>Лист1!AF22</f>
        <v>1071.1154999999999</v>
      </c>
      <c r="H29" s="44">
        <f>Лист1!AB22</f>
        <v>26537.19</v>
      </c>
      <c r="I29" s="20">
        <f>Лист1!AC22</f>
        <v>36608.403</v>
      </c>
      <c r="J29" s="44">
        <f>Лист1!AG22</f>
        <v>2651.172</v>
      </c>
      <c r="K29" s="18">
        <f>Лист1!AI22+Лист1!AJ22</f>
        <v>4365.7965909274</v>
      </c>
      <c r="L29" s="18">
        <f>Лист1!AH22+Лист1!AK22+Лист1!AL22+Лист1!AM22+Лист1!AN22+Лист1!AP22+Лист1!AO22+Лист1!AQ22+Лист1!AR22</f>
        <v>21517.172851345036</v>
      </c>
      <c r="M29" s="19">
        <f>Лист1!AS22+Лист1!AT22+Лист1!AU22+Лист1!AQ22+Лист1!AR22</f>
        <v>6493.009</v>
      </c>
      <c r="N29" s="19">
        <f>Лист1!AX22</f>
        <v>851.1104</v>
      </c>
      <c r="O29" s="61">
        <f>Лист1!BB22</f>
        <v>29385.251842272435</v>
      </c>
      <c r="P29" s="25">
        <f>Лист1!BC22</f>
        <v>505.859148795</v>
      </c>
      <c r="Q29" s="159">
        <f t="shared" si="1"/>
        <v>7788.407508932563</v>
      </c>
      <c r="R29" s="45">
        <f>Лист1!BE22</f>
        <v>-1612.6599999999999</v>
      </c>
    </row>
    <row r="30" spans="1:18" ht="12.75">
      <c r="A30" s="12" t="s">
        <v>39</v>
      </c>
      <c r="B30" s="115">
        <f>Лист1!B23</f>
        <v>4418.62</v>
      </c>
      <c r="C30" s="42">
        <f>Лист1!C23</f>
        <v>38221.063</v>
      </c>
      <c r="D30" s="43">
        <f>Лист1!D23</f>
        <v>3708.542999999995</v>
      </c>
      <c r="E30" s="18">
        <f>Лист1!S23</f>
        <v>28334.280000000002</v>
      </c>
      <c r="F30" s="20">
        <f>Лист1!T23</f>
        <v>6178.239999999999</v>
      </c>
      <c r="G30" s="168">
        <f>Лист1!AF23</f>
        <v>1071.1154999999999</v>
      </c>
      <c r="H30" s="44">
        <f>Лист1!AB23</f>
        <v>29240.089999999997</v>
      </c>
      <c r="I30" s="20">
        <f>Лист1!AC23</f>
        <v>39126.87299999999</v>
      </c>
      <c r="J30" s="44">
        <f>Лист1!AG23</f>
        <v>2651.172</v>
      </c>
      <c r="K30" s="18">
        <f>Лист1!AI23+Лист1!AJ23</f>
        <v>4416.2339452</v>
      </c>
      <c r="L30" s="18">
        <f>Лист1!AH23+Лист1!AK23+Лист1!AL23+Лист1!AM23+Лист1!AN23+Лист1!AP23+Лист1!AO23+Лист1!AQ23+Лист1!AR23</f>
        <v>15153.215428</v>
      </c>
      <c r="M30" s="19">
        <f>Лист1!AS23+Лист1!AT23+Лист1!AU23+Лист1!AQ23+Лист1!AR23</f>
        <v>2393.984</v>
      </c>
      <c r="N30" s="19">
        <f>Лист1!AX23</f>
        <v>829.9648</v>
      </c>
      <c r="O30" s="61">
        <f>Лист1!BB23</f>
        <v>25444.570173199998</v>
      </c>
      <c r="P30" s="25">
        <f>Лист1!BC23</f>
        <v>509.80155</v>
      </c>
      <c r="Q30" s="159">
        <f t="shared" si="1"/>
        <v>14243.616776799994</v>
      </c>
      <c r="R30" s="45">
        <f>Лист1!BE23</f>
        <v>905.809999999994</v>
      </c>
    </row>
    <row r="31" spans="1:18" ht="12.75">
      <c r="A31" s="12" t="s">
        <v>40</v>
      </c>
      <c r="B31" s="115">
        <f>Лист1!B24</f>
        <v>4418.62</v>
      </c>
      <c r="C31" s="42">
        <f>Лист1!C24</f>
        <v>38221.063</v>
      </c>
      <c r="D31" s="43">
        <f>Лист1!D24</f>
        <v>3682.8230000000067</v>
      </c>
      <c r="E31" s="18">
        <f>Лист1!S24</f>
        <v>28343.079999999998</v>
      </c>
      <c r="F31" s="20">
        <f>Лист1!T24</f>
        <v>6195.16</v>
      </c>
      <c r="G31" s="168">
        <f>Лист1!AF24</f>
        <v>1071.1154999999999</v>
      </c>
      <c r="H31" s="44">
        <f>Лист1!AB24</f>
        <v>30876.950000000004</v>
      </c>
      <c r="I31" s="20">
        <f>Лист1!AC24</f>
        <v>40754.93300000001</v>
      </c>
      <c r="J31" s="44">
        <f>Лист1!AG24</f>
        <v>2651.172</v>
      </c>
      <c r="K31" s="18">
        <f>Лист1!AI24+Лист1!AJ24</f>
        <v>4431.87586</v>
      </c>
      <c r="L31" s="18">
        <f>Лист1!AH24+Лист1!AK24+Лист1!AL24+Лист1!AM24+Лист1!AN24+Лист1!AP24+Лист1!AO24+Лист1!AQ24+Лист1!AR24</f>
        <v>15170.006183999998</v>
      </c>
      <c r="M31" s="19">
        <f>Лист1!AS24+Лист1!AT24+Лист1!AU24+Лист1!AQ24+Лист1!AR24</f>
        <v>999.46</v>
      </c>
      <c r="N31" s="19">
        <f>Лист1!AX24</f>
        <v>1088.9984000000002</v>
      </c>
      <c r="O31" s="61">
        <f>Лист1!BB24</f>
        <v>24341.512443999996</v>
      </c>
      <c r="P31" s="25">
        <f>Лист1!BC24</f>
        <v>510.52950000000004</v>
      </c>
      <c r="Q31" s="159">
        <f t="shared" si="1"/>
        <v>16974.006556000015</v>
      </c>
      <c r="R31" s="45">
        <f>Лист1!BE24</f>
        <v>2533.8700000000063</v>
      </c>
    </row>
    <row r="32" spans="1:18" ht="13.5" thickBot="1">
      <c r="A32" s="46" t="s">
        <v>41</v>
      </c>
      <c r="B32" s="115">
        <f>Лист1!B25</f>
        <v>4418.62</v>
      </c>
      <c r="C32" s="42">
        <f>Лист1!C25</f>
        <v>38221.063</v>
      </c>
      <c r="D32" s="43">
        <f>Лист1!D25</f>
        <v>2500.953000000004</v>
      </c>
      <c r="E32" s="18">
        <f>Лист1!S25</f>
        <v>29524.92</v>
      </c>
      <c r="F32" s="20">
        <f>Лист1!T25</f>
        <v>6195.19</v>
      </c>
      <c r="G32" s="168">
        <f>Лист1!AF25</f>
        <v>1071.1154999999999</v>
      </c>
      <c r="H32" s="44">
        <f>Лист1!AB25</f>
        <v>36439.81</v>
      </c>
      <c r="I32" s="20">
        <f>Лист1!AC25</f>
        <v>45135.953</v>
      </c>
      <c r="J32" s="44">
        <f>Лист1!AG25</f>
        <v>2651.172</v>
      </c>
      <c r="K32" s="18">
        <f>Лист1!AI25+Лист1!AJ25</f>
        <v>4431.87586</v>
      </c>
      <c r="L32" s="18">
        <f>Лист1!AH25+Лист1!AK25+Лист1!AL25+Лист1!AM25+Лист1!AN25+Лист1!AP25+Лист1!AO25+Лист1!AQ25+Лист1!AR25</f>
        <v>15170.006183999998</v>
      </c>
      <c r="M32" s="19">
        <f>Лист1!AS25+Лист1!AT25+Лист1!AU25+Лист1!AQ25+Лист1!AR25</f>
        <v>0</v>
      </c>
      <c r="N32" s="19">
        <f>Лист1!AX25</f>
        <v>1235.696</v>
      </c>
      <c r="O32" s="61">
        <f>Лист1!BB25</f>
        <v>23488.750043999997</v>
      </c>
      <c r="P32" s="25">
        <f>Лист1!BC25</f>
        <v>510.52950000000004</v>
      </c>
      <c r="Q32" s="159">
        <f t="shared" si="1"/>
        <v>22207.788956000004</v>
      </c>
      <c r="R32" s="45">
        <f>Лист1!BE25</f>
        <v>6914.889999999999</v>
      </c>
    </row>
    <row r="33" spans="1:18" s="26" customFormat="1" ht="13.5" thickBot="1">
      <c r="A33" s="47" t="s">
        <v>5</v>
      </c>
      <c r="B33" s="48"/>
      <c r="C33" s="51">
        <f aca="true" t="shared" si="2" ref="C33:O33">SUM(C21:C32)</f>
        <v>458721.78300000017</v>
      </c>
      <c r="D33" s="51">
        <f t="shared" si="2"/>
        <v>47848.48362500002</v>
      </c>
      <c r="E33" s="51">
        <f t="shared" si="2"/>
        <v>328314.54</v>
      </c>
      <c r="F33" s="51">
        <f t="shared" si="2"/>
        <v>73222.99</v>
      </c>
      <c r="G33" s="168">
        <f>Лист1!AF27</f>
        <v>9361.449612</v>
      </c>
      <c r="H33" s="51">
        <f t="shared" si="2"/>
        <v>300801.32</v>
      </c>
      <c r="I33" s="51">
        <f t="shared" si="2"/>
        <v>421872.793625</v>
      </c>
      <c r="J33" s="51">
        <f t="shared" si="2"/>
        <v>30757.973999999995</v>
      </c>
      <c r="K33" s="51">
        <f t="shared" si="2"/>
        <v>50736.199410393</v>
      </c>
      <c r="L33" s="51">
        <f t="shared" si="2"/>
        <v>226182.16291634142</v>
      </c>
      <c r="M33" s="51">
        <f t="shared" si="2"/>
        <v>109204.61394000001</v>
      </c>
      <c r="N33" s="51">
        <f t="shared" si="2"/>
        <v>12120.393600000001</v>
      </c>
      <c r="O33" s="51">
        <f t="shared" si="2"/>
        <v>375916.29092673433</v>
      </c>
      <c r="P33" s="166">
        <f>SUM(P21:P32)</f>
        <v>3876.8227650890003</v>
      </c>
      <c r="Q33" s="51">
        <f>I33+G33-O33-P33</f>
        <v>51441.12954517668</v>
      </c>
      <c r="R33" s="51">
        <f>SUM(R21:R32)</f>
        <v>-27513.22</v>
      </c>
    </row>
    <row r="34" spans="1:18" ht="24.75" customHeight="1" thickBot="1">
      <c r="A34" s="349" t="s">
        <v>87</v>
      </c>
      <c r="B34" s="350"/>
      <c r="C34" s="51">
        <f aca="true" t="shared" si="3" ref="C34:Q34">C19+C33</f>
        <v>573483.0630000002</v>
      </c>
      <c r="D34" s="51">
        <f t="shared" si="3"/>
        <v>75471.90625860002</v>
      </c>
      <c r="E34" s="51">
        <f t="shared" si="3"/>
        <v>398666.88</v>
      </c>
      <c r="F34" s="51">
        <f t="shared" si="3"/>
        <v>90425.66</v>
      </c>
      <c r="G34" s="165">
        <f>G33+G19</f>
        <v>9361.449612</v>
      </c>
      <c r="H34" s="51">
        <f t="shared" si="3"/>
        <v>339918.08</v>
      </c>
      <c r="I34" s="51">
        <f t="shared" si="3"/>
        <v>505815.6462586</v>
      </c>
      <c r="J34" s="51">
        <f t="shared" si="3"/>
        <v>38718.293999999994</v>
      </c>
      <c r="K34" s="51">
        <f t="shared" si="3"/>
        <v>64058.415231832994</v>
      </c>
      <c r="L34" s="51">
        <f t="shared" si="3"/>
        <v>272888.2537011734</v>
      </c>
      <c r="M34" s="51">
        <f t="shared" si="3"/>
        <v>165748.50294</v>
      </c>
      <c r="N34" s="51">
        <f t="shared" si="3"/>
        <v>12120.393600000001</v>
      </c>
      <c r="O34" s="51">
        <f t="shared" si="3"/>
        <v>500448.80653300637</v>
      </c>
      <c r="P34" s="165">
        <f>P33+P19</f>
        <v>3876.8227650890003</v>
      </c>
      <c r="Q34" s="51">
        <f t="shared" si="3"/>
        <v>10851.466572504694</v>
      </c>
      <c r="R34" s="51">
        <f>R19+R33</f>
        <v>-58748.8</v>
      </c>
    </row>
    <row r="35" spans="1:18" ht="12.75">
      <c r="A35" s="8" t="s">
        <v>82</v>
      </c>
      <c r="B35" s="116"/>
      <c r="C35" s="52"/>
      <c r="D35" s="53"/>
      <c r="E35" s="54"/>
      <c r="F35" s="55"/>
      <c r="G35" s="169"/>
      <c r="H35" s="56"/>
      <c r="I35" s="55"/>
      <c r="J35" s="56"/>
      <c r="K35" s="18"/>
      <c r="L35" s="18"/>
      <c r="M35" s="19"/>
      <c r="N35" s="117"/>
      <c r="O35" s="20"/>
      <c r="P35" s="164"/>
      <c r="Q35" s="45"/>
      <c r="R35" s="45"/>
    </row>
    <row r="36" spans="1:18" ht="12.75">
      <c r="A36" s="12" t="s">
        <v>43</v>
      </c>
      <c r="B36" s="115">
        <f>Лист1!B29</f>
        <v>4418.62</v>
      </c>
      <c r="C36" s="42">
        <f>Лист1!C29</f>
        <v>38221.063</v>
      </c>
      <c r="D36" s="43">
        <f>Лист1!D29</f>
        <v>3667.372999999998</v>
      </c>
      <c r="E36" s="18">
        <f>Лист1!S29</f>
        <v>28456.5</v>
      </c>
      <c r="F36" s="20">
        <f>Лист1!T29</f>
        <v>6097.1900000000005</v>
      </c>
      <c r="G36" s="168">
        <f>Лист1!AF29</f>
        <v>1071.1154999999999</v>
      </c>
      <c r="H36" s="44">
        <f>Лист1!AB29</f>
        <v>19232.34</v>
      </c>
      <c r="I36" s="20">
        <f>Лист1!AC29</f>
        <v>28996.903</v>
      </c>
      <c r="J36" s="44">
        <f>Лист1!AG29</f>
        <v>2651.172</v>
      </c>
      <c r="K36" s="18">
        <f>Лист1!AI29+Лист1!AJ29</f>
        <v>4418.62</v>
      </c>
      <c r="L36" s="18">
        <f>Лист1!AH29+Лист1!AK29+Лист1!AL29+Лист1!AM29+Лист1!AN29+Лист1!AP29+Лист1!AO29+Лист1!AQ29+Лист1!AR29</f>
        <v>15155.866600000001</v>
      </c>
      <c r="M36" s="19">
        <f>Лист1!AS29+Лист1!AT29+Лист1!AU29</f>
        <v>0</v>
      </c>
      <c r="N36" s="19">
        <f>Лист1!AX29</f>
        <v>1344</v>
      </c>
      <c r="O36" s="20">
        <f>Лист1!BB29</f>
        <v>23569.6586</v>
      </c>
      <c r="P36" s="25">
        <f>Лист1!BC29</f>
        <v>509.925</v>
      </c>
      <c r="Q36" s="45">
        <f>I36+G36-O36-P36</f>
        <v>5988.434899999999</v>
      </c>
      <c r="R36" s="45">
        <f>Лист1!BE29</f>
        <v>-9224.16</v>
      </c>
    </row>
    <row r="37" spans="1:18" ht="12.75">
      <c r="A37" s="12" t="s">
        <v>44</v>
      </c>
      <c r="B37" s="115">
        <f>Лист1!B30</f>
        <v>4418.62</v>
      </c>
      <c r="C37" s="42">
        <f>Лист1!C30</f>
        <v>38221.063</v>
      </c>
      <c r="D37" s="43">
        <f>Лист1!D30</f>
        <v>3642.2230000000104</v>
      </c>
      <c r="E37" s="18">
        <f>Лист1!S30</f>
        <v>28527.05</v>
      </c>
      <c r="F37" s="20">
        <f>Лист1!T30</f>
        <v>6051.789999999999</v>
      </c>
      <c r="G37" s="168">
        <f>Лист1!AF30</f>
        <v>1071.1154999999999</v>
      </c>
      <c r="H37" s="44">
        <f>Лист1!AB30</f>
        <v>32634.6</v>
      </c>
      <c r="I37" s="20">
        <f>Лист1!AC30</f>
        <v>42328.61300000001</v>
      </c>
      <c r="J37" s="44">
        <f>Лист1!AG30</f>
        <v>2651.172</v>
      </c>
      <c r="K37" s="18">
        <f>Лист1!AI30+Лист1!AJ30</f>
        <v>4418.62</v>
      </c>
      <c r="L37" s="18">
        <f>Лист1!AH30+Лист1!AK30+Лист1!AL30+Лист1!AM30+Лист1!AN30+Лист1!AP30+Лист1!AO30+Лист1!AQ30+Лист1!AR30</f>
        <v>15155.866600000001</v>
      </c>
      <c r="M37" s="19">
        <f>Лист1!AS30+Лист1!AT30+Лист1!AU30</f>
        <v>9614</v>
      </c>
      <c r="N37" s="19">
        <f>Лист1!AX30</f>
        <v>1397.1999999999998</v>
      </c>
      <c r="O37" s="20">
        <f>Лист1!BB30</f>
        <v>33236.85859999999</v>
      </c>
      <c r="P37" s="25">
        <f>Лист1!BC30</f>
        <v>509.925</v>
      </c>
      <c r="Q37" s="45">
        <f aca="true" t="shared" si="4" ref="Q37:Q47">I37+G37-O37-P37</f>
        <v>9652.94490000002</v>
      </c>
      <c r="R37" s="45">
        <f>Лист1!BE30</f>
        <v>4107.549999999999</v>
      </c>
    </row>
    <row r="38" spans="1:18" ht="12.75">
      <c r="A38" s="12" t="s">
        <v>45</v>
      </c>
      <c r="B38" s="115">
        <f>Лист1!B31</f>
        <v>4418.62</v>
      </c>
      <c r="C38" s="42">
        <f>Лист1!C31</f>
        <v>38221.063</v>
      </c>
      <c r="D38" s="43">
        <f>Лист1!D31</f>
        <v>3634.8130000000083</v>
      </c>
      <c r="E38" s="18">
        <f>Лист1!S31</f>
        <v>28604.65</v>
      </c>
      <c r="F38" s="20">
        <f>Лист1!T31</f>
        <v>5981.6</v>
      </c>
      <c r="G38" s="168">
        <f>Лист1!AF31</f>
        <v>1071.1154999999999</v>
      </c>
      <c r="H38" s="44">
        <f>Лист1!AB31</f>
        <v>29993.399999999998</v>
      </c>
      <c r="I38" s="20">
        <f>Лист1!AC31</f>
        <v>39609.81300000001</v>
      </c>
      <c r="J38" s="44">
        <f>Лист1!AG31</f>
        <v>2651.172</v>
      </c>
      <c r="K38" s="18">
        <f>Лист1!AI31+Лист1!AJ31</f>
        <v>4418.62</v>
      </c>
      <c r="L38" s="18">
        <f>Лист1!AH31+Лист1!AK31+Лист1!AL31+Лист1!AM31+Лист1!AN31+Лист1!AP31+Лист1!AO31+Лист1!AQ31+Лист1!AR31</f>
        <v>15155.866600000001</v>
      </c>
      <c r="M38" s="19">
        <f>Лист1!AS31+Лист1!AT31+Лист1!AU31</f>
        <v>9808</v>
      </c>
      <c r="N38" s="19">
        <f>Лист1!AX31</f>
        <v>1029</v>
      </c>
      <c r="O38" s="20">
        <f>Лист1!BB31</f>
        <v>33062.658599999995</v>
      </c>
      <c r="P38" s="25">
        <f>Лист1!BC31</f>
        <v>509.925</v>
      </c>
      <c r="Q38" s="45">
        <f t="shared" si="4"/>
        <v>7108.344900000014</v>
      </c>
      <c r="R38" s="45">
        <f>Лист1!BE31</f>
        <v>1388.7499999999964</v>
      </c>
    </row>
    <row r="39" spans="1:18" ht="12.75">
      <c r="A39" s="12" t="s">
        <v>46</v>
      </c>
      <c r="B39" s="115">
        <f>Лист1!B32</f>
        <v>4418.62</v>
      </c>
      <c r="C39" s="42">
        <f>Лист1!C32</f>
        <v>38221.063</v>
      </c>
      <c r="D39" s="43">
        <f>Лист1!D32</f>
        <v>3661.623000000008</v>
      </c>
      <c r="E39" s="18">
        <f>Лист1!S32</f>
        <v>28577.84</v>
      </c>
      <c r="F39" s="20">
        <f>Лист1!T32</f>
        <v>5981.6</v>
      </c>
      <c r="G39" s="168">
        <f>Лист1!AF32</f>
        <v>1071.1154999999999</v>
      </c>
      <c r="H39" s="44">
        <f>Лист1!AB32</f>
        <v>20310.649999999998</v>
      </c>
      <c r="I39" s="20">
        <f>Лист1!AC32</f>
        <v>29953.873000000007</v>
      </c>
      <c r="J39" s="44">
        <f>Лист1!AG32</f>
        <v>2651.172</v>
      </c>
      <c r="K39" s="18">
        <f>Лист1!AI32+Лист1!AJ32</f>
        <v>4418.62</v>
      </c>
      <c r="L39" s="18">
        <f>Лист1!AH32+Лист1!AK32+Лист1!AL32+Лист1!AM32+Лист1!AN32+Лист1!AP32+Лист1!AO32+Лист1!AQ32+Лист1!AR32</f>
        <v>15155.866600000001</v>
      </c>
      <c r="M39" s="19">
        <f>Лист1!AS32+Лист1!AT32+Лист1!AU32</f>
        <v>4188</v>
      </c>
      <c r="N39" s="19">
        <f>Лист1!AX32</f>
        <v>922.5999999999999</v>
      </c>
      <c r="O39" s="20">
        <f>Лист1!BB32</f>
        <v>27336.258599999997</v>
      </c>
      <c r="P39" s="25">
        <f>Лист1!BC32</f>
        <v>509.925</v>
      </c>
      <c r="Q39" s="45">
        <f t="shared" si="4"/>
        <v>3178.804900000009</v>
      </c>
      <c r="R39" s="45">
        <f>Лист1!BE32</f>
        <v>-8267.190000000002</v>
      </c>
    </row>
    <row r="40" spans="1:18" ht="12.75">
      <c r="A40" s="12" t="s">
        <v>47</v>
      </c>
      <c r="B40" s="115">
        <f>Лист1!B33</f>
        <v>4420.16</v>
      </c>
      <c r="C40" s="42">
        <f>Лист1!C33</f>
        <v>38234.384</v>
      </c>
      <c r="D40" s="43">
        <f>Лист1!D33</f>
        <v>3689.883999999996</v>
      </c>
      <c r="E40" s="18">
        <f>Лист1!S33</f>
        <v>28435.1</v>
      </c>
      <c r="F40" s="20">
        <f>Лист1!T33</f>
        <v>6109.4</v>
      </c>
      <c r="G40" s="168">
        <f>Лист1!AF33</f>
        <v>1071.1154999999999</v>
      </c>
      <c r="H40" s="44">
        <f>Лист1!AB33</f>
        <v>23928.52</v>
      </c>
      <c r="I40" s="20">
        <f>Лист1!AC33</f>
        <v>33727.804</v>
      </c>
      <c r="J40" s="44">
        <f>Лист1!AG33</f>
        <v>2652.096</v>
      </c>
      <c r="K40" s="18">
        <f>Лист1!AI33+Лист1!AJ33</f>
        <v>4420.16</v>
      </c>
      <c r="L40" s="18">
        <f>Лист1!AH33+Лист1!AK33+Лист1!AL33+Лист1!AM33+Лист1!AN33+Лист1!AP33+Лист1!AO33+Лист1!AQ33+Лист1!AR33</f>
        <v>20075.148800000003</v>
      </c>
      <c r="M40" s="19">
        <f>Лист1!AS33+Лист1!AT33+Лист1!AU33</f>
        <v>839</v>
      </c>
      <c r="N40" s="19">
        <f>Лист1!AX33</f>
        <v>690.1999999999999</v>
      </c>
      <c r="O40" s="20">
        <f>Лист1!BB33</f>
        <v>28676.6048</v>
      </c>
      <c r="P40" s="25">
        <f>Лист1!BC33</f>
        <v>509.925</v>
      </c>
      <c r="Q40" s="45">
        <f t="shared" si="4"/>
        <v>5612.389699999995</v>
      </c>
      <c r="R40" s="45">
        <f>Лист1!BE33</f>
        <v>-4506.579999999998</v>
      </c>
    </row>
    <row r="41" spans="1:18" ht="12.75">
      <c r="A41" s="12" t="s">
        <v>48</v>
      </c>
      <c r="B41" s="115">
        <f>Лист1!B34</f>
        <v>4420.16</v>
      </c>
      <c r="C41" s="42">
        <f>Лист1!C34</f>
        <v>38234.384</v>
      </c>
      <c r="D41" s="43">
        <f>Лист1!D34</f>
        <v>3703.6439999999934</v>
      </c>
      <c r="E41" s="18">
        <f>Лист1!S34</f>
        <v>28421.340000000004</v>
      </c>
      <c r="F41" s="20">
        <f>Лист1!T34</f>
        <v>6109.4</v>
      </c>
      <c r="G41" s="168">
        <f>Лист1!AF34</f>
        <v>1071.1154999999999</v>
      </c>
      <c r="H41" s="44">
        <f>Лист1!AB34</f>
        <v>23810.09</v>
      </c>
      <c r="I41" s="20">
        <f>Лист1!AC34</f>
        <v>33623.13399999999</v>
      </c>
      <c r="J41" s="44">
        <f>Лист1!AG34</f>
        <v>2652.096</v>
      </c>
      <c r="K41" s="18">
        <f>Лист1!AI34+Лист1!AJ34</f>
        <v>4420.16</v>
      </c>
      <c r="L41" s="18">
        <f>Лист1!AH34+Лист1!AK34+Лист1!AL34+Лист1!AM34+Лист1!AN34+Лист1!AP34+Лист1!AO34+Лист1!AQ34+Лист1!AR34</f>
        <v>15261.1488</v>
      </c>
      <c r="M41" s="19">
        <f>Лист1!AS34+Лист1!AT34+Лист1!AU34</f>
        <v>5584.27</v>
      </c>
      <c r="N41" s="19">
        <f>Лист1!AX34</f>
        <v>539</v>
      </c>
      <c r="O41" s="20">
        <f>Лист1!BB34</f>
        <v>28456.6748</v>
      </c>
      <c r="P41" s="25">
        <f>Лист1!BC34</f>
        <v>509.925</v>
      </c>
      <c r="Q41" s="45">
        <f t="shared" si="4"/>
        <v>5727.64969999999</v>
      </c>
      <c r="R41" s="45">
        <f>Лист1!BE34</f>
        <v>-4611.250000000004</v>
      </c>
    </row>
    <row r="42" spans="1:18" ht="12.75">
      <c r="A42" s="12" t="s">
        <v>49</v>
      </c>
      <c r="B42" s="115">
        <f>Лист1!B35</f>
        <v>4420.16</v>
      </c>
      <c r="C42" s="42">
        <f>Лист1!C35</f>
        <v>38234.384</v>
      </c>
      <c r="D42" s="43">
        <f>Лист1!D35</f>
        <v>3733.0740000000014</v>
      </c>
      <c r="E42" s="18">
        <f>Лист1!S35</f>
        <v>34501.31</v>
      </c>
      <c r="F42" s="20">
        <f>Лист1!T35</f>
        <v>0</v>
      </c>
      <c r="G42" s="168">
        <f>Лист1!AF35</f>
        <v>1071.1154999999999</v>
      </c>
      <c r="H42" s="44">
        <f>Лист1!AB35</f>
        <v>38810.11000000001</v>
      </c>
      <c r="I42" s="20">
        <f>Лист1!AC35</f>
        <v>42543.18400000001</v>
      </c>
      <c r="J42" s="44">
        <f>Лист1!AG35</f>
        <v>2652.096</v>
      </c>
      <c r="K42" s="18">
        <f>Лист1!AI35+Лист1!AJ35</f>
        <v>4420.16</v>
      </c>
      <c r="L42" s="18">
        <f>Лист1!AH35+Лист1!AK35+Лист1!AL35+Лист1!AM35+Лист1!AN35+Лист1!AP35+Лист1!AO35+Лист1!AQ35+Лист1!AR35</f>
        <v>15161.1488</v>
      </c>
      <c r="M42" s="19">
        <f>Лист1!AS35+Лист1!AT35+Лист1!AU35</f>
        <v>12000</v>
      </c>
      <c r="N42" s="19">
        <f>Лист1!AX35</f>
        <v>641.1999999999999</v>
      </c>
      <c r="O42" s="20">
        <f>Лист1!BB35</f>
        <v>34874.6048</v>
      </c>
      <c r="P42" s="25">
        <f>Лист1!BC35</f>
        <v>509.925</v>
      </c>
      <c r="Q42" s="45">
        <f t="shared" si="4"/>
        <v>8229.769700000008</v>
      </c>
      <c r="R42" s="45">
        <f>Лист1!BE35</f>
        <v>4308.80000000001</v>
      </c>
    </row>
    <row r="43" spans="1:18" ht="12.75">
      <c r="A43" s="12" t="s">
        <v>50</v>
      </c>
      <c r="B43" s="115">
        <f>Лист1!B36</f>
        <v>4420.16</v>
      </c>
      <c r="C43" s="42">
        <f>Лист1!C36</f>
        <v>38234.384</v>
      </c>
      <c r="D43" s="43">
        <f>Лист1!D36</f>
        <v>3725.533999999996</v>
      </c>
      <c r="E43" s="18">
        <f>Лист1!S36</f>
        <v>34508.85</v>
      </c>
      <c r="F43" s="20">
        <f>Лист1!T36</f>
        <v>0</v>
      </c>
      <c r="G43" s="168">
        <f>Лист1!AF36</f>
        <v>1071.1154999999999</v>
      </c>
      <c r="H43" s="44">
        <f>Лист1!AB36</f>
        <v>29575.22</v>
      </c>
      <c r="I43" s="20">
        <f>Лист1!AC36</f>
        <v>33300.754</v>
      </c>
      <c r="J43" s="44">
        <f>Лист1!AG36</f>
        <v>2652.096</v>
      </c>
      <c r="K43" s="18">
        <f>Лист1!AI36+Лист1!AJ36</f>
        <v>4420.16</v>
      </c>
      <c r="L43" s="18">
        <f>Лист1!AH36+Лист1!AK36+Лист1!AL36+Лист1!AM36+Лист1!AN36+Лист1!AP36+Лист1!AO36+Лист1!AQ36+Лист1!AR36</f>
        <v>15161.1488</v>
      </c>
      <c r="M43" s="19">
        <f>Лист1!AS36+Лист1!AT36+Лист1!AU36</f>
        <v>12089.8</v>
      </c>
      <c r="N43" s="19">
        <f>Лист1!AX36</f>
        <v>732.1999999999999</v>
      </c>
      <c r="O43" s="20">
        <f>Лист1!BB36</f>
        <v>35055.4048</v>
      </c>
      <c r="P43" s="25">
        <f>Лист1!BC36</f>
        <v>509.925</v>
      </c>
      <c r="Q43" s="45">
        <f t="shared" si="4"/>
        <v>-1193.4602999999959</v>
      </c>
      <c r="R43" s="45">
        <f>Лист1!BE36</f>
        <v>-4933.629999999997</v>
      </c>
    </row>
    <row r="44" spans="1:18" ht="12.75">
      <c r="A44" s="12" t="s">
        <v>51</v>
      </c>
      <c r="B44" s="115">
        <f>Лист1!B37</f>
        <v>4420.16</v>
      </c>
      <c r="C44" s="42">
        <f>Лист1!C37</f>
        <v>38234.384</v>
      </c>
      <c r="D44" s="43">
        <f>Лист1!D37</f>
        <v>3721.0840000000007</v>
      </c>
      <c r="E44" s="18">
        <f>Лист1!S37</f>
        <v>34513.3</v>
      </c>
      <c r="F44" s="20">
        <f>Лист1!T37</f>
        <v>0</v>
      </c>
      <c r="G44" s="168">
        <f>Лист1!AF37</f>
        <v>1071.1154999999999</v>
      </c>
      <c r="H44" s="44">
        <f>Лист1!AB37</f>
        <v>34496.97</v>
      </c>
      <c r="I44" s="20">
        <f>Лист1!AC37</f>
        <v>38218.054000000004</v>
      </c>
      <c r="J44" s="44">
        <f>Лист1!AG37</f>
        <v>2652.096</v>
      </c>
      <c r="K44" s="18">
        <f>Лист1!AI37+Лист1!AJ37</f>
        <v>4420.16</v>
      </c>
      <c r="L44" s="18">
        <f>Лист1!AH37+Лист1!AK37+Лист1!AL37+Лист1!AM37+Лист1!AN37+Лист1!AP37+Лист1!AO37+Лист1!AQ37+Лист1!AR37</f>
        <v>15161.1488</v>
      </c>
      <c r="M44" s="19">
        <f>Лист1!AS37+Лист1!AT37+Лист1!AU37</f>
        <v>29429.59</v>
      </c>
      <c r="N44" s="19">
        <f>Лист1!AX37</f>
        <v>933.8</v>
      </c>
      <c r="O44" s="20">
        <f>Лист1!BB37</f>
        <v>52596.7948</v>
      </c>
      <c r="P44" s="25">
        <f>Лист1!BC37</f>
        <v>509.925</v>
      </c>
      <c r="Q44" s="45">
        <f t="shared" si="4"/>
        <v>-13817.550299999999</v>
      </c>
      <c r="R44" s="45">
        <f>Лист1!BE37</f>
        <v>-16.330000000001746</v>
      </c>
    </row>
    <row r="45" spans="1:18" ht="12.75">
      <c r="A45" s="12" t="s">
        <v>39</v>
      </c>
      <c r="B45" s="115">
        <f>Лист1!B38</f>
        <v>4420.16</v>
      </c>
      <c r="C45" s="42">
        <f>Лист1!C38</f>
        <v>38234.384</v>
      </c>
      <c r="D45" s="43">
        <f>Лист1!D38</f>
        <v>3718.413999999999</v>
      </c>
      <c r="E45" s="18">
        <f>Лист1!S38</f>
        <v>34515.97</v>
      </c>
      <c r="F45" s="20">
        <f>Лист1!T38</f>
        <v>0</v>
      </c>
      <c r="G45" s="168">
        <f>Лист1!AF38</f>
        <v>1221.1154999999999</v>
      </c>
      <c r="H45" s="44">
        <f>Лист1!AB38</f>
        <v>31783.440000000002</v>
      </c>
      <c r="I45" s="20">
        <f>Лист1!AC38</f>
        <v>35501.854</v>
      </c>
      <c r="J45" s="44">
        <f>Лист1!AG38</f>
        <v>2652.096</v>
      </c>
      <c r="K45" s="18">
        <f>Лист1!AI38+Лист1!AJ38</f>
        <v>4420.16</v>
      </c>
      <c r="L45" s="18">
        <f>Лист1!AH38+Лист1!AK38+Лист1!AL38+Лист1!AM38+Лист1!AN38+Лист1!AP38+Лист1!AO38+Лист1!AQ38+Лист1!AR38</f>
        <v>15161.1488</v>
      </c>
      <c r="M45" s="19">
        <f>Лист1!AS38+Лист1!AT38+Лист1!AU38</f>
        <v>33847</v>
      </c>
      <c r="N45" s="19">
        <f>Лист1!AX38</f>
        <v>830.1999999999999</v>
      </c>
      <c r="O45" s="20">
        <f>Лист1!BB38</f>
        <v>56910.6048</v>
      </c>
      <c r="P45" s="25">
        <f>Лист1!BC38</f>
        <v>547.425</v>
      </c>
      <c r="Q45" s="45">
        <f t="shared" si="4"/>
        <v>-20735.0603</v>
      </c>
      <c r="R45" s="45">
        <f>Лист1!BE38</f>
        <v>-2732.529999999999</v>
      </c>
    </row>
    <row r="46" spans="1:18" ht="12.75">
      <c r="A46" s="12" t="s">
        <v>40</v>
      </c>
      <c r="B46" s="115">
        <f>Лист1!B39</f>
        <v>4420.16</v>
      </c>
      <c r="C46" s="42">
        <f>Лист1!C39</f>
        <v>38234.384</v>
      </c>
      <c r="D46" s="43">
        <f>Лист1!D39</f>
        <v>3716.1139999999973</v>
      </c>
      <c r="E46" s="18">
        <f>Лист1!S39</f>
        <v>34518.27</v>
      </c>
      <c r="F46" s="20">
        <f>Лист1!T39</f>
        <v>0</v>
      </c>
      <c r="G46" s="168">
        <f>Лист1!AF39</f>
        <v>1221.1154999999999</v>
      </c>
      <c r="H46" s="44">
        <f>Лист1!AB39</f>
        <v>30955.74</v>
      </c>
      <c r="I46" s="20">
        <f>Лист1!AC39</f>
        <v>34671.854</v>
      </c>
      <c r="J46" s="44">
        <f>Лист1!AG39</f>
        <v>2652.096</v>
      </c>
      <c r="K46" s="18">
        <f>Лист1!AI39+Лист1!AJ39</f>
        <v>4420.16</v>
      </c>
      <c r="L46" s="18">
        <f>Лист1!AH39+Лист1!AK39+Лист1!AL39+Лист1!AM39+Лист1!AN39+Лист1!AP39+Лист1!AO39+Лист1!AQ39+Лист1!AR39</f>
        <v>15161.1488</v>
      </c>
      <c r="M46" s="19">
        <f>Лист1!AS39+Лист1!AT39+Лист1!AU39</f>
        <v>0</v>
      </c>
      <c r="N46" s="19">
        <f>Лист1!AX39</f>
        <v>1204</v>
      </c>
      <c r="O46" s="20">
        <f>Лист1!BB39</f>
        <v>23437.4048</v>
      </c>
      <c r="P46" s="25">
        <f>Лист1!BC39</f>
        <v>547.425</v>
      </c>
      <c r="Q46" s="45">
        <f t="shared" si="4"/>
        <v>11908.1397</v>
      </c>
      <c r="R46" s="45">
        <f>Лист1!BE39</f>
        <v>-3562.529999999995</v>
      </c>
    </row>
    <row r="47" spans="1:18" ht="13.5" thickBot="1">
      <c r="A47" s="46" t="s">
        <v>41</v>
      </c>
      <c r="B47" s="115">
        <f>Лист1!B40</f>
        <v>4418.66</v>
      </c>
      <c r="C47" s="42">
        <f>Лист1!C40</f>
        <v>38221.409</v>
      </c>
      <c r="D47" s="43">
        <f>Лист1!D40</f>
        <v>3706.029000000001</v>
      </c>
      <c r="E47" s="18">
        <f>Лист1!S40</f>
        <v>34515.38</v>
      </c>
      <c r="F47" s="20">
        <f>Лист1!T40</f>
        <v>0</v>
      </c>
      <c r="G47" s="168">
        <f>Лист1!AF40</f>
        <v>1221.1154999999999</v>
      </c>
      <c r="H47" s="44">
        <f>Лист1!AB40</f>
        <v>33773.23</v>
      </c>
      <c r="I47" s="20">
        <f>Лист1!AC40</f>
        <v>37479.259000000005</v>
      </c>
      <c r="J47" s="44">
        <f>Лист1!AG40</f>
        <v>2651.196</v>
      </c>
      <c r="K47" s="18">
        <f>Лист1!AI40+Лист1!AJ40</f>
        <v>4418.66</v>
      </c>
      <c r="L47" s="18">
        <f>Лист1!AH40+Лист1!AK40+Лист1!AL40+Лист1!AM40+Лист1!AN40+Лист1!AP40+Лист1!AO40+Лист1!AQ40+Лист1!AR40</f>
        <v>15156.0038</v>
      </c>
      <c r="M47" s="19">
        <f>Лист1!AS40+Лист1!AT40+Лист1!AU40</f>
        <v>43878.016800000005</v>
      </c>
      <c r="N47" s="19">
        <f>Лист1!AX40</f>
        <v>2289</v>
      </c>
      <c r="O47" s="20">
        <f>Лист1!BB40</f>
        <v>68392.8766</v>
      </c>
      <c r="P47" s="25">
        <f>Лист1!BC40</f>
        <v>547.425</v>
      </c>
      <c r="Q47" s="45">
        <f t="shared" si="4"/>
        <v>-30239.927099999997</v>
      </c>
      <c r="R47" s="45">
        <f>Лист1!BE40</f>
        <v>-742.1499999999942</v>
      </c>
    </row>
    <row r="48" spans="1:18" s="26" customFormat="1" ht="13.5" thickBot="1">
      <c r="A48" s="47" t="s">
        <v>5</v>
      </c>
      <c r="B48" s="48"/>
      <c r="C48" s="51">
        <f aca="true" t="shared" si="5" ref="C48:R48">SUM(C36:C47)</f>
        <v>458746.34900000005</v>
      </c>
      <c r="D48" s="51">
        <f t="shared" si="5"/>
        <v>44319.809</v>
      </c>
      <c r="E48" s="51">
        <f t="shared" si="5"/>
        <v>378095.56000000006</v>
      </c>
      <c r="F48" s="51">
        <f t="shared" si="5"/>
        <v>36330.98</v>
      </c>
      <c r="G48" s="50">
        <f>SUM(G36:G47)</f>
        <v>13303.385999999999</v>
      </c>
      <c r="H48" s="51">
        <f t="shared" si="5"/>
        <v>349304.31</v>
      </c>
      <c r="I48" s="51">
        <f t="shared" si="5"/>
        <v>429955.09900000005</v>
      </c>
      <c r="J48" s="51">
        <f t="shared" si="5"/>
        <v>31820.556000000004</v>
      </c>
      <c r="K48" s="51">
        <f t="shared" si="5"/>
        <v>53034.26000000001</v>
      </c>
      <c r="L48" s="51">
        <f t="shared" si="5"/>
        <v>186921.51179999998</v>
      </c>
      <c r="M48" s="51">
        <f t="shared" si="5"/>
        <v>161277.67680000002</v>
      </c>
      <c r="N48" s="51">
        <f t="shared" si="5"/>
        <v>12552.4</v>
      </c>
      <c r="O48" s="51">
        <f t="shared" si="5"/>
        <v>445606.40460000007</v>
      </c>
      <c r="P48" s="50">
        <f>SUM(P36:P47)</f>
        <v>6231.600000000001</v>
      </c>
      <c r="Q48" s="51">
        <f t="shared" si="5"/>
        <v>-8579.51959999996</v>
      </c>
      <c r="R48" s="51">
        <f t="shared" si="5"/>
        <v>-28791.249999999985</v>
      </c>
    </row>
    <row r="49" spans="1:18" ht="24.75" customHeight="1" thickBot="1">
      <c r="A49" s="349" t="s">
        <v>88</v>
      </c>
      <c r="B49" s="350"/>
      <c r="C49" s="57">
        <f aca="true" t="shared" si="6" ref="C49:O49">C34+C48</f>
        <v>1032229.4120000002</v>
      </c>
      <c r="D49" s="57">
        <f t="shared" si="6"/>
        <v>119791.71525860002</v>
      </c>
      <c r="E49" s="57">
        <f t="shared" si="6"/>
        <v>776762.4400000001</v>
      </c>
      <c r="F49" s="57">
        <f t="shared" si="6"/>
        <v>126756.64000000001</v>
      </c>
      <c r="G49" s="170">
        <f>G48+G33+G19</f>
        <v>22664.835612</v>
      </c>
      <c r="H49" s="57">
        <f t="shared" si="6"/>
        <v>689222.39</v>
      </c>
      <c r="I49" s="57">
        <f t="shared" si="6"/>
        <v>935770.7452586</v>
      </c>
      <c r="J49" s="57">
        <f t="shared" si="6"/>
        <v>70538.85</v>
      </c>
      <c r="K49" s="57">
        <f t="shared" si="6"/>
        <v>117092.67523183301</v>
      </c>
      <c r="L49" s="57">
        <f t="shared" si="6"/>
        <v>459809.7655011734</v>
      </c>
      <c r="M49" s="57">
        <f t="shared" si="6"/>
        <v>327026.17974000005</v>
      </c>
      <c r="N49" s="57">
        <f t="shared" si="6"/>
        <v>24672.7936</v>
      </c>
      <c r="O49" s="57">
        <f t="shared" si="6"/>
        <v>946055.2111330065</v>
      </c>
      <c r="P49" s="167">
        <f>P48+P33+P19</f>
        <v>10108.422765089002</v>
      </c>
      <c r="Q49" s="57">
        <f>Q34+Q48</f>
        <v>2271.9469725047347</v>
      </c>
      <c r="R49" s="57">
        <f>R34+R48</f>
        <v>-87540.04999999999</v>
      </c>
    </row>
    <row r="59" spans="1:4" ht="12.75">
      <c r="A59" s="26" t="s">
        <v>64</v>
      </c>
      <c r="D59" s="118" t="s">
        <v>86</v>
      </c>
    </row>
    <row r="60" spans="1:4" ht="12.75">
      <c r="A60" s="30" t="s">
        <v>65</v>
      </c>
      <c r="B60" s="30" t="s">
        <v>66</v>
      </c>
      <c r="C60" s="370" t="s">
        <v>67</v>
      </c>
      <c r="D60" s="370"/>
    </row>
    <row r="61" spans="1:4" ht="12.75">
      <c r="A61" s="119">
        <v>266228.58</v>
      </c>
      <c r="B61" s="120">
        <v>74750</v>
      </c>
      <c r="C61" s="371">
        <f>A61-B61</f>
        <v>191478.58000000002</v>
      </c>
      <c r="D61" s="372"/>
    </row>
    <row r="62" ht="12.75">
      <c r="A62" s="58"/>
    </row>
    <row r="63" spans="1:8" ht="12.75">
      <c r="A63" s="2" t="s">
        <v>68</v>
      </c>
      <c r="H63" s="2" t="s">
        <v>69</v>
      </c>
    </row>
    <row r="64" ht="12.75">
      <c r="A64" s="1"/>
    </row>
    <row r="65" ht="12.75">
      <c r="A65" s="1"/>
    </row>
    <row r="66" ht="12.75">
      <c r="A66" s="2" t="s">
        <v>70</v>
      </c>
    </row>
  </sheetData>
  <sheetProtection/>
  <mergeCells count="26">
    <mergeCell ref="K12:K13"/>
    <mergeCell ref="H10:I11"/>
    <mergeCell ref="J10:O11"/>
    <mergeCell ref="R10:R13"/>
    <mergeCell ref="M12:M13"/>
    <mergeCell ref="O12:O13"/>
    <mergeCell ref="C60:D60"/>
    <mergeCell ref="C61:D61"/>
    <mergeCell ref="A6:S6"/>
    <mergeCell ref="A7:S7"/>
    <mergeCell ref="A10:A13"/>
    <mergeCell ref="B10:B13"/>
    <mergeCell ref="C10:C13"/>
    <mergeCell ref="E10:F11"/>
    <mergeCell ref="D10:D13"/>
    <mergeCell ref="N12:N13"/>
    <mergeCell ref="A34:B34"/>
    <mergeCell ref="A49:B49"/>
    <mergeCell ref="Q10:Q13"/>
    <mergeCell ref="E12:F12"/>
    <mergeCell ref="J12:J13"/>
    <mergeCell ref="L12:L13"/>
    <mergeCell ref="H12:H13"/>
    <mergeCell ref="P10:P13"/>
    <mergeCell ref="G10:G13"/>
    <mergeCell ref="I12:I13"/>
  </mergeCells>
  <printOptions/>
  <pageMargins left="0.15748031496062992" right="0.15748031496062992" top="0.3937007874015748" bottom="0.275590551181102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9"/>
  <sheetViews>
    <sheetView zoomScalePageLayoutView="0" workbookViewId="0" topLeftCell="A1">
      <pane xSplit="2" ySplit="7" topLeftCell="AS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I35" sqref="BI35"/>
    </sheetView>
  </sheetViews>
  <sheetFormatPr defaultColWidth="9.00390625" defaultRowHeight="12.75"/>
  <cols>
    <col min="1" max="1" width="8.75390625" style="160" bestFit="1" customWidth="1"/>
    <col min="2" max="2" width="9.125" style="160" customWidth="1"/>
    <col min="3" max="3" width="12.875" style="160" customWidth="1"/>
    <col min="4" max="4" width="10.375" style="160" customWidth="1"/>
    <col min="5" max="6" width="9.125" style="160" customWidth="1"/>
    <col min="7" max="7" width="10.25390625" style="160" customWidth="1"/>
    <col min="8" max="8" width="9.125" style="160" customWidth="1"/>
    <col min="9" max="9" width="9.875" style="160" customWidth="1"/>
    <col min="10" max="10" width="9.125" style="160" customWidth="1"/>
    <col min="11" max="11" width="10.375" style="160" customWidth="1"/>
    <col min="12" max="12" width="9.125" style="160" customWidth="1"/>
    <col min="13" max="13" width="10.125" style="160" bestFit="1" customWidth="1"/>
    <col min="14" max="14" width="9.125" style="160" customWidth="1"/>
    <col min="15" max="15" width="10.125" style="160" bestFit="1" customWidth="1"/>
    <col min="16" max="18" width="9.125" style="160" customWidth="1"/>
    <col min="19" max="19" width="10.125" style="160" bestFit="1" customWidth="1"/>
    <col min="20" max="20" width="10.125" style="160" customWidth="1"/>
    <col min="21" max="21" width="10.125" style="160" bestFit="1" customWidth="1"/>
    <col min="22" max="22" width="10.25390625" style="160" customWidth="1"/>
    <col min="23" max="23" width="10.625" style="160" customWidth="1"/>
    <col min="24" max="24" width="10.125" style="160" customWidth="1"/>
    <col min="25" max="28" width="10.125" style="160" bestFit="1" customWidth="1"/>
    <col min="29" max="30" width="11.375" style="160" customWidth="1"/>
    <col min="31" max="31" width="9.25390625" style="160" bestFit="1" customWidth="1"/>
    <col min="32" max="32" width="10.125" style="160" bestFit="1" customWidth="1"/>
    <col min="33" max="33" width="10.25390625" style="160" customWidth="1"/>
    <col min="34" max="35" width="9.25390625" style="160" bestFit="1" customWidth="1"/>
    <col min="36" max="36" width="10.875" style="160" customWidth="1"/>
    <col min="37" max="38" width="9.25390625" style="160" bestFit="1" customWidth="1"/>
    <col min="39" max="39" width="10.125" style="160" bestFit="1" customWidth="1"/>
    <col min="40" max="40" width="9.25390625" style="160" bestFit="1" customWidth="1"/>
    <col min="41" max="42" width="10.125" style="160" bestFit="1" customWidth="1"/>
    <col min="43" max="44" width="9.25390625" style="160" customWidth="1"/>
    <col min="45" max="45" width="10.125" style="160" bestFit="1" customWidth="1"/>
    <col min="46" max="46" width="11.625" style="160" customWidth="1"/>
    <col min="47" max="47" width="10.875" style="160" customWidth="1"/>
    <col min="48" max="48" width="10.625" style="160" customWidth="1"/>
    <col min="49" max="49" width="10.25390625" style="160" customWidth="1"/>
    <col min="50" max="50" width="10.625" style="160" customWidth="1"/>
    <col min="51" max="51" width="9.25390625" style="160" bestFit="1" customWidth="1"/>
    <col min="52" max="53" width="10.125" style="160" bestFit="1" customWidth="1"/>
    <col min="54" max="54" width="11.625" style="160" customWidth="1"/>
    <col min="55" max="55" width="13.375" style="160" customWidth="1"/>
    <col min="56" max="56" width="13.75390625" style="160" customWidth="1"/>
    <col min="57" max="57" width="14.00390625" style="160" customWidth="1"/>
    <col min="58" max="58" width="13.125" style="160" customWidth="1"/>
    <col min="59" max="59" width="13.875" style="160" customWidth="1"/>
    <col min="60" max="16384" width="9.125" style="160" customWidth="1"/>
  </cols>
  <sheetData>
    <row r="1" spans="1:18" ht="21" customHeight="1">
      <c r="A1" s="334" t="s">
        <v>126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171"/>
      <c r="P1" s="171"/>
      <c r="Q1" s="171"/>
      <c r="R1" s="171"/>
    </row>
    <row r="2" spans="1:18" ht="13.5" thickBot="1">
      <c r="A2" s="171"/>
      <c r="B2" s="172"/>
      <c r="C2" s="173"/>
      <c r="D2" s="173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59" ht="29.25" customHeight="1" thickBot="1">
      <c r="A3" s="430" t="s">
        <v>0</v>
      </c>
      <c r="B3" s="455" t="s">
        <v>1</v>
      </c>
      <c r="C3" s="457" t="s">
        <v>2</v>
      </c>
      <c r="D3" s="459" t="s">
        <v>3</v>
      </c>
      <c r="E3" s="430" t="s">
        <v>91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382"/>
      <c r="S3" s="430"/>
      <c r="T3" s="431"/>
      <c r="U3" s="430" t="s">
        <v>5</v>
      </c>
      <c r="V3" s="431"/>
      <c r="W3" s="434" t="s">
        <v>6</v>
      </c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6"/>
      <c r="AJ3" s="440" t="s">
        <v>90</v>
      </c>
      <c r="AK3" s="443" t="s">
        <v>8</v>
      </c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5"/>
      <c r="BF3" s="449" t="s">
        <v>9</v>
      </c>
      <c r="BG3" s="418" t="s">
        <v>10</v>
      </c>
    </row>
    <row r="4" spans="1:59" ht="51.75" customHeight="1" hidden="1" thickBot="1">
      <c r="A4" s="454"/>
      <c r="B4" s="456"/>
      <c r="C4" s="458"/>
      <c r="D4" s="460"/>
      <c r="E4" s="454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355"/>
      <c r="S4" s="432"/>
      <c r="T4" s="433"/>
      <c r="U4" s="432"/>
      <c r="V4" s="433"/>
      <c r="W4" s="437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9"/>
      <c r="AJ4" s="441"/>
      <c r="AK4" s="446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7"/>
      <c r="BB4" s="447"/>
      <c r="BC4" s="447"/>
      <c r="BD4" s="447"/>
      <c r="BE4" s="448"/>
      <c r="BF4" s="450"/>
      <c r="BG4" s="419"/>
    </row>
    <row r="5" spans="1:59" ht="19.5" customHeight="1">
      <c r="A5" s="454"/>
      <c r="B5" s="456"/>
      <c r="C5" s="458"/>
      <c r="D5" s="460"/>
      <c r="E5" s="421" t="s">
        <v>11</v>
      </c>
      <c r="F5" s="422"/>
      <c r="G5" s="421" t="s">
        <v>92</v>
      </c>
      <c r="H5" s="422"/>
      <c r="I5" s="421" t="s">
        <v>12</v>
      </c>
      <c r="J5" s="422"/>
      <c r="K5" s="421" t="s">
        <v>14</v>
      </c>
      <c r="L5" s="422"/>
      <c r="M5" s="421" t="s">
        <v>13</v>
      </c>
      <c r="N5" s="422"/>
      <c r="O5" s="425" t="s">
        <v>15</v>
      </c>
      <c r="P5" s="425"/>
      <c r="Q5" s="421" t="s">
        <v>93</v>
      </c>
      <c r="R5" s="422"/>
      <c r="S5" s="425" t="s">
        <v>94</v>
      </c>
      <c r="T5" s="422"/>
      <c r="U5" s="428" t="s">
        <v>18</v>
      </c>
      <c r="V5" s="452" t="s">
        <v>19</v>
      </c>
      <c r="W5" s="414" t="s">
        <v>20</v>
      </c>
      <c r="X5" s="414" t="s">
        <v>95</v>
      </c>
      <c r="Y5" s="414" t="s">
        <v>21</v>
      </c>
      <c r="Z5" s="414" t="s">
        <v>23</v>
      </c>
      <c r="AA5" s="414" t="s">
        <v>22</v>
      </c>
      <c r="AB5" s="414" t="s">
        <v>24</v>
      </c>
      <c r="AC5" s="414" t="s">
        <v>25</v>
      </c>
      <c r="AD5" s="416" t="s">
        <v>26</v>
      </c>
      <c r="AE5" s="416" t="s">
        <v>96</v>
      </c>
      <c r="AF5" s="404" t="s">
        <v>27</v>
      </c>
      <c r="AG5" s="406" t="s">
        <v>97</v>
      </c>
      <c r="AH5" s="408" t="s">
        <v>74</v>
      </c>
      <c r="AI5" s="410" t="s">
        <v>75</v>
      </c>
      <c r="AJ5" s="441"/>
      <c r="AK5" s="412" t="s">
        <v>98</v>
      </c>
      <c r="AL5" s="402" t="s">
        <v>99</v>
      </c>
      <c r="AM5" s="402" t="s">
        <v>100</v>
      </c>
      <c r="AN5" s="365" t="s">
        <v>101</v>
      </c>
      <c r="AO5" s="402" t="s">
        <v>102</v>
      </c>
      <c r="AP5" s="365" t="s">
        <v>103</v>
      </c>
      <c r="AQ5" s="365" t="s">
        <v>104</v>
      </c>
      <c r="AR5" s="365" t="s">
        <v>105</v>
      </c>
      <c r="AS5" s="365" t="s">
        <v>106</v>
      </c>
      <c r="AT5" s="365" t="s">
        <v>34</v>
      </c>
      <c r="AU5" s="325" t="s">
        <v>107</v>
      </c>
      <c r="AV5" s="344" t="s">
        <v>108</v>
      </c>
      <c r="AW5" s="325" t="s">
        <v>109</v>
      </c>
      <c r="AX5" s="320" t="s">
        <v>110</v>
      </c>
      <c r="AY5" s="156"/>
      <c r="AZ5" s="396" t="s">
        <v>17</v>
      </c>
      <c r="BA5" s="365" t="s">
        <v>36</v>
      </c>
      <c r="BB5" s="365" t="s">
        <v>31</v>
      </c>
      <c r="BC5" s="398" t="s">
        <v>37</v>
      </c>
      <c r="BD5" s="400" t="s">
        <v>111</v>
      </c>
      <c r="BE5" s="365" t="s">
        <v>112</v>
      </c>
      <c r="BF5" s="450"/>
      <c r="BG5" s="419"/>
    </row>
    <row r="6" spans="1:59" ht="56.25" customHeight="1" thickBot="1">
      <c r="A6" s="454"/>
      <c r="B6" s="456"/>
      <c r="C6" s="458"/>
      <c r="D6" s="460"/>
      <c r="E6" s="423"/>
      <c r="F6" s="424"/>
      <c r="G6" s="423"/>
      <c r="H6" s="424"/>
      <c r="I6" s="423"/>
      <c r="J6" s="424"/>
      <c r="K6" s="423"/>
      <c r="L6" s="424"/>
      <c r="M6" s="423"/>
      <c r="N6" s="424"/>
      <c r="O6" s="426"/>
      <c r="P6" s="426"/>
      <c r="Q6" s="423"/>
      <c r="R6" s="424"/>
      <c r="S6" s="427"/>
      <c r="T6" s="424"/>
      <c r="U6" s="429"/>
      <c r="V6" s="453"/>
      <c r="W6" s="415"/>
      <c r="X6" s="415"/>
      <c r="Y6" s="415"/>
      <c r="Z6" s="415"/>
      <c r="AA6" s="415"/>
      <c r="AB6" s="415"/>
      <c r="AC6" s="415"/>
      <c r="AD6" s="417"/>
      <c r="AE6" s="417"/>
      <c r="AF6" s="405"/>
      <c r="AG6" s="407"/>
      <c r="AH6" s="409"/>
      <c r="AI6" s="411"/>
      <c r="AJ6" s="442"/>
      <c r="AK6" s="413"/>
      <c r="AL6" s="403"/>
      <c r="AM6" s="403"/>
      <c r="AN6" s="367"/>
      <c r="AO6" s="403"/>
      <c r="AP6" s="367"/>
      <c r="AQ6" s="367"/>
      <c r="AR6" s="367"/>
      <c r="AS6" s="367"/>
      <c r="AT6" s="367"/>
      <c r="AU6" s="326"/>
      <c r="AV6" s="345"/>
      <c r="AW6" s="326"/>
      <c r="AX6" s="321"/>
      <c r="AY6" s="157" t="s">
        <v>113</v>
      </c>
      <c r="AZ6" s="397"/>
      <c r="BA6" s="367"/>
      <c r="BB6" s="367"/>
      <c r="BC6" s="399"/>
      <c r="BD6" s="401"/>
      <c r="BE6" s="367"/>
      <c r="BF6" s="451"/>
      <c r="BG6" s="420"/>
    </row>
    <row r="7" spans="1:59" ht="19.5" customHeight="1" thickBot="1">
      <c r="A7" s="174">
        <v>1</v>
      </c>
      <c r="B7" s="175">
        <v>2</v>
      </c>
      <c r="C7" s="175">
        <v>3</v>
      </c>
      <c r="D7" s="174">
        <v>4</v>
      </c>
      <c r="E7" s="175">
        <v>5</v>
      </c>
      <c r="F7" s="175">
        <v>6</v>
      </c>
      <c r="G7" s="174">
        <v>7</v>
      </c>
      <c r="H7" s="175">
        <v>8</v>
      </c>
      <c r="I7" s="175">
        <v>9</v>
      </c>
      <c r="J7" s="174">
        <v>10</v>
      </c>
      <c r="K7" s="175">
        <v>11</v>
      </c>
      <c r="L7" s="175">
        <v>12</v>
      </c>
      <c r="M7" s="174">
        <v>13</v>
      </c>
      <c r="N7" s="175">
        <v>14</v>
      </c>
      <c r="O7" s="175">
        <v>15</v>
      </c>
      <c r="P7" s="174">
        <v>16</v>
      </c>
      <c r="Q7" s="175">
        <v>17</v>
      </c>
      <c r="R7" s="175">
        <v>18</v>
      </c>
      <c r="S7" s="174">
        <v>19</v>
      </c>
      <c r="T7" s="175">
        <v>20</v>
      </c>
      <c r="U7" s="175">
        <v>21</v>
      </c>
      <c r="V7" s="174">
        <v>22</v>
      </c>
      <c r="W7" s="175">
        <v>23</v>
      </c>
      <c r="X7" s="174">
        <v>24</v>
      </c>
      <c r="Y7" s="175">
        <v>25</v>
      </c>
      <c r="Z7" s="174">
        <v>26</v>
      </c>
      <c r="AA7" s="175">
        <v>27</v>
      </c>
      <c r="AB7" s="174">
        <v>28</v>
      </c>
      <c r="AC7" s="175">
        <v>29</v>
      </c>
      <c r="AD7" s="174">
        <v>30</v>
      </c>
      <c r="AE7" s="174">
        <v>31</v>
      </c>
      <c r="AF7" s="175">
        <v>32</v>
      </c>
      <c r="AG7" s="174">
        <v>33</v>
      </c>
      <c r="AH7" s="175">
        <v>34</v>
      </c>
      <c r="AI7" s="174">
        <v>35</v>
      </c>
      <c r="AJ7" s="175">
        <v>36</v>
      </c>
      <c r="AK7" s="174">
        <v>37</v>
      </c>
      <c r="AL7" s="175">
        <v>38</v>
      </c>
      <c r="AM7" s="174">
        <v>39</v>
      </c>
      <c r="AN7" s="174">
        <v>40</v>
      </c>
      <c r="AO7" s="175">
        <v>41</v>
      </c>
      <c r="AP7" s="174">
        <v>42</v>
      </c>
      <c r="AQ7" s="175">
        <v>43</v>
      </c>
      <c r="AR7" s="174"/>
      <c r="AS7" s="174">
        <v>44</v>
      </c>
      <c r="AT7" s="175">
        <v>45</v>
      </c>
      <c r="AU7" s="174">
        <v>46</v>
      </c>
      <c r="AV7" s="175">
        <v>47</v>
      </c>
      <c r="AW7" s="174">
        <v>48</v>
      </c>
      <c r="AX7" s="174">
        <v>49</v>
      </c>
      <c r="AY7" s="175"/>
      <c r="AZ7" s="175">
        <v>50</v>
      </c>
      <c r="BA7" s="175">
        <v>51</v>
      </c>
      <c r="BB7" s="175">
        <v>52</v>
      </c>
      <c r="BC7" s="175">
        <v>53</v>
      </c>
      <c r="BD7" s="175">
        <v>54</v>
      </c>
      <c r="BE7" s="175"/>
      <c r="BF7" s="175">
        <v>55</v>
      </c>
      <c r="BG7" s="175">
        <v>56</v>
      </c>
    </row>
    <row r="8" spans="1:59" s="26" customFormat="1" ht="13.5" thickBot="1">
      <c r="A8" s="176" t="s">
        <v>114</v>
      </c>
      <c r="B8" s="177"/>
      <c r="C8" s="177">
        <f>Лист1!$C$42</f>
        <v>1490951.1950000003</v>
      </c>
      <c r="D8" s="177">
        <f>Лист1!$D$42</f>
        <v>119791.71525860002</v>
      </c>
      <c r="E8" s="177">
        <f>Лист1!$E$42</f>
        <v>89739.69</v>
      </c>
      <c r="F8" s="177">
        <f>Лист1!$F$42</f>
        <v>14632.029999999999</v>
      </c>
      <c r="G8" s="177">
        <f>0</f>
        <v>0</v>
      </c>
      <c r="H8" s="177">
        <f>0</f>
        <v>0</v>
      </c>
      <c r="I8" s="177">
        <f>Лист1!$G$42</f>
        <v>121414.1</v>
      </c>
      <c r="J8" s="177">
        <f>Лист1!$H$42</f>
        <v>19812.559999999998</v>
      </c>
      <c r="K8" s="177">
        <f>Лист1!$K$42</f>
        <v>202211.83999999997</v>
      </c>
      <c r="L8" s="177">
        <f>Лист1!$L$42</f>
        <v>32984.74</v>
      </c>
      <c r="M8" s="177">
        <f>Лист1!$I$42</f>
        <v>291602.5</v>
      </c>
      <c r="N8" s="177">
        <f>Лист1!$J$42</f>
        <v>47619.54</v>
      </c>
      <c r="O8" s="177">
        <f>'[9]Лист1'!M42</f>
        <v>69077.97</v>
      </c>
      <c r="P8" s="177">
        <f>'[9]Лист1'!N42</f>
        <v>9964.18</v>
      </c>
      <c r="Q8" s="177">
        <f>'[10]Лист1'!O44</f>
        <v>0</v>
      </c>
      <c r="R8" s="177">
        <f>'[10]Лист1'!P44</f>
        <v>0</v>
      </c>
      <c r="S8" s="177">
        <f>'[10]Лист1'!Q44</f>
        <v>0</v>
      </c>
      <c r="T8" s="177">
        <f>'[10]Лист1'!R44</f>
        <v>0</v>
      </c>
      <c r="U8" s="177">
        <f>Лист1!$S$42</f>
        <v>776762.4400000001</v>
      </c>
      <c r="V8" s="177">
        <f>Лист1!$T$42</f>
        <v>126756.64000000001</v>
      </c>
      <c r="W8" s="177">
        <f>Лист1!$U$42</f>
        <v>79740.38</v>
      </c>
      <c r="X8" s="177">
        <v>0</v>
      </c>
      <c r="Y8" s="177">
        <f>Лист1!$V$42</f>
        <v>107898.44</v>
      </c>
      <c r="Z8" s="177">
        <f>Лист1!$X$42</f>
        <v>179167.07</v>
      </c>
      <c r="AA8" s="177">
        <f>Лист1!$W$42</f>
        <v>258621.38999999998</v>
      </c>
      <c r="AB8" s="177">
        <f>Лист1!$Y$42</f>
        <v>63795.11</v>
      </c>
      <c r="AC8" s="177">
        <f>'[9]Лист1'!Z42</f>
        <v>0</v>
      </c>
      <c r="AD8" s="177">
        <f>'[9]Лист1'!AA42</f>
        <v>0</v>
      </c>
      <c r="AE8" s="177">
        <f>0</f>
        <v>0</v>
      </c>
      <c r="AF8" s="177">
        <f>Лист1!$AB$42</f>
        <v>689222.39</v>
      </c>
      <c r="AG8" s="177">
        <f>Лист1!$AC$42</f>
        <v>935770.7452586</v>
      </c>
      <c r="AH8" s="177">
        <f>'[9]Лист1'!AD42</f>
        <v>0</v>
      </c>
      <c r="AI8" s="177">
        <f>'[9]Лист1'!AE42</f>
        <v>0</v>
      </c>
      <c r="AJ8" s="177">
        <f>Лист1!$AF$42</f>
        <v>22664.835612</v>
      </c>
      <c r="AK8" s="177">
        <f>Лист1!$AG$42</f>
        <v>70538.85</v>
      </c>
      <c r="AL8" s="177">
        <f>Лист1!$AH$42</f>
        <v>23636.3355768</v>
      </c>
      <c r="AM8" s="177">
        <f>Лист1!$AI$42+Лист1!$AJ$42</f>
        <v>117092.675231833</v>
      </c>
      <c r="AN8" s="177">
        <v>0</v>
      </c>
      <c r="AO8" s="177">
        <f>Лист1!$AK$42+Лист1!$AL$42</f>
        <v>116796.36036083507</v>
      </c>
      <c r="AP8" s="177">
        <f>Лист1!$AM$42+Лист1!$AN$42</f>
        <v>261278.0166235383</v>
      </c>
      <c r="AQ8" s="177">
        <v>0</v>
      </c>
      <c r="AR8" s="177">
        <v>0</v>
      </c>
      <c r="AS8" s="177">
        <v>0</v>
      </c>
      <c r="AT8" s="177">
        <f>Лист1!$AO$42</f>
        <v>4914</v>
      </c>
      <c r="AU8" s="177">
        <f>Лист1!$AS$42</f>
        <v>147834.5</v>
      </c>
      <c r="AV8" s="177">
        <v>0</v>
      </c>
      <c r="AW8" s="177">
        <f>Лист1!$AT$42+Лист1!$AU$42</f>
        <v>126106.62680000001</v>
      </c>
      <c r="AX8" s="177">
        <f>Лист1!$AQ$42+Лист1!$AR$42</f>
        <v>53185.05294000001</v>
      </c>
      <c r="AY8" s="178">
        <f>Лист1!AX42</f>
        <v>24672.7936</v>
      </c>
      <c r="AZ8" s="178">
        <f>'[10]Лист1'!AY44</f>
        <v>0</v>
      </c>
      <c r="BA8" s="178">
        <v>0</v>
      </c>
      <c r="BB8" s="178">
        <v>0</v>
      </c>
      <c r="BC8" s="178">
        <f>Лист1!$BB$42</f>
        <v>946055.2111330065</v>
      </c>
      <c r="BD8" s="177">
        <f>Лист1!$BC$42</f>
        <v>10108.422765089002</v>
      </c>
      <c r="BE8" s="179">
        <f>BC8+BD8</f>
        <v>956163.6338980955</v>
      </c>
      <c r="BF8" s="180">
        <f>Лист1!$BD$42</f>
        <v>2271.946972504691</v>
      </c>
      <c r="BG8" s="181">
        <f>Лист1!$BE$42</f>
        <v>-87540.04999999999</v>
      </c>
    </row>
    <row r="9" spans="1:59" ht="12.75">
      <c r="A9" s="5" t="s">
        <v>115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3"/>
      <c r="BF9" s="180"/>
      <c r="BG9" s="181"/>
    </row>
    <row r="10" spans="1:59" ht="12.75">
      <c r="A10" s="184" t="s">
        <v>43</v>
      </c>
      <c r="B10" s="185">
        <v>4418.66</v>
      </c>
      <c r="C10" s="109">
        <f>B10*8.55</f>
        <v>37779.543000000005</v>
      </c>
      <c r="D10" s="85">
        <v>460.224</v>
      </c>
      <c r="E10" s="141">
        <v>-4.5</v>
      </c>
      <c r="F10" s="142">
        <v>0</v>
      </c>
      <c r="G10" s="141">
        <v>23369.01</v>
      </c>
      <c r="H10" s="141">
        <v>0</v>
      </c>
      <c r="I10" s="141">
        <v>-6.09</v>
      </c>
      <c r="J10" s="141">
        <v>0</v>
      </c>
      <c r="K10" s="141">
        <v>-10.14</v>
      </c>
      <c r="L10" s="141">
        <v>0</v>
      </c>
      <c r="M10" s="141">
        <v>11062.63</v>
      </c>
      <c r="N10" s="141">
        <v>50.2</v>
      </c>
      <c r="O10" s="141">
        <v>3856</v>
      </c>
      <c r="P10" s="142">
        <v>0</v>
      </c>
      <c r="Q10" s="186">
        <v>0</v>
      </c>
      <c r="R10" s="187">
        <v>0</v>
      </c>
      <c r="S10" s="186">
        <v>0</v>
      </c>
      <c r="T10" s="187">
        <v>0</v>
      </c>
      <c r="U10" s="188">
        <f>E10+G10+I10+K10+M10+O10+Q10+S10</f>
        <v>38266.909999999996</v>
      </c>
      <c r="V10" s="189">
        <f>F10+H10+J10+L10+N10+P10+R10+T10</f>
        <v>50.2</v>
      </c>
      <c r="W10" s="143">
        <v>3134.66</v>
      </c>
      <c r="X10" s="143"/>
      <c r="Y10" s="143">
        <v>4245.57</v>
      </c>
      <c r="Z10" s="143">
        <v>7066.96</v>
      </c>
      <c r="AA10" s="143">
        <v>10142.96</v>
      </c>
      <c r="AB10" s="143">
        <v>2507.78</v>
      </c>
      <c r="AC10" s="145">
        <v>0</v>
      </c>
      <c r="AD10" s="145">
        <v>0</v>
      </c>
      <c r="AE10" s="190">
        <v>0</v>
      </c>
      <c r="AF10" s="190">
        <f>SUM(W10:AE10)</f>
        <v>27097.929999999997</v>
      </c>
      <c r="AG10" s="191">
        <f>AF10+V10+D10</f>
        <v>27608.353999999996</v>
      </c>
      <c r="AH10" s="192">
        <f>AC10</f>
        <v>0</v>
      </c>
      <c r="AI10" s="192">
        <f>AD10</f>
        <v>0</v>
      </c>
      <c r="AJ10" s="147">
        <f>'[11]Т01'!$I$41+'[11]Т01'!$I$53+'[11]Т01'!$I$183</f>
        <v>1184.5500000000002</v>
      </c>
      <c r="AK10" s="148">
        <f>0.67*B10</f>
        <v>2960.5022</v>
      </c>
      <c r="AL10" s="148">
        <f>B10*0.2</f>
        <v>883.732</v>
      </c>
      <c r="AM10" s="148">
        <f>B10*1</f>
        <v>4418.66</v>
      </c>
      <c r="AN10" s="148">
        <f>B10*0.21</f>
        <v>927.9186</v>
      </c>
      <c r="AO10" s="148">
        <f>2.02*B10</f>
        <v>8925.6932</v>
      </c>
      <c r="AP10" s="148">
        <f>B10*1.03</f>
        <v>4551.2198</v>
      </c>
      <c r="AQ10" s="148">
        <f>B10*0.75</f>
        <v>3313.995</v>
      </c>
      <c r="AR10" s="148">
        <f>B10*0.75</f>
        <v>3313.995</v>
      </c>
      <c r="AS10" s="148">
        <f>B10*1.15</f>
        <v>5081.459</v>
      </c>
      <c r="AT10" s="148">
        <f>910*0.45</f>
        <v>409.5</v>
      </c>
      <c r="AU10" s="150"/>
      <c r="AV10" s="149"/>
      <c r="AW10" s="150"/>
      <c r="AX10" s="150"/>
      <c r="AY10" s="92"/>
      <c r="AZ10" s="270"/>
      <c r="BA10" s="153"/>
      <c r="BB10" s="153">
        <f>BA10*0.18</f>
        <v>0</v>
      </c>
      <c r="BC10" s="153">
        <f aca="true" t="shared" si="0" ref="BC10:BC21">SUM(AK10:BB10)</f>
        <v>34786.6748</v>
      </c>
      <c r="BD10" s="154">
        <f>'[11]Т01'!$R$41+'[11]Т01'!$R$53+'[11]Т01'!$R$183</f>
        <v>799.725</v>
      </c>
      <c r="BE10" s="154">
        <f aca="true" t="shared" si="1" ref="BE10:BE21">BC10+BD10</f>
        <v>35586.3998</v>
      </c>
      <c r="BF10" s="154">
        <f>AG10+AJ10-BE10</f>
        <v>-6793.495800000004</v>
      </c>
      <c r="BG10" s="153">
        <f aca="true" t="shared" si="2" ref="BG10:BG21">AF10-U10</f>
        <v>-11168.98</v>
      </c>
    </row>
    <row r="11" spans="1:59" ht="12.75">
      <c r="A11" s="184" t="s">
        <v>44</v>
      </c>
      <c r="B11" s="185">
        <v>4418.66</v>
      </c>
      <c r="C11" s="109">
        <f>B11*8.55</f>
        <v>37779.543000000005</v>
      </c>
      <c r="D11" s="85">
        <v>460.224</v>
      </c>
      <c r="E11" s="141">
        <v>0</v>
      </c>
      <c r="F11" s="142">
        <v>0</v>
      </c>
      <c r="G11" s="141">
        <v>22251.63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11077.24</v>
      </c>
      <c r="N11" s="141">
        <v>0</v>
      </c>
      <c r="O11" s="141">
        <v>3859.59</v>
      </c>
      <c r="P11" s="141">
        <v>0</v>
      </c>
      <c r="Q11" s="142">
        <v>0</v>
      </c>
      <c r="R11" s="142">
        <v>0</v>
      </c>
      <c r="S11" s="145">
        <v>0</v>
      </c>
      <c r="T11" s="143">
        <v>0</v>
      </c>
      <c r="U11" s="194">
        <f>E11+G11+I11+K11+M11+O11+Q11+S11</f>
        <v>37188.46000000001</v>
      </c>
      <c r="V11" s="189">
        <f>F11+H11+J11+L11+N11+P11+R11+T11</f>
        <v>0</v>
      </c>
      <c r="W11" s="143">
        <v>621.26</v>
      </c>
      <c r="X11" s="145">
        <v>17142.36</v>
      </c>
      <c r="Y11" s="143">
        <v>834.1</v>
      </c>
      <c r="Z11" s="143">
        <v>1388.97</v>
      </c>
      <c r="AA11" s="143">
        <v>10386.43</v>
      </c>
      <c r="AB11" s="143">
        <v>3423.66</v>
      </c>
      <c r="AC11" s="145">
        <v>0</v>
      </c>
      <c r="AD11" s="145">
        <v>0</v>
      </c>
      <c r="AE11" s="145">
        <v>0</v>
      </c>
      <c r="AF11" s="190">
        <f>SUM(W11:AE11)</f>
        <v>33796.78</v>
      </c>
      <c r="AG11" s="191">
        <f>AF11+V11+D11</f>
        <v>34257.004</v>
      </c>
      <c r="AH11" s="192">
        <f>AC11</f>
        <v>0</v>
      </c>
      <c r="AI11" s="192">
        <f>AD11</f>
        <v>0</v>
      </c>
      <c r="AJ11" s="147">
        <f>'[11]Т02'!$J$41+'[11]Т02'!$J$53+'[11]Т02'!$J$185</f>
        <v>1184.5500000000002</v>
      </c>
      <c r="AK11" s="148">
        <f>0.67*B11</f>
        <v>2960.5022</v>
      </c>
      <c r="AL11" s="148">
        <f>B11*0.2</f>
        <v>883.732</v>
      </c>
      <c r="AM11" s="148">
        <f>B11*1</f>
        <v>4418.66</v>
      </c>
      <c r="AN11" s="148">
        <f>B11*0.21</f>
        <v>927.9186</v>
      </c>
      <c r="AO11" s="148">
        <f>2.02*B11</f>
        <v>8925.6932</v>
      </c>
      <c r="AP11" s="148">
        <f>B11*1.03</f>
        <v>4551.2198</v>
      </c>
      <c r="AQ11" s="148">
        <f>B11*0.75</f>
        <v>3313.995</v>
      </c>
      <c r="AR11" s="148">
        <f>B11*0.75</f>
        <v>3313.995</v>
      </c>
      <c r="AS11" s="148">
        <f>B11*1.15</f>
        <v>5081.459</v>
      </c>
      <c r="AT11" s="148">
        <f>910*0.45</f>
        <v>409.5</v>
      </c>
      <c r="AU11" s="150">
        <v>64586</v>
      </c>
      <c r="AV11" s="149">
        <v>2186</v>
      </c>
      <c r="AW11" s="150"/>
      <c r="AX11" s="150">
        <f>22.56+20+11730+558+990+450+1560</f>
        <v>15330.56</v>
      </c>
      <c r="AY11" s="92"/>
      <c r="AZ11" s="270"/>
      <c r="BA11" s="153"/>
      <c r="BB11" s="153">
        <f>BA11*0.18</f>
        <v>0</v>
      </c>
      <c r="BC11" s="153">
        <f t="shared" si="0"/>
        <v>116889.2348</v>
      </c>
      <c r="BD11" s="154">
        <f>'[11]Т02'!$S$41+'[11]Т02'!$S$53+'[11]Т02'!$S$184</f>
        <v>799.725</v>
      </c>
      <c r="BE11" s="154">
        <f t="shared" si="1"/>
        <v>117688.95980000001</v>
      </c>
      <c r="BF11" s="154">
        <f aca="true" t="shared" si="3" ref="BF11:BF21">AG11+AJ11-BE11</f>
        <v>-82247.40580000001</v>
      </c>
      <c r="BG11" s="153">
        <f t="shared" si="2"/>
        <v>-3391.6800000000076</v>
      </c>
    </row>
    <row r="12" spans="1:59" ht="12.75">
      <c r="A12" s="184" t="s">
        <v>45</v>
      </c>
      <c r="B12" s="185">
        <v>4418.66</v>
      </c>
      <c r="C12" s="109">
        <f aca="true" t="shared" si="4" ref="C12:C21">B12*8.55</f>
        <v>37779.543000000005</v>
      </c>
      <c r="D12" s="85">
        <v>417.486</v>
      </c>
      <c r="E12" s="141">
        <v>-0.91</v>
      </c>
      <c r="F12" s="142">
        <v>0</v>
      </c>
      <c r="G12" s="141">
        <v>22803.48</v>
      </c>
      <c r="H12" s="141">
        <v>103.4</v>
      </c>
      <c r="I12" s="141">
        <v>-1.23</v>
      </c>
      <c r="J12" s="141">
        <v>0</v>
      </c>
      <c r="K12" s="141">
        <v>-2.05</v>
      </c>
      <c r="L12" s="141">
        <v>0</v>
      </c>
      <c r="M12" s="141">
        <v>11070.9</v>
      </c>
      <c r="N12" s="141">
        <v>50.2</v>
      </c>
      <c r="O12" s="141">
        <v>3857.64</v>
      </c>
      <c r="P12" s="141">
        <v>0</v>
      </c>
      <c r="Q12" s="141">
        <v>0</v>
      </c>
      <c r="R12" s="141">
        <v>0</v>
      </c>
      <c r="S12" s="141">
        <v>0</v>
      </c>
      <c r="T12" s="143">
        <v>0</v>
      </c>
      <c r="U12" s="143">
        <f aca="true" t="shared" si="5" ref="U12:V21">E12+G12+I12+K12+M12+O12+Q12+S12</f>
        <v>37727.83</v>
      </c>
      <c r="V12" s="144">
        <f t="shared" si="5"/>
        <v>153.60000000000002</v>
      </c>
      <c r="W12" s="195">
        <v>498.75</v>
      </c>
      <c r="X12" s="145">
        <v>19613.85</v>
      </c>
      <c r="Y12" s="143">
        <v>679.9</v>
      </c>
      <c r="Z12" s="143">
        <v>1132.23</v>
      </c>
      <c r="AA12" s="143">
        <v>10945.74</v>
      </c>
      <c r="AB12" s="143">
        <v>3663.88</v>
      </c>
      <c r="AC12" s="145">
        <v>0</v>
      </c>
      <c r="AD12" s="145">
        <v>0</v>
      </c>
      <c r="AE12" s="143">
        <v>0</v>
      </c>
      <c r="AF12" s="196">
        <f>SUM(W12:AE12)</f>
        <v>36534.35</v>
      </c>
      <c r="AG12" s="191">
        <f>AF12+V12+D12</f>
        <v>37105.435999999994</v>
      </c>
      <c r="AH12" s="192">
        <f aca="true" t="shared" si="6" ref="AH12:AI21">AC12</f>
        <v>0</v>
      </c>
      <c r="AI12" s="192">
        <f t="shared" si="6"/>
        <v>0</v>
      </c>
      <c r="AJ12" s="147">
        <f>'[11]Т03'!$J$41+'[11]Т03'!$J$53+'[11]Т03'!$J$185</f>
        <v>1184.5500000000002</v>
      </c>
      <c r="AK12" s="148">
        <f aca="true" t="shared" si="7" ref="AK12:AK21">0.67*B12</f>
        <v>2960.5022</v>
      </c>
      <c r="AL12" s="148">
        <f aca="true" t="shared" si="8" ref="AL12:AL21">B12*0.2</f>
        <v>883.732</v>
      </c>
      <c r="AM12" s="148">
        <f aca="true" t="shared" si="9" ref="AM12:AM21">B12*1</f>
        <v>4418.66</v>
      </c>
      <c r="AN12" s="148">
        <f aca="true" t="shared" si="10" ref="AN12:AN21">B12*0.21</f>
        <v>927.9186</v>
      </c>
      <c r="AO12" s="148">
        <f aca="true" t="shared" si="11" ref="AO12:AO21">2.02*B12</f>
        <v>8925.6932</v>
      </c>
      <c r="AP12" s="148">
        <f aca="true" t="shared" si="12" ref="AP12:AP21">B12*1.03</f>
        <v>4551.2198</v>
      </c>
      <c r="AQ12" s="148">
        <f aca="true" t="shared" si="13" ref="AQ12:AQ21">B12*0.75</f>
        <v>3313.995</v>
      </c>
      <c r="AR12" s="148">
        <f aca="true" t="shared" si="14" ref="AR12:AR21">B12*0.75</f>
        <v>3313.995</v>
      </c>
      <c r="AS12" s="148">
        <f>B12*1.15</f>
        <v>5081.459</v>
      </c>
      <c r="AT12" s="148">
        <f>910*0.45</f>
        <v>409.5</v>
      </c>
      <c r="AU12" s="150">
        <v>4340</v>
      </c>
      <c r="AV12" s="149">
        <v>1279</v>
      </c>
      <c r="AW12" s="150"/>
      <c r="AX12" s="150">
        <f>112+49+70+22+10.4+85</f>
        <v>348.4</v>
      </c>
      <c r="AY12" s="150"/>
      <c r="AZ12" s="92"/>
      <c r="BA12" s="153"/>
      <c r="BB12" s="153">
        <f>BA12*0.18</f>
        <v>0</v>
      </c>
      <c r="BC12" s="153">
        <f t="shared" si="0"/>
        <v>40754.0748</v>
      </c>
      <c r="BD12" s="154">
        <f>'[11]Т03'!$S$41+'[11]Т03'!$S$53+'[11]Т03'!$S$185</f>
        <v>799.725</v>
      </c>
      <c r="BE12" s="154">
        <f t="shared" si="1"/>
        <v>41553.7998</v>
      </c>
      <c r="BF12" s="154">
        <f t="shared" si="3"/>
        <v>-3263.8138000000035</v>
      </c>
      <c r="BG12" s="153">
        <f t="shared" si="2"/>
        <v>-1193.4800000000032</v>
      </c>
    </row>
    <row r="13" spans="1:59" ht="12.75">
      <c r="A13" s="184" t="s">
        <v>46</v>
      </c>
      <c r="B13" s="185">
        <v>4418.66</v>
      </c>
      <c r="C13" s="109">
        <f t="shared" si="4"/>
        <v>37779.543000000005</v>
      </c>
      <c r="D13" s="85">
        <v>417.486</v>
      </c>
      <c r="E13" s="186">
        <v>0</v>
      </c>
      <c r="F13" s="142">
        <v>0</v>
      </c>
      <c r="G13" s="197">
        <v>22795.2</v>
      </c>
      <c r="H13" s="141">
        <v>103.4</v>
      </c>
      <c r="I13" s="141">
        <v>0</v>
      </c>
      <c r="J13" s="141">
        <v>0</v>
      </c>
      <c r="K13" s="141">
        <v>0</v>
      </c>
      <c r="L13" s="141">
        <v>0</v>
      </c>
      <c r="M13" s="141">
        <v>11069.81</v>
      </c>
      <c r="N13" s="141">
        <v>50.2</v>
      </c>
      <c r="O13" s="141">
        <v>3856.94</v>
      </c>
      <c r="P13" s="141">
        <v>0</v>
      </c>
      <c r="Q13" s="141">
        <v>0</v>
      </c>
      <c r="R13" s="142">
        <v>0</v>
      </c>
      <c r="S13" s="198">
        <v>0</v>
      </c>
      <c r="T13" s="199">
        <v>0</v>
      </c>
      <c r="U13" s="194">
        <f t="shared" si="5"/>
        <v>37721.950000000004</v>
      </c>
      <c r="V13" s="144">
        <f t="shared" si="5"/>
        <v>153.60000000000002</v>
      </c>
      <c r="W13" s="143">
        <v>818.22</v>
      </c>
      <c r="X13" s="145">
        <v>22963.4</v>
      </c>
      <c r="Y13" s="143">
        <v>1108.51</v>
      </c>
      <c r="Z13" s="143">
        <v>1845.9</v>
      </c>
      <c r="AA13" s="143">
        <v>13393.85</v>
      </c>
      <c r="AB13" s="145">
        <v>4396.47</v>
      </c>
      <c r="AC13" s="143">
        <v>0</v>
      </c>
      <c r="AD13" s="145">
        <v>0</v>
      </c>
      <c r="AE13" s="145">
        <v>0</v>
      </c>
      <c r="AF13" s="190">
        <f>SUM(W13:AD13)</f>
        <v>44526.350000000006</v>
      </c>
      <c r="AG13" s="200">
        <f>AF13+V13+D13</f>
        <v>45097.436</v>
      </c>
      <c r="AH13" s="193">
        <f t="shared" si="6"/>
        <v>0</v>
      </c>
      <c r="AI13" s="193">
        <f t="shared" si="6"/>
        <v>0</v>
      </c>
      <c r="AJ13" s="201">
        <f>'[12]Т04'!$J$41+'[12]Т04'!$J$53+'[12]Т04'!$J$187</f>
        <v>1184.5500000000002</v>
      </c>
      <c r="AK13" s="148">
        <f t="shared" si="7"/>
        <v>2960.5022</v>
      </c>
      <c r="AL13" s="148">
        <f t="shared" si="8"/>
        <v>883.732</v>
      </c>
      <c r="AM13" s="148">
        <f t="shared" si="9"/>
        <v>4418.66</v>
      </c>
      <c r="AN13" s="148">
        <f t="shared" si="10"/>
        <v>927.9186</v>
      </c>
      <c r="AO13" s="148">
        <f t="shared" si="11"/>
        <v>8925.6932</v>
      </c>
      <c r="AP13" s="148">
        <f t="shared" si="12"/>
        <v>4551.2198</v>
      </c>
      <c r="AQ13" s="148">
        <f t="shared" si="13"/>
        <v>3313.995</v>
      </c>
      <c r="AR13" s="148">
        <f t="shared" si="14"/>
        <v>3313.995</v>
      </c>
      <c r="AS13" s="148"/>
      <c r="AT13" s="202">
        <f aca="true" t="shared" si="15" ref="AT13:AT21">0.45*910</f>
        <v>409.5</v>
      </c>
      <c r="AU13" s="203">
        <v>1080</v>
      </c>
      <c r="AV13" s="203">
        <v>500</v>
      </c>
      <c r="AW13" s="203"/>
      <c r="AX13" s="203">
        <f>15+15+55+36+25.5+4+13.5+9+49.15+335</f>
        <v>557.15</v>
      </c>
      <c r="AY13" s="203"/>
      <c r="AZ13" s="92"/>
      <c r="BA13" s="202"/>
      <c r="BB13" s="202"/>
      <c r="BC13" s="141">
        <f t="shared" si="0"/>
        <v>31842.3658</v>
      </c>
      <c r="BD13" s="257">
        <f>'[11]Т04'!$S$41+'[11]Т04'!$S$53+'[11]Т04'!$S$187</f>
        <v>799.725</v>
      </c>
      <c r="BE13" s="154">
        <f t="shared" si="1"/>
        <v>32642.090799999998</v>
      </c>
      <c r="BF13" s="154">
        <f t="shared" si="3"/>
        <v>13639.895200000006</v>
      </c>
      <c r="BG13" s="153">
        <f t="shared" si="2"/>
        <v>6804.4000000000015</v>
      </c>
    </row>
    <row r="14" spans="1:59" ht="12.75">
      <c r="A14" s="184" t="s">
        <v>47</v>
      </c>
      <c r="B14" s="204">
        <v>4418.66</v>
      </c>
      <c r="C14" s="109">
        <f t="shared" si="4"/>
        <v>37779.543000000005</v>
      </c>
      <c r="D14" s="85">
        <v>417.486</v>
      </c>
      <c r="E14" s="197">
        <v>0</v>
      </c>
      <c r="F14" s="142">
        <v>0</v>
      </c>
      <c r="G14" s="141">
        <v>22792.46</v>
      </c>
      <c r="H14" s="141">
        <v>103.4</v>
      </c>
      <c r="I14" s="141">
        <v>0</v>
      </c>
      <c r="J14" s="141">
        <v>0</v>
      </c>
      <c r="K14" s="141">
        <v>0</v>
      </c>
      <c r="L14" s="141">
        <v>0</v>
      </c>
      <c r="M14" s="141">
        <v>11068.45</v>
      </c>
      <c r="N14" s="141">
        <v>50.2</v>
      </c>
      <c r="O14" s="141">
        <v>3856.45</v>
      </c>
      <c r="P14" s="141">
        <v>0</v>
      </c>
      <c r="Q14" s="141">
        <v>0</v>
      </c>
      <c r="R14" s="142">
        <v>0</v>
      </c>
      <c r="S14" s="141">
        <v>0</v>
      </c>
      <c r="T14" s="145">
        <v>0</v>
      </c>
      <c r="U14" s="205">
        <f t="shared" si="5"/>
        <v>37717.36</v>
      </c>
      <c r="V14" s="255">
        <f>F14+H14+J14+L14+N14++R14+T14</f>
        <v>153.60000000000002</v>
      </c>
      <c r="W14" s="143">
        <v>11.35</v>
      </c>
      <c r="X14" s="145">
        <v>18791.95</v>
      </c>
      <c r="Y14" s="143">
        <v>15.38</v>
      </c>
      <c r="Z14" s="143">
        <v>25.59</v>
      </c>
      <c r="AA14" s="143">
        <v>9232.91</v>
      </c>
      <c r="AB14" s="143">
        <v>3192.95</v>
      </c>
      <c r="AC14" s="145">
        <v>0</v>
      </c>
      <c r="AD14" s="145">
        <v>0</v>
      </c>
      <c r="AE14" s="190">
        <v>0</v>
      </c>
      <c r="AF14" s="206">
        <f>SUM(W14:AE14)</f>
        <v>31270.13</v>
      </c>
      <c r="AG14" s="200">
        <f aca="true" t="shared" si="16" ref="AG14:AG21">D14+V14+AF14</f>
        <v>31841.216</v>
      </c>
      <c r="AH14" s="193">
        <f t="shared" si="6"/>
        <v>0</v>
      </c>
      <c r="AI14" s="193">
        <f t="shared" si="6"/>
        <v>0</v>
      </c>
      <c r="AJ14" s="201">
        <f>'[11]Т05'!$J$41+'[11]Т05'!$J$53+'[11]Т05'!$J$185</f>
        <v>1184.5500000000002</v>
      </c>
      <c r="AK14" s="148">
        <f t="shared" si="7"/>
        <v>2960.5022</v>
      </c>
      <c r="AL14" s="148">
        <f t="shared" si="8"/>
        <v>883.732</v>
      </c>
      <c r="AM14" s="148">
        <f t="shared" si="9"/>
        <v>4418.66</v>
      </c>
      <c r="AN14" s="148">
        <f t="shared" si="10"/>
        <v>927.9186</v>
      </c>
      <c r="AO14" s="148">
        <f t="shared" si="11"/>
        <v>8925.6932</v>
      </c>
      <c r="AP14" s="148">
        <f t="shared" si="12"/>
        <v>4551.2198</v>
      </c>
      <c r="AQ14" s="148">
        <f t="shared" si="13"/>
        <v>3313.995</v>
      </c>
      <c r="AR14" s="148">
        <f t="shared" si="14"/>
        <v>3313.995</v>
      </c>
      <c r="AS14" s="148"/>
      <c r="AT14" s="202">
        <f t="shared" si="15"/>
        <v>409.5</v>
      </c>
      <c r="AU14" s="203"/>
      <c r="AV14" s="203"/>
      <c r="AW14" s="203">
        <v>3519</v>
      </c>
      <c r="AX14" s="203"/>
      <c r="AY14" s="203"/>
      <c r="AZ14" s="92"/>
      <c r="BA14" s="202"/>
      <c r="BB14" s="202"/>
      <c r="BC14" s="141">
        <f t="shared" si="0"/>
        <v>33224.2158</v>
      </c>
      <c r="BD14" s="257">
        <f>'[11]Т05'!$S$41+'[11]Т05'!$S$53+'[11]Т05'!$S$185</f>
        <v>799.725</v>
      </c>
      <c r="BE14" s="154">
        <f t="shared" si="1"/>
        <v>34023.9408</v>
      </c>
      <c r="BF14" s="154">
        <f t="shared" si="3"/>
        <v>-998.1747999999934</v>
      </c>
      <c r="BG14" s="153">
        <f t="shared" si="2"/>
        <v>-6447.23</v>
      </c>
    </row>
    <row r="15" spans="1:59" ht="12.75">
      <c r="A15" s="184" t="s">
        <v>48</v>
      </c>
      <c r="B15" s="185">
        <v>4418.66</v>
      </c>
      <c r="C15" s="109">
        <f t="shared" si="4"/>
        <v>37779.543000000005</v>
      </c>
      <c r="D15" s="85">
        <v>417.486</v>
      </c>
      <c r="E15" s="207">
        <v>0</v>
      </c>
      <c r="F15" s="207"/>
      <c r="G15" s="207">
        <v>22797.45</v>
      </c>
      <c r="H15" s="207">
        <v>103.4</v>
      </c>
      <c r="I15" s="208">
        <v>0</v>
      </c>
      <c r="J15" s="208"/>
      <c r="K15" s="208">
        <v>0</v>
      </c>
      <c r="L15" s="208"/>
      <c r="M15" s="208">
        <v>11070.91</v>
      </c>
      <c r="N15" s="208">
        <v>50.2</v>
      </c>
      <c r="O15" s="208">
        <v>3857.33</v>
      </c>
      <c r="P15" s="208"/>
      <c r="Q15" s="208">
        <v>0</v>
      </c>
      <c r="R15" s="209"/>
      <c r="S15" s="209">
        <v>0</v>
      </c>
      <c r="T15" s="208"/>
      <c r="U15" s="210">
        <f t="shared" si="5"/>
        <v>37725.69</v>
      </c>
      <c r="V15" s="254">
        <f t="shared" si="5"/>
        <v>153.60000000000002</v>
      </c>
      <c r="W15" s="211">
        <v>10.94</v>
      </c>
      <c r="X15" s="207">
        <v>20324.21</v>
      </c>
      <c r="Y15" s="207">
        <v>14.79</v>
      </c>
      <c r="Z15" s="207">
        <v>24.6</v>
      </c>
      <c r="AA15" s="207">
        <v>10114.27</v>
      </c>
      <c r="AB15" s="207">
        <v>3494.84</v>
      </c>
      <c r="AC15" s="207">
        <v>0</v>
      </c>
      <c r="AD15" s="207">
        <v>0</v>
      </c>
      <c r="AE15" s="212">
        <v>0</v>
      </c>
      <c r="AF15" s="213">
        <f aca="true" t="shared" si="17" ref="AF15:AF21">SUM(W15:AE15)</f>
        <v>33983.649999999994</v>
      </c>
      <c r="AG15" s="200">
        <f t="shared" si="16"/>
        <v>34554.736</v>
      </c>
      <c r="AH15" s="193">
        <f t="shared" si="6"/>
        <v>0</v>
      </c>
      <c r="AI15" s="193">
        <f t="shared" si="6"/>
        <v>0</v>
      </c>
      <c r="AJ15" s="201">
        <f>'[11]Т06'!$J$41+'[11]Т06'!$J$53+'[11]Т06'!$J$185</f>
        <v>1184.5500000000002</v>
      </c>
      <c r="AK15" s="148">
        <f t="shared" si="7"/>
        <v>2960.5022</v>
      </c>
      <c r="AL15" s="148">
        <f t="shared" si="8"/>
        <v>883.732</v>
      </c>
      <c r="AM15" s="148">
        <f t="shared" si="9"/>
        <v>4418.66</v>
      </c>
      <c r="AN15" s="148">
        <f t="shared" si="10"/>
        <v>927.9186</v>
      </c>
      <c r="AO15" s="148">
        <f t="shared" si="11"/>
        <v>8925.6932</v>
      </c>
      <c r="AP15" s="148">
        <f t="shared" si="12"/>
        <v>4551.2198</v>
      </c>
      <c r="AQ15" s="148">
        <f t="shared" si="13"/>
        <v>3313.995</v>
      </c>
      <c r="AR15" s="148">
        <f t="shared" si="14"/>
        <v>3313.995</v>
      </c>
      <c r="AS15" s="148"/>
      <c r="AT15" s="202">
        <f t="shared" si="15"/>
        <v>409.5</v>
      </c>
      <c r="AU15" s="203">
        <v>4045</v>
      </c>
      <c r="AV15" s="203"/>
      <c r="AW15" s="203"/>
      <c r="AX15" s="203">
        <f>25.5+100</f>
        <v>125.5</v>
      </c>
      <c r="AY15" s="203"/>
      <c r="AZ15" s="148"/>
      <c r="BA15" s="202"/>
      <c r="BB15" s="202"/>
      <c r="BC15" s="258">
        <f t="shared" si="0"/>
        <v>33875.7158</v>
      </c>
      <c r="BD15" s="257">
        <f>'[11]Т06'!$S$41+'[11]Т06'!$S$53+'[11]Т06'!$S$185</f>
        <v>799.725</v>
      </c>
      <c r="BE15" s="154">
        <f t="shared" si="1"/>
        <v>34675.4408</v>
      </c>
      <c r="BF15" s="154">
        <f t="shared" si="3"/>
        <v>1063.8452000000034</v>
      </c>
      <c r="BG15" s="153">
        <f t="shared" si="2"/>
        <v>-3742.040000000008</v>
      </c>
    </row>
    <row r="16" spans="1:59" ht="12.75">
      <c r="A16" s="184" t="s">
        <v>49</v>
      </c>
      <c r="B16" s="185">
        <v>4418.66</v>
      </c>
      <c r="C16" s="109">
        <f t="shared" si="4"/>
        <v>37779.543000000005</v>
      </c>
      <c r="D16" s="85">
        <v>417.486</v>
      </c>
      <c r="E16" s="214"/>
      <c r="F16" s="214"/>
      <c r="G16" s="214">
        <v>22799.52</v>
      </c>
      <c r="H16" s="214">
        <v>103.4</v>
      </c>
      <c r="I16" s="214"/>
      <c r="J16" s="214"/>
      <c r="K16" s="214"/>
      <c r="L16" s="214"/>
      <c r="M16" s="214">
        <v>11071.92</v>
      </c>
      <c r="N16" s="214">
        <v>50.2</v>
      </c>
      <c r="O16" s="214">
        <v>3857.69</v>
      </c>
      <c r="P16" s="214"/>
      <c r="Q16" s="214"/>
      <c r="R16" s="214"/>
      <c r="S16" s="215"/>
      <c r="T16" s="211"/>
      <c r="U16" s="216">
        <f t="shared" si="5"/>
        <v>37729.130000000005</v>
      </c>
      <c r="V16" s="252">
        <f t="shared" si="5"/>
        <v>153.60000000000002</v>
      </c>
      <c r="W16" s="217">
        <v>5.04</v>
      </c>
      <c r="X16" s="214">
        <v>19183.9</v>
      </c>
      <c r="Y16" s="214">
        <v>6.84</v>
      </c>
      <c r="Z16" s="214">
        <v>11.38</v>
      </c>
      <c r="AA16" s="214">
        <v>10251.08</v>
      </c>
      <c r="AB16" s="214">
        <v>3232.47</v>
      </c>
      <c r="AC16" s="207"/>
      <c r="AD16" s="214"/>
      <c r="AE16" s="215"/>
      <c r="AF16" s="213">
        <f t="shared" si="17"/>
        <v>32690.710000000006</v>
      </c>
      <c r="AG16" s="218">
        <f t="shared" si="16"/>
        <v>33261.79600000001</v>
      </c>
      <c r="AH16" s="193">
        <f t="shared" si="6"/>
        <v>0</v>
      </c>
      <c r="AI16" s="193">
        <f t="shared" si="6"/>
        <v>0</v>
      </c>
      <c r="AJ16" s="201">
        <f>'[11]Т07'!$J$41+'[11]Т07'!$J$53+'[11]Т07'!$J$189</f>
        <v>1184.5500000000002</v>
      </c>
      <c r="AK16" s="148">
        <f t="shared" si="7"/>
        <v>2960.5022</v>
      </c>
      <c r="AL16" s="148">
        <f t="shared" si="8"/>
        <v>883.732</v>
      </c>
      <c r="AM16" s="148">
        <f t="shared" si="9"/>
        <v>4418.66</v>
      </c>
      <c r="AN16" s="148">
        <f t="shared" si="10"/>
        <v>927.9186</v>
      </c>
      <c r="AO16" s="148">
        <f t="shared" si="11"/>
        <v>8925.6932</v>
      </c>
      <c r="AP16" s="148">
        <f t="shared" si="12"/>
        <v>4551.2198</v>
      </c>
      <c r="AQ16" s="148">
        <f t="shared" si="13"/>
        <v>3313.995</v>
      </c>
      <c r="AR16" s="148">
        <f t="shared" si="14"/>
        <v>3313.995</v>
      </c>
      <c r="AS16" s="148"/>
      <c r="AT16" s="202">
        <f t="shared" si="15"/>
        <v>409.5</v>
      </c>
      <c r="AU16" s="203"/>
      <c r="AV16" s="203"/>
      <c r="AW16" s="203">
        <v>1567</v>
      </c>
      <c r="AX16" s="203">
        <f>74.43+9.43+24.42+24</f>
        <v>132.28000000000003</v>
      </c>
      <c r="AY16" s="203"/>
      <c r="AZ16" s="92"/>
      <c r="BA16" s="202">
        <v>-13451.76</v>
      </c>
      <c r="BB16" s="202"/>
      <c r="BC16" s="141">
        <f t="shared" si="0"/>
        <v>17952.735799999995</v>
      </c>
      <c r="BD16" s="257">
        <f>'[11]Т07'!$S$41+'[11]Т07'!$S$53+'[11]Т07'!$S$189</f>
        <v>799.725</v>
      </c>
      <c r="BE16" s="154">
        <f t="shared" si="1"/>
        <v>18752.460799999993</v>
      </c>
      <c r="BF16" s="154">
        <f t="shared" si="3"/>
        <v>15693.885200000019</v>
      </c>
      <c r="BG16" s="153">
        <f t="shared" si="2"/>
        <v>-5038.419999999998</v>
      </c>
    </row>
    <row r="17" spans="1:59" ht="12.75">
      <c r="A17" s="184" t="s">
        <v>50</v>
      </c>
      <c r="B17" s="185">
        <v>4418.66</v>
      </c>
      <c r="C17" s="109">
        <f t="shared" si="4"/>
        <v>37779.543000000005</v>
      </c>
      <c r="D17" s="85">
        <v>417.486</v>
      </c>
      <c r="E17" s="219"/>
      <c r="F17" s="219"/>
      <c r="G17" s="219">
        <v>22698.76</v>
      </c>
      <c r="H17" s="219">
        <v>185.95</v>
      </c>
      <c r="I17" s="219"/>
      <c r="J17" s="219"/>
      <c r="K17" s="219"/>
      <c r="L17" s="219"/>
      <c r="M17" s="219">
        <v>11022.9</v>
      </c>
      <c r="N17" s="219">
        <v>90.28</v>
      </c>
      <c r="O17" s="219">
        <v>3854.49</v>
      </c>
      <c r="P17" s="219"/>
      <c r="Q17" s="219"/>
      <c r="R17" s="219"/>
      <c r="S17" s="220"/>
      <c r="T17" s="212"/>
      <c r="U17" s="221">
        <f t="shared" si="5"/>
        <v>37576.149999999994</v>
      </c>
      <c r="V17" s="253">
        <f t="shared" si="5"/>
        <v>276.23</v>
      </c>
      <c r="W17" s="214">
        <v>253.65</v>
      </c>
      <c r="X17" s="214">
        <v>20441.25</v>
      </c>
      <c r="Y17" s="214">
        <v>343.61</v>
      </c>
      <c r="Z17" s="214">
        <v>571.93</v>
      </c>
      <c r="AA17" s="214">
        <v>10751.93</v>
      </c>
      <c r="AB17" s="214">
        <v>3662.69</v>
      </c>
      <c r="AC17" s="214"/>
      <c r="AD17" s="214"/>
      <c r="AE17" s="215"/>
      <c r="AF17" s="213">
        <f t="shared" si="17"/>
        <v>36025.060000000005</v>
      </c>
      <c r="AG17" s="218">
        <f t="shared" si="16"/>
        <v>36718.776000000005</v>
      </c>
      <c r="AH17" s="193">
        <f t="shared" si="6"/>
        <v>0</v>
      </c>
      <c r="AI17" s="193">
        <f t="shared" si="6"/>
        <v>0</v>
      </c>
      <c r="AJ17" s="201">
        <f>'[11]Т08'!$J$41+'[11]Т08'!$J$53+'[11]Т08'!$J$193</f>
        <v>1184.5500000000002</v>
      </c>
      <c r="AK17" s="148">
        <f t="shared" si="7"/>
        <v>2960.5022</v>
      </c>
      <c r="AL17" s="148">
        <f t="shared" si="8"/>
        <v>883.732</v>
      </c>
      <c r="AM17" s="148">
        <f t="shared" si="9"/>
        <v>4418.66</v>
      </c>
      <c r="AN17" s="148">
        <f t="shared" si="10"/>
        <v>927.9186</v>
      </c>
      <c r="AO17" s="148">
        <f t="shared" si="11"/>
        <v>8925.6932</v>
      </c>
      <c r="AP17" s="148">
        <f t="shared" si="12"/>
        <v>4551.2198</v>
      </c>
      <c r="AQ17" s="148">
        <f t="shared" si="13"/>
        <v>3313.995</v>
      </c>
      <c r="AR17" s="148">
        <f t="shared" si="14"/>
        <v>3313.995</v>
      </c>
      <c r="AS17" s="148"/>
      <c r="AT17" s="202">
        <f t="shared" si="15"/>
        <v>409.5</v>
      </c>
      <c r="AU17" s="203">
        <v>1509</v>
      </c>
      <c r="AV17" s="203"/>
      <c r="AW17" s="203"/>
      <c r="AX17" s="203">
        <f>10.4+186.55</f>
        <v>196.95000000000002</v>
      </c>
      <c r="AY17" s="203"/>
      <c r="AZ17" s="92"/>
      <c r="BA17" s="202"/>
      <c r="BB17" s="202"/>
      <c r="BC17" s="141">
        <f t="shared" si="0"/>
        <v>31411.1658</v>
      </c>
      <c r="BD17" s="257">
        <f>'[11]Т08'!$S$41+'[11]Т08'!$S$53+'[11]Т08'!$S$193</f>
        <v>799.725</v>
      </c>
      <c r="BE17" s="154">
        <f t="shared" si="1"/>
        <v>32210.890799999997</v>
      </c>
      <c r="BF17" s="154">
        <f t="shared" si="3"/>
        <v>5692.435200000011</v>
      </c>
      <c r="BG17" s="153">
        <f t="shared" si="2"/>
        <v>-1551.0899999999892</v>
      </c>
    </row>
    <row r="18" spans="1:59" ht="12.75">
      <c r="A18" s="184" t="s">
        <v>51</v>
      </c>
      <c r="B18" s="185">
        <v>4418.66</v>
      </c>
      <c r="C18" s="109">
        <f t="shared" si="4"/>
        <v>37779.543000000005</v>
      </c>
      <c r="D18" s="85">
        <v>417.486</v>
      </c>
      <c r="E18" s="214"/>
      <c r="F18" s="214"/>
      <c r="G18" s="214">
        <v>23339.69</v>
      </c>
      <c r="H18" s="214"/>
      <c r="I18" s="214"/>
      <c r="J18" s="214"/>
      <c r="K18" s="214"/>
      <c r="L18" s="214"/>
      <c r="M18" s="214">
        <v>11334.12</v>
      </c>
      <c r="N18" s="214"/>
      <c r="O18" s="214">
        <v>3931.18</v>
      </c>
      <c r="P18" s="214"/>
      <c r="Q18" s="214"/>
      <c r="R18" s="214"/>
      <c r="S18" s="215"/>
      <c r="T18" s="259"/>
      <c r="U18" s="259">
        <f t="shared" si="5"/>
        <v>38604.99</v>
      </c>
      <c r="V18" s="260">
        <f t="shared" si="5"/>
        <v>0</v>
      </c>
      <c r="W18" s="214">
        <v>513.45</v>
      </c>
      <c r="X18" s="214">
        <v>20806.13</v>
      </c>
      <c r="Y18" s="214">
        <v>243.29</v>
      </c>
      <c r="Z18" s="214">
        <v>302.82</v>
      </c>
      <c r="AA18" s="214">
        <v>10180.11</v>
      </c>
      <c r="AB18" s="214">
        <v>3622.52</v>
      </c>
      <c r="AC18" s="214"/>
      <c r="AD18" s="214"/>
      <c r="AE18" s="215"/>
      <c r="AF18" s="213">
        <f t="shared" si="17"/>
        <v>35668.32</v>
      </c>
      <c r="AG18" s="218">
        <f t="shared" si="16"/>
        <v>36085.806</v>
      </c>
      <c r="AH18" s="193">
        <f t="shared" si="6"/>
        <v>0</v>
      </c>
      <c r="AI18" s="193">
        <f t="shared" si="6"/>
        <v>0</v>
      </c>
      <c r="AJ18" s="201">
        <f>'[11]Т09'!$J$41+'[11]Т09'!$J$53+'[11]Т09'!$J$193</f>
        <v>1184.5500000000002</v>
      </c>
      <c r="AK18" s="148">
        <f t="shared" si="7"/>
        <v>2960.5022</v>
      </c>
      <c r="AL18" s="148">
        <f t="shared" si="8"/>
        <v>883.732</v>
      </c>
      <c r="AM18" s="148">
        <f t="shared" si="9"/>
        <v>4418.66</v>
      </c>
      <c r="AN18" s="148">
        <f t="shared" si="10"/>
        <v>927.9186</v>
      </c>
      <c r="AO18" s="148">
        <f t="shared" si="11"/>
        <v>8925.6932</v>
      </c>
      <c r="AP18" s="148">
        <f t="shared" si="12"/>
        <v>4551.2198</v>
      </c>
      <c r="AQ18" s="148">
        <f t="shared" si="13"/>
        <v>3313.995</v>
      </c>
      <c r="AR18" s="148">
        <f t="shared" si="14"/>
        <v>3313.995</v>
      </c>
      <c r="AS18" s="148"/>
      <c r="AT18" s="202">
        <f t="shared" si="15"/>
        <v>409.5</v>
      </c>
      <c r="AU18" s="203">
        <v>4666</v>
      </c>
      <c r="AV18" s="203"/>
      <c r="AW18" s="203"/>
      <c r="AX18" s="203">
        <f>479.52</f>
        <v>479.52</v>
      </c>
      <c r="AY18" s="203"/>
      <c r="AZ18" s="92"/>
      <c r="BA18" s="202"/>
      <c r="BB18" s="202"/>
      <c r="BC18" s="141">
        <f t="shared" si="0"/>
        <v>34850.735799999995</v>
      </c>
      <c r="BD18" s="257">
        <f>'[11]Т08'!$S$41+'[11]Т08'!$S$53+'[11]Т08'!$S$193</f>
        <v>799.725</v>
      </c>
      <c r="BE18" s="154">
        <f t="shared" si="1"/>
        <v>35650.46079999999</v>
      </c>
      <c r="BF18" s="154">
        <f t="shared" si="3"/>
        <v>1619.8952000000063</v>
      </c>
      <c r="BG18" s="153">
        <f t="shared" si="2"/>
        <v>-2936.6699999999983</v>
      </c>
    </row>
    <row r="19" spans="1:59" ht="12.75">
      <c r="A19" s="184" t="s">
        <v>39</v>
      </c>
      <c r="B19" s="185">
        <v>4418.66</v>
      </c>
      <c r="C19" s="109">
        <f t="shared" si="4"/>
        <v>37779.543000000005</v>
      </c>
      <c r="D19" s="85">
        <v>417.486</v>
      </c>
      <c r="E19" s="207"/>
      <c r="F19" s="207"/>
      <c r="G19" s="207">
        <v>23143.54</v>
      </c>
      <c r="H19" s="207">
        <v>206.8</v>
      </c>
      <c r="I19" s="207"/>
      <c r="J19" s="207"/>
      <c r="K19" s="207"/>
      <c r="L19" s="207"/>
      <c r="M19" s="207">
        <v>11238.96</v>
      </c>
      <c r="N19" s="207">
        <v>100.4</v>
      </c>
      <c r="O19" s="207">
        <v>3933.04</v>
      </c>
      <c r="P19" s="207"/>
      <c r="Q19" s="207"/>
      <c r="R19" s="207"/>
      <c r="S19" s="212"/>
      <c r="T19" s="261"/>
      <c r="U19" s="262">
        <f t="shared" si="5"/>
        <v>38315.54</v>
      </c>
      <c r="V19" s="263">
        <f t="shared" si="5"/>
        <v>307.20000000000005</v>
      </c>
      <c r="W19" s="207">
        <v>0</v>
      </c>
      <c r="X19" s="207">
        <v>20200.14</v>
      </c>
      <c r="Y19" s="207">
        <v>0</v>
      </c>
      <c r="Z19" s="207">
        <v>0</v>
      </c>
      <c r="AA19" s="207">
        <v>9809.79</v>
      </c>
      <c r="AB19" s="207">
        <v>3420.61</v>
      </c>
      <c r="AC19" s="207"/>
      <c r="AD19" s="207"/>
      <c r="AE19" s="212"/>
      <c r="AF19" s="213">
        <f t="shared" si="17"/>
        <v>33430.54</v>
      </c>
      <c r="AG19" s="218">
        <f t="shared" si="16"/>
        <v>34155.226</v>
      </c>
      <c r="AH19" s="193">
        <f t="shared" si="6"/>
        <v>0</v>
      </c>
      <c r="AI19" s="193">
        <f t="shared" si="6"/>
        <v>0</v>
      </c>
      <c r="AJ19" s="201">
        <f>'[15]Т10'!$J$41+'[15]Т10'!$J$53+'[15]Т10'!$J$193</f>
        <v>1184.5500000000002</v>
      </c>
      <c r="AK19" s="148">
        <f t="shared" si="7"/>
        <v>2960.5022</v>
      </c>
      <c r="AL19" s="148">
        <f t="shared" si="8"/>
        <v>883.732</v>
      </c>
      <c r="AM19" s="148">
        <f t="shared" si="9"/>
        <v>4418.66</v>
      </c>
      <c r="AN19" s="148">
        <f t="shared" si="10"/>
        <v>927.9186</v>
      </c>
      <c r="AO19" s="148">
        <f t="shared" si="11"/>
        <v>8925.6932</v>
      </c>
      <c r="AP19" s="148">
        <f t="shared" si="12"/>
        <v>4551.2198</v>
      </c>
      <c r="AQ19" s="148">
        <f t="shared" si="13"/>
        <v>3313.995</v>
      </c>
      <c r="AR19" s="148">
        <f t="shared" si="14"/>
        <v>3313.995</v>
      </c>
      <c r="AS19" s="264">
        <f>B19*1.15</f>
        <v>5081.459</v>
      </c>
      <c r="AT19" s="202">
        <f t="shared" si="15"/>
        <v>409.5</v>
      </c>
      <c r="AU19" s="203">
        <v>2310</v>
      </c>
      <c r="AV19" s="203"/>
      <c r="AW19" s="293">
        <f>48+1560+108+48</f>
        <v>1764</v>
      </c>
      <c r="AX19" s="203">
        <f>135.85</f>
        <v>135.85</v>
      </c>
      <c r="AY19" s="203"/>
      <c r="AZ19" s="92"/>
      <c r="BA19" s="202"/>
      <c r="BB19" s="202"/>
      <c r="BC19" s="141">
        <f t="shared" si="0"/>
        <v>38996.5248</v>
      </c>
      <c r="BD19" s="257">
        <f>'[11]Т10'!$S$41+'[11]Т10'!$S$53+'[11]Т10'!$S$193</f>
        <v>799.725</v>
      </c>
      <c r="BE19" s="154">
        <f t="shared" si="1"/>
        <v>39796.2498</v>
      </c>
      <c r="BF19" s="154">
        <f t="shared" si="3"/>
        <v>-4456.4737999999925</v>
      </c>
      <c r="BG19" s="153">
        <f t="shared" si="2"/>
        <v>-4885</v>
      </c>
    </row>
    <row r="20" spans="1:59" ht="12.75">
      <c r="A20" s="184" t="s">
        <v>40</v>
      </c>
      <c r="B20" s="185">
        <v>4418.66</v>
      </c>
      <c r="C20" s="109">
        <f t="shared" si="4"/>
        <v>37779.543000000005</v>
      </c>
      <c r="D20" s="85">
        <v>417.486</v>
      </c>
      <c r="E20" s="207"/>
      <c r="F20" s="207"/>
      <c r="G20" s="207">
        <v>23253.62</v>
      </c>
      <c r="H20" s="207">
        <v>103.4</v>
      </c>
      <c r="I20" s="207"/>
      <c r="J20" s="207"/>
      <c r="K20" s="207"/>
      <c r="L20" s="207"/>
      <c r="M20" s="207">
        <v>11292.44</v>
      </c>
      <c r="N20" s="207">
        <v>50.2</v>
      </c>
      <c r="O20" s="207">
        <v>3934.21</v>
      </c>
      <c r="P20" s="207"/>
      <c r="Q20" s="207"/>
      <c r="R20" s="207"/>
      <c r="S20" s="212"/>
      <c r="T20" s="261"/>
      <c r="U20" s="262">
        <f t="shared" si="5"/>
        <v>38480.27</v>
      </c>
      <c r="V20" s="263">
        <f t="shared" si="5"/>
        <v>153.60000000000002</v>
      </c>
      <c r="W20" s="207">
        <v>0</v>
      </c>
      <c r="X20" s="207">
        <v>25441.71</v>
      </c>
      <c r="Y20" s="207">
        <v>0</v>
      </c>
      <c r="Z20" s="207">
        <v>0</v>
      </c>
      <c r="AA20" s="207">
        <v>12355.7</v>
      </c>
      <c r="AB20" s="207">
        <v>4303.59</v>
      </c>
      <c r="AC20" s="207"/>
      <c r="AD20" s="207"/>
      <c r="AE20" s="212"/>
      <c r="AF20" s="213">
        <f t="shared" si="17"/>
        <v>42101</v>
      </c>
      <c r="AG20" s="218">
        <f t="shared" si="16"/>
        <v>42672.086</v>
      </c>
      <c r="AH20" s="193">
        <f t="shared" si="6"/>
        <v>0</v>
      </c>
      <c r="AI20" s="193">
        <f t="shared" si="6"/>
        <v>0</v>
      </c>
      <c r="AJ20" s="201">
        <f>'[11]Т11'!$J$41+'[11]Т11'!$J$53+'[11]Т11'!$J$193</f>
        <v>1184.5500000000002</v>
      </c>
      <c r="AK20" s="148">
        <f t="shared" si="7"/>
        <v>2960.5022</v>
      </c>
      <c r="AL20" s="148">
        <f t="shared" si="8"/>
        <v>883.732</v>
      </c>
      <c r="AM20" s="148">
        <f t="shared" si="9"/>
        <v>4418.66</v>
      </c>
      <c r="AN20" s="148">
        <f t="shared" si="10"/>
        <v>927.9186</v>
      </c>
      <c r="AO20" s="148">
        <f t="shared" si="11"/>
        <v>8925.6932</v>
      </c>
      <c r="AP20" s="148">
        <f t="shared" si="12"/>
        <v>4551.2198</v>
      </c>
      <c r="AQ20" s="148">
        <f t="shared" si="13"/>
        <v>3313.995</v>
      </c>
      <c r="AR20" s="148">
        <f t="shared" si="14"/>
        <v>3313.995</v>
      </c>
      <c r="AS20" s="264">
        <f>B20*1.15</f>
        <v>5081.459</v>
      </c>
      <c r="AT20" s="202">
        <f t="shared" si="15"/>
        <v>409.5</v>
      </c>
      <c r="AU20" s="203"/>
      <c r="AV20" s="203"/>
      <c r="AW20" s="203"/>
      <c r="AX20" s="203">
        <f>61.46</f>
        <v>61.46</v>
      </c>
      <c r="AY20" s="203"/>
      <c r="AZ20" s="92"/>
      <c r="BA20" s="202"/>
      <c r="BB20" s="202"/>
      <c r="BC20" s="141">
        <f t="shared" si="0"/>
        <v>34848.1348</v>
      </c>
      <c r="BD20" s="257">
        <f>'[11]Т11'!$S$41+'[11]Т11'!$S$53+'[11]Т11'!$S$193</f>
        <v>799.725</v>
      </c>
      <c r="BE20" s="154">
        <f t="shared" si="1"/>
        <v>35647.8598</v>
      </c>
      <c r="BF20" s="154">
        <f t="shared" si="3"/>
        <v>8208.776200000008</v>
      </c>
      <c r="BG20" s="153">
        <f t="shared" si="2"/>
        <v>3620.730000000003</v>
      </c>
    </row>
    <row r="21" spans="1:59" ht="13.5" thickBot="1">
      <c r="A21" s="184" t="s">
        <v>41</v>
      </c>
      <c r="B21" s="185">
        <v>4418.66</v>
      </c>
      <c r="C21" s="109">
        <f t="shared" si="4"/>
        <v>37779.543000000005</v>
      </c>
      <c r="D21" s="266">
        <v>373.422</v>
      </c>
      <c r="E21" s="267"/>
      <c r="F21" s="267"/>
      <c r="G21" s="267">
        <v>23255.62</v>
      </c>
      <c r="H21" s="267">
        <v>103.4</v>
      </c>
      <c r="I21" s="267"/>
      <c r="J21" s="267"/>
      <c r="K21" s="267"/>
      <c r="L21" s="267"/>
      <c r="M21" s="267">
        <v>11293.43</v>
      </c>
      <c r="N21" s="267">
        <v>50.2</v>
      </c>
      <c r="O21" s="267">
        <v>3934.57</v>
      </c>
      <c r="P21" s="267"/>
      <c r="Q21" s="267"/>
      <c r="R21" s="267"/>
      <c r="S21" s="268"/>
      <c r="T21" s="269"/>
      <c r="U21" s="262">
        <f t="shared" si="5"/>
        <v>38483.62</v>
      </c>
      <c r="V21" s="263">
        <f t="shared" si="5"/>
        <v>153.60000000000002</v>
      </c>
      <c r="W21" s="207">
        <v>0</v>
      </c>
      <c r="X21" s="207">
        <v>25783.51</v>
      </c>
      <c r="Y21" s="207">
        <v>0</v>
      </c>
      <c r="Z21" s="207">
        <v>0</v>
      </c>
      <c r="AA21" s="207">
        <v>12520.06</v>
      </c>
      <c r="AB21" s="207">
        <v>4359.22</v>
      </c>
      <c r="AC21" s="207"/>
      <c r="AD21" s="207"/>
      <c r="AE21" s="212"/>
      <c r="AF21" s="213">
        <f t="shared" si="17"/>
        <v>42662.79</v>
      </c>
      <c r="AG21" s="218">
        <f t="shared" si="16"/>
        <v>43189.812</v>
      </c>
      <c r="AH21" s="193">
        <f t="shared" si="6"/>
        <v>0</v>
      </c>
      <c r="AI21" s="193">
        <f t="shared" si="6"/>
        <v>0</v>
      </c>
      <c r="AJ21" s="201">
        <f>'[11]Т12'!$J$41+'[11]Т12'!$J$53+'[11]Т12'!$J$213</f>
        <v>1184.5500000000002</v>
      </c>
      <c r="AK21" s="148">
        <f t="shared" si="7"/>
        <v>2960.5022</v>
      </c>
      <c r="AL21" s="148">
        <f t="shared" si="8"/>
        <v>883.732</v>
      </c>
      <c r="AM21" s="148">
        <f t="shared" si="9"/>
        <v>4418.66</v>
      </c>
      <c r="AN21" s="148">
        <f t="shared" si="10"/>
        <v>927.9186</v>
      </c>
      <c r="AO21" s="148">
        <f t="shared" si="11"/>
        <v>8925.6932</v>
      </c>
      <c r="AP21" s="148">
        <f t="shared" si="12"/>
        <v>4551.2198</v>
      </c>
      <c r="AQ21" s="148">
        <f t="shared" si="13"/>
        <v>3313.995</v>
      </c>
      <c r="AR21" s="148">
        <f t="shared" si="14"/>
        <v>3313.995</v>
      </c>
      <c r="AS21" s="264">
        <f>B21*1.15</f>
        <v>5081.459</v>
      </c>
      <c r="AT21" s="202">
        <f t="shared" si="15"/>
        <v>409.5</v>
      </c>
      <c r="AU21" s="203"/>
      <c r="AV21" s="203"/>
      <c r="AW21" s="203"/>
      <c r="AX21" s="203"/>
      <c r="AY21" s="203"/>
      <c r="AZ21" s="92"/>
      <c r="BA21" s="202"/>
      <c r="BB21" s="202"/>
      <c r="BC21" s="141">
        <f t="shared" si="0"/>
        <v>34786.6748</v>
      </c>
      <c r="BD21" s="257">
        <f>'[11]Т12'!$S$41+'[11]Т12'!$S$53+'[11]Т12'!$S$213</f>
        <v>799.725</v>
      </c>
      <c r="BE21" s="154">
        <f t="shared" si="1"/>
        <v>35586.3998</v>
      </c>
      <c r="BF21" s="154">
        <f t="shared" si="3"/>
        <v>8787.962200000002</v>
      </c>
      <c r="BG21" s="153">
        <f t="shared" si="2"/>
        <v>4179.169999999998</v>
      </c>
    </row>
    <row r="22" spans="1:59" s="26" customFormat="1" ht="13.5" thickBot="1">
      <c r="A22" s="222" t="s">
        <v>5</v>
      </c>
      <c r="B22" s="223"/>
      <c r="C22" s="224">
        <f aca="true" t="shared" si="18" ref="C22:BF22">SUM(C10:C21)</f>
        <v>453354.51600000006</v>
      </c>
      <c r="D22" s="224">
        <f t="shared" si="18"/>
        <v>5051.243999999999</v>
      </c>
      <c r="E22" s="224">
        <f t="shared" si="18"/>
        <v>-5.41</v>
      </c>
      <c r="F22" s="224">
        <f t="shared" si="18"/>
        <v>0</v>
      </c>
      <c r="G22" s="224">
        <f t="shared" si="18"/>
        <v>275299.98000000004</v>
      </c>
      <c r="H22" s="224">
        <f t="shared" si="18"/>
        <v>1116.55</v>
      </c>
      <c r="I22" s="224">
        <f t="shared" si="18"/>
        <v>-7.32</v>
      </c>
      <c r="J22" s="224">
        <f t="shared" si="18"/>
        <v>0</v>
      </c>
      <c r="K22" s="224">
        <f t="shared" si="18"/>
        <v>-12.190000000000001</v>
      </c>
      <c r="L22" s="224">
        <f t="shared" si="18"/>
        <v>0</v>
      </c>
      <c r="M22" s="224">
        <f t="shared" si="18"/>
        <v>133673.71</v>
      </c>
      <c r="N22" s="224">
        <f t="shared" si="18"/>
        <v>592.2800000000001</v>
      </c>
      <c r="O22" s="224">
        <f t="shared" si="18"/>
        <v>46589.13</v>
      </c>
      <c r="P22" s="224">
        <f t="shared" si="18"/>
        <v>0</v>
      </c>
      <c r="Q22" s="224">
        <f t="shared" si="18"/>
        <v>0</v>
      </c>
      <c r="R22" s="224">
        <f t="shared" si="18"/>
        <v>0</v>
      </c>
      <c r="S22" s="224">
        <f t="shared" si="18"/>
        <v>0</v>
      </c>
      <c r="T22" s="224">
        <f t="shared" si="18"/>
        <v>0</v>
      </c>
      <c r="U22" s="224">
        <f t="shared" si="18"/>
        <v>455537.89999999997</v>
      </c>
      <c r="V22" s="224">
        <f t="shared" si="18"/>
        <v>1708.8300000000004</v>
      </c>
      <c r="W22" s="224">
        <f t="shared" si="18"/>
        <v>5867.32</v>
      </c>
      <c r="X22" s="224">
        <f t="shared" si="18"/>
        <v>230692.41</v>
      </c>
      <c r="Y22" s="224">
        <f t="shared" si="18"/>
        <v>7491.99</v>
      </c>
      <c r="Z22" s="224">
        <f t="shared" si="18"/>
        <v>12370.38</v>
      </c>
      <c r="AA22" s="224">
        <f t="shared" si="18"/>
        <v>130084.83</v>
      </c>
      <c r="AB22" s="224">
        <f t="shared" si="18"/>
        <v>43280.68000000001</v>
      </c>
      <c r="AC22" s="224">
        <f t="shared" si="18"/>
        <v>0</v>
      </c>
      <c r="AD22" s="224">
        <f t="shared" si="18"/>
        <v>0</v>
      </c>
      <c r="AE22" s="224">
        <f t="shared" si="18"/>
        <v>0</v>
      </c>
      <c r="AF22" s="224">
        <f t="shared" si="18"/>
        <v>429787.61</v>
      </c>
      <c r="AG22" s="224">
        <f t="shared" si="18"/>
        <v>436547.684</v>
      </c>
      <c r="AH22" s="224">
        <f t="shared" si="18"/>
        <v>0</v>
      </c>
      <c r="AI22" s="224">
        <f t="shared" si="18"/>
        <v>0</v>
      </c>
      <c r="AJ22" s="224">
        <f t="shared" si="18"/>
        <v>14214.599999999999</v>
      </c>
      <c r="AK22" s="224">
        <f t="shared" si="18"/>
        <v>35526.026399999995</v>
      </c>
      <c r="AL22" s="224">
        <f t="shared" si="18"/>
        <v>10604.784</v>
      </c>
      <c r="AM22" s="224">
        <f t="shared" si="18"/>
        <v>53023.92000000001</v>
      </c>
      <c r="AN22" s="224">
        <f t="shared" si="18"/>
        <v>11135.023200000003</v>
      </c>
      <c r="AO22" s="224">
        <f t="shared" si="18"/>
        <v>107108.31839999997</v>
      </c>
      <c r="AP22" s="224">
        <f t="shared" si="18"/>
        <v>54614.637599999995</v>
      </c>
      <c r="AQ22" s="224">
        <f t="shared" si="18"/>
        <v>39767.94</v>
      </c>
      <c r="AR22" s="224">
        <f t="shared" si="18"/>
        <v>39767.94</v>
      </c>
      <c r="AS22" s="224">
        <f t="shared" si="18"/>
        <v>30488.753999999997</v>
      </c>
      <c r="AT22" s="224">
        <f t="shared" si="18"/>
        <v>4914</v>
      </c>
      <c r="AU22" s="224">
        <f t="shared" si="18"/>
        <v>82536</v>
      </c>
      <c r="AV22" s="224">
        <f t="shared" si="18"/>
        <v>3965</v>
      </c>
      <c r="AW22" s="224">
        <f t="shared" si="18"/>
        <v>6850</v>
      </c>
      <c r="AX22" s="224">
        <f t="shared" si="18"/>
        <v>17367.67</v>
      </c>
      <c r="AY22" s="224">
        <f t="shared" si="18"/>
        <v>0</v>
      </c>
      <c r="AZ22" s="224">
        <f t="shared" si="18"/>
        <v>0</v>
      </c>
      <c r="BA22" s="224">
        <f t="shared" si="18"/>
        <v>-13451.76</v>
      </c>
      <c r="BB22" s="224">
        <f t="shared" si="18"/>
        <v>0</v>
      </c>
      <c r="BC22" s="224">
        <f t="shared" si="18"/>
        <v>484218.2536</v>
      </c>
      <c r="BD22" s="224">
        <f t="shared" si="18"/>
        <v>9596.700000000003</v>
      </c>
      <c r="BE22" s="224">
        <f t="shared" si="18"/>
        <v>493814.9536</v>
      </c>
      <c r="BF22" s="224">
        <f t="shared" si="18"/>
        <v>-43052.669599999965</v>
      </c>
      <c r="BG22" s="224">
        <f>SUM(BG10:BG21)</f>
        <v>-25750.29</v>
      </c>
    </row>
    <row r="23" spans="1:59" s="26" customFormat="1" ht="13.5" thickBot="1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8"/>
      <c r="BF23" s="227"/>
      <c r="BG23" s="229"/>
    </row>
    <row r="24" spans="1:59" s="26" customFormat="1" ht="12.75">
      <c r="A24" s="226" t="s">
        <v>114</v>
      </c>
      <c r="B24" s="281"/>
      <c r="C24" s="282">
        <f aca="true" t="shared" si="19" ref="C24:AH24">C22+C8</f>
        <v>1944305.7110000004</v>
      </c>
      <c r="D24" s="282">
        <f t="shared" si="19"/>
        <v>124842.95925860002</v>
      </c>
      <c r="E24" s="282">
        <f t="shared" si="19"/>
        <v>89734.28</v>
      </c>
      <c r="F24" s="282">
        <f t="shared" si="19"/>
        <v>14632.029999999999</v>
      </c>
      <c r="G24" s="282">
        <f t="shared" si="19"/>
        <v>275299.98000000004</v>
      </c>
      <c r="H24" s="282">
        <f t="shared" si="19"/>
        <v>1116.55</v>
      </c>
      <c r="I24" s="282">
        <f t="shared" si="19"/>
        <v>121406.78</v>
      </c>
      <c r="J24" s="282">
        <f t="shared" si="19"/>
        <v>19812.559999999998</v>
      </c>
      <c r="K24" s="282">
        <f t="shared" si="19"/>
        <v>202199.64999999997</v>
      </c>
      <c r="L24" s="282">
        <f t="shared" si="19"/>
        <v>32984.74</v>
      </c>
      <c r="M24" s="282">
        <f t="shared" si="19"/>
        <v>425276.20999999996</v>
      </c>
      <c r="N24" s="282">
        <f t="shared" si="19"/>
        <v>48211.82</v>
      </c>
      <c r="O24" s="282">
        <f t="shared" si="19"/>
        <v>115667.1</v>
      </c>
      <c r="P24" s="282">
        <f t="shared" si="19"/>
        <v>9964.18</v>
      </c>
      <c r="Q24" s="282">
        <f t="shared" si="19"/>
        <v>0</v>
      </c>
      <c r="R24" s="282">
        <f t="shared" si="19"/>
        <v>0</v>
      </c>
      <c r="S24" s="282">
        <f t="shared" si="19"/>
        <v>0</v>
      </c>
      <c r="T24" s="282">
        <f t="shared" si="19"/>
        <v>0</v>
      </c>
      <c r="U24" s="282">
        <f t="shared" si="19"/>
        <v>1232300.34</v>
      </c>
      <c r="V24" s="282">
        <f t="shared" si="19"/>
        <v>128465.47000000002</v>
      </c>
      <c r="W24" s="282">
        <f t="shared" si="19"/>
        <v>85607.70000000001</v>
      </c>
      <c r="X24" s="282">
        <f t="shared" si="19"/>
        <v>230692.41</v>
      </c>
      <c r="Y24" s="282">
        <f t="shared" si="19"/>
        <v>115390.43000000001</v>
      </c>
      <c r="Z24" s="282">
        <f t="shared" si="19"/>
        <v>191537.45</v>
      </c>
      <c r="AA24" s="282">
        <f t="shared" si="19"/>
        <v>388706.22</v>
      </c>
      <c r="AB24" s="282">
        <f t="shared" si="19"/>
        <v>107075.79000000001</v>
      </c>
      <c r="AC24" s="282">
        <f t="shared" si="19"/>
        <v>0</v>
      </c>
      <c r="AD24" s="282">
        <f t="shared" si="19"/>
        <v>0</v>
      </c>
      <c r="AE24" s="282">
        <f t="shared" si="19"/>
        <v>0</v>
      </c>
      <c r="AF24" s="282">
        <f t="shared" si="19"/>
        <v>1119010</v>
      </c>
      <c r="AG24" s="282">
        <f t="shared" si="19"/>
        <v>1372318.4292585999</v>
      </c>
      <c r="AH24" s="282">
        <f t="shared" si="19"/>
        <v>0</v>
      </c>
      <c r="AI24" s="282">
        <f aca="true" t="shared" si="20" ref="AI24:BG24">AI22+AI8</f>
        <v>0</v>
      </c>
      <c r="AJ24" s="282">
        <f t="shared" si="20"/>
        <v>36879.435612</v>
      </c>
      <c r="AK24" s="282">
        <f t="shared" si="20"/>
        <v>106064.87640000001</v>
      </c>
      <c r="AL24" s="282">
        <f t="shared" si="20"/>
        <v>34241.1195768</v>
      </c>
      <c r="AM24" s="282">
        <f t="shared" si="20"/>
        <v>170116.595231833</v>
      </c>
      <c r="AN24" s="282">
        <f t="shared" si="20"/>
        <v>11135.023200000003</v>
      </c>
      <c r="AO24" s="282">
        <f t="shared" si="20"/>
        <v>223904.67876083503</v>
      </c>
      <c r="AP24" s="282">
        <f t="shared" si="20"/>
        <v>315892.6542235383</v>
      </c>
      <c r="AQ24" s="282">
        <f t="shared" si="20"/>
        <v>39767.94</v>
      </c>
      <c r="AR24" s="282">
        <f t="shared" si="20"/>
        <v>39767.94</v>
      </c>
      <c r="AS24" s="282">
        <f t="shared" si="20"/>
        <v>30488.753999999997</v>
      </c>
      <c r="AT24" s="282">
        <f t="shared" si="20"/>
        <v>9828</v>
      </c>
      <c r="AU24" s="282">
        <f t="shared" si="20"/>
        <v>230370.5</v>
      </c>
      <c r="AV24" s="282">
        <f t="shared" si="20"/>
        <v>3965</v>
      </c>
      <c r="AW24" s="282">
        <f t="shared" si="20"/>
        <v>132956.62680000003</v>
      </c>
      <c r="AX24" s="282">
        <f t="shared" si="20"/>
        <v>70552.72294</v>
      </c>
      <c r="AY24" s="282">
        <f t="shared" si="20"/>
        <v>24672.7936</v>
      </c>
      <c r="AZ24" s="282">
        <f t="shared" si="20"/>
        <v>0</v>
      </c>
      <c r="BA24" s="282">
        <f t="shared" si="20"/>
        <v>-13451.76</v>
      </c>
      <c r="BB24" s="282">
        <f t="shared" si="20"/>
        <v>0</v>
      </c>
      <c r="BC24" s="282">
        <f t="shared" si="20"/>
        <v>1430273.4647330064</v>
      </c>
      <c r="BD24" s="282">
        <f t="shared" si="20"/>
        <v>19705.122765089007</v>
      </c>
      <c r="BE24" s="283">
        <f t="shared" si="20"/>
        <v>1449978.5874980954</v>
      </c>
      <c r="BF24" s="282">
        <f t="shared" si="20"/>
        <v>-40780.72262749527</v>
      </c>
      <c r="BG24" s="284">
        <f t="shared" si="20"/>
        <v>-113290.34</v>
      </c>
    </row>
    <row r="25" spans="1:59" ht="12.75">
      <c r="A25" s="182" t="s">
        <v>43</v>
      </c>
      <c r="B25" s="185">
        <v>4418.66</v>
      </c>
      <c r="C25" s="109">
        <f aca="true" t="shared" si="21" ref="C25:C30">B25*8.55</f>
        <v>37779.543000000005</v>
      </c>
      <c r="D25" s="265">
        <v>326.094</v>
      </c>
      <c r="E25" s="207"/>
      <c r="F25" s="207"/>
      <c r="G25" s="207">
        <v>23245.05</v>
      </c>
      <c r="H25" s="207">
        <v>103.4</v>
      </c>
      <c r="I25" s="207"/>
      <c r="J25" s="207"/>
      <c r="K25" s="207"/>
      <c r="L25" s="207"/>
      <c r="M25" s="207">
        <v>11288.23</v>
      </c>
      <c r="N25" s="207">
        <v>50.2</v>
      </c>
      <c r="O25" s="207">
        <v>3932.72</v>
      </c>
      <c r="P25" s="207"/>
      <c r="Q25" s="207"/>
      <c r="R25" s="207"/>
      <c r="S25" s="212"/>
      <c r="T25" s="269"/>
      <c r="U25" s="262">
        <f aca="true" t="shared" si="22" ref="U25:V30">E25+G25+I25+K25+M25+O25+Q25+S25</f>
        <v>38466</v>
      </c>
      <c r="V25" s="263">
        <f t="shared" si="22"/>
        <v>153.60000000000002</v>
      </c>
      <c r="W25" s="207">
        <v>0</v>
      </c>
      <c r="X25" s="207">
        <v>19522.82</v>
      </c>
      <c r="Y25" s="207">
        <v>0</v>
      </c>
      <c r="Z25" s="207">
        <v>0</v>
      </c>
      <c r="AA25" s="207">
        <v>9480.35</v>
      </c>
      <c r="AB25" s="207">
        <v>3305.48</v>
      </c>
      <c r="AC25" s="207"/>
      <c r="AD25" s="207"/>
      <c r="AE25" s="212"/>
      <c r="AF25" s="213">
        <f aca="true" t="shared" si="23" ref="AF25:AF30">SUM(W25:AE25)</f>
        <v>32308.649999999998</v>
      </c>
      <c r="AG25" s="218">
        <f aca="true" t="shared" si="24" ref="AG25:AG36">D25+V25+AF25</f>
        <v>32788.344</v>
      </c>
      <c r="AH25" s="193">
        <f aca="true" t="shared" si="25" ref="AH25:AI36">AC25</f>
        <v>0</v>
      </c>
      <c r="AI25" s="193">
        <f t="shared" si="25"/>
        <v>0</v>
      </c>
      <c r="AJ25" s="201">
        <f>'[18]Т01'!$J$23+'[18]Т01'!$J$32+'[18]Т01'!$J$215</f>
        <v>1483.875</v>
      </c>
      <c r="AK25" s="148">
        <f aca="true" t="shared" si="26" ref="AK25:AK30">0.67*B25</f>
        <v>2960.5022</v>
      </c>
      <c r="AL25" s="148">
        <f aca="true" t="shared" si="27" ref="AL25:AL36">B25*0.2</f>
        <v>883.732</v>
      </c>
      <c r="AM25" s="148">
        <f aca="true" t="shared" si="28" ref="AM25:AM36">B25*1</f>
        <v>4418.66</v>
      </c>
      <c r="AN25" s="148">
        <f aca="true" t="shared" si="29" ref="AN25:AN36">B25*0.21</f>
        <v>927.9186</v>
      </c>
      <c r="AO25" s="148">
        <f aca="true" t="shared" si="30" ref="AO25:AO36">2.02*B25</f>
        <v>8925.6932</v>
      </c>
      <c r="AP25" s="148">
        <f aca="true" t="shared" si="31" ref="AP25:AP36">B25*1.03</f>
        <v>4551.2198</v>
      </c>
      <c r="AQ25" s="148">
        <f aca="true" t="shared" si="32" ref="AQ25:AQ36">B25*0.75</f>
        <v>3313.995</v>
      </c>
      <c r="AR25" s="148">
        <f aca="true" t="shared" si="33" ref="AR25:AR36">B25*0.75</f>
        <v>3313.995</v>
      </c>
      <c r="AS25" s="264">
        <f>B25*1.15</f>
        <v>5081.459</v>
      </c>
      <c r="AT25" s="202">
        <f aca="true" t="shared" si="34" ref="AT25:AT36">0.45*910</f>
        <v>409.5</v>
      </c>
      <c r="AU25" s="280">
        <v>261</v>
      </c>
      <c r="AV25" s="203"/>
      <c r="AW25" s="203"/>
      <c r="AX25" s="203">
        <f>79</f>
        <v>79</v>
      </c>
      <c r="AY25" s="203"/>
      <c r="AZ25" s="203"/>
      <c r="BA25" s="92"/>
      <c r="BB25" s="202"/>
      <c r="BC25" s="258">
        <f aca="true" t="shared" si="35" ref="BC25:BC36">SUM(AK25:BB25)</f>
        <v>35126.6748</v>
      </c>
      <c r="BD25" s="257">
        <f>'[18]Т01'!$S$23+'[18]Т01'!$S$32+'[18]Т01'!$S$215</f>
        <v>799.725</v>
      </c>
      <c r="BE25" s="258">
        <f>BD25+BC25</f>
        <v>35926.3998</v>
      </c>
      <c r="BF25" s="257">
        <f>AG25+AJ25-BE25</f>
        <v>-1654.180800000002</v>
      </c>
      <c r="BG25" s="257">
        <f>AF25-U25</f>
        <v>-6157.350000000002</v>
      </c>
    </row>
    <row r="26" spans="1:59" ht="12.75">
      <c r="A26" s="182" t="s">
        <v>44</v>
      </c>
      <c r="B26" s="185">
        <v>4418.66</v>
      </c>
      <c r="C26" s="109">
        <f t="shared" si="21"/>
        <v>37779.543000000005</v>
      </c>
      <c r="D26" s="265">
        <v>326.094</v>
      </c>
      <c r="E26" s="214"/>
      <c r="F26" s="214"/>
      <c r="G26" s="214">
        <v>23239.53</v>
      </c>
      <c r="H26" s="214">
        <v>103.4</v>
      </c>
      <c r="I26" s="214"/>
      <c r="J26" s="214"/>
      <c r="K26" s="214"/>
      <c r="L26" s="214"/>
      <c r="M26" s="214">
        <v>11285.52</v>
      </c>
      <c r="N26" s="214">
        <v>50.2</v>
      </c>
      <c r="O26" s="214">
        <v>3931.75</v>
      </c>
      <c r="P26" s="214"/>
      <c r="Q26" s="214"/>
      <c r="R26" s="214"/>
      <c r="S26" s="215"/>
      <c r="T26" s="269"/>
      <c r="U26" s="262">
        <f t="shared" si="22"/>
        <v>38456.8</v>
      </c>
      <c r="V26" s="263">
        <f t="shared" si="22"/>
        <v>153.60000000000002</v>
      </c>
      <c r="W26" s="214">
        <v>0</v>
      </c>
      <c r="X26" s="214">
        <v>21486.51</v>
      </c>
      <c r="Y26" s="214">
        <v>0</v>
      </c>
      <c r="Z26" s="214">
        <v>0</v>
      </c>
      <c r="AA26" s="214">
        <v>10434.58</v>
      </c>
      <c r="AB26" s="214">
        <v>3636.97</v>
      </c>
      <c r="AC26" s="214"/>
      <c r="AD26" s="214"/>
      <c r="AE26" s="215"/>
      <c r="AF26" s="213">
        <f t="shared" si="23"/>
        <v>35558.06</v>
      </c>
      <c r="AG26" s="218">
        <f t="shared" si="24"/>
        <v>36037.754</v>
      </c>
      <c r="AH26" s="193">
        <f t="shared" si="25"/>
        <v>0</v>
      </c>
      <c r="AI26" s="193">
        <f t="shared" si="25"/>
        <v>0</v>
      </c>
      <c r="AJ26" s="201">
        <f>'[18]Т01'!$J$23+'[18]Т01'!$J$32+'[18]Т01'!$J$215</f>
        <v>1483.875</v>
      </c>
      <c r="AK26" s="143">
        <f t="shared" si="26"/>
        <v>2960.5022</v>
      </c>
      <c r="AL26" s="148">
        <f t="shared" si="27"/>
        <v>883.732</v>
      </c>
      <c r="AM26" s="148">
        <f t="shared" si="28"/>
        <v>4418.66</v>
      </c>
      <c r="AN26" s="148">
        <f t="shared" si="29"/>
        <v>927.9186</v>
      </c>
      <c r="AO26" s="148">
        <f t="shared" si="30"/>
        <v>8925.6932</v>
      </c>
      <c r="AP26" s="148">
        <f t="shared" si="31"/>
        <v>4551.2198</v>
      </c>
      <c r="AQ26" s="148">
        <f t="shared" si="32"/>
        <v>3313.995</v>
      </c>
      <c r="AR26" s="148">
        <f t="shared" si="33"/>
        <v>3313.995</v>
      </c>
      <c r="AS26" s="264">
        <f>B26*1.15</f>
        <v>5081.459</v>
      </c>
      <c r="AT26" s="202">
        <f t="shared" si="34"/>
        <v>409.5</v>
      </c>
      <c r="AU26" s="280"/>
      <c r="AV26" s="203"/>
      <c r="AW26" s="203"/>
      <c r="AX26" s="203">
        <v>400</v>
      </c>
      <c r="AY26" s="203"/>
      <c r="AZ26" s="203"/>
      <c r="BA26" s="92"/>
      <c r="BB26" s="202"/>
      <c r="BC26" s="141">
        <f t="shared" si="35"/>
        <v>35186.6748</v>
      </c>
      <c r="BD26" s="257">
        <f>'[18]Т01'!$S$23+'[18]Т01'!$S$32+'[18]Т01'!$S$215</f>
        <v>799.725</v>
      </c>
      <c r="BE26" s="258">
        <f aca="true" t="shared" si="36" ref="BE26:BE36">BD26+BC26</f>
        <v>35986.3998</v>
      </c>
      <c r="BF26" s="257">
        <f aca="true" t="shared" si="37" ref="BF26:BF36">AG26+AJ26-BE26</f>
        <v>1535.2292000000016</v>
      </c>
      <c r="BG26" s="257">
        <f aca="true" t="shared" si="38" ref="BG26:BG36">AF26-U26</f>
        <v>-2898.7400000000052</v>
      </c>
    </row>
    <row r="27" spans="1:59" ht="12.75">
      <c r="A27" s="182" t="s">
        <v>45</v>
      </c>
      <c r="B27" s="185">
        <v>4418.66</v>
      </c>
      <c r="C27" s="109">
        <f t="shared" si="21"/>
        <v>37779.543000000005</v>
      </c>
      <c r="D27" s="265">
        <v>326.094</v>
      </c>
      <c r="E27" s="214"/>
      <c r="F27" s="214"/>
      <c r="G27" s="214">
        <v>23371.21</v>
      </c>
      <c r="H27" s="214">
        <v>103.4</v>
      </c>
      <c r="I27" s="214"/>
      <c r="J27" s="214"/>
      <c r="K27" s="214"/>
      <c r="L27" s="214"/>
      <c r="M27" s="214">
        <v>11350.2</v>
      </c>
      <c r="N27" s="214">
        <v>50.2</v>
      </c>
      <c r="O27" s="214">
        <v>3954.85</v>
      </c>
      <c r="P27" s="214"/>
      <c r="Q27" s="214"/>
      <c r="R27" s="214"/>
      <c r="S27" s="215"/>
      <c r="T27" s="269"/>
      <c r="U27" s="262">
        <f t="shared" si="22"/>
        <v>38676.26</v>
      </c>
      <c r="V27" s="263">
        <f t="shared" si="22"/>
        <v>153.60000000000002</v>
      </c>
      <c r="W27" s="207">
        <v>0</v>
      </c>
      <c r="X27" s="207">
        <v>20651.77</v>
      </c>
      <c r="Y27" s="207">
        <v>0</v>
      </c>
      <c r="Z27" s="207">
        <v>0</v>
      </c>
      <c r="AA27" s="207">
        <v>9555.79</v>
      </c>
      <c r="AB27" s="207">
        <v>3331.32</v>
      </c>
      <c r="AC27" s="207"/>
      <c r="AD27" s="207"/>
      <c r="AE27" s="212"/>
      <c r="AF27" s="213">
        <f t="shared" si="23"/>
        <v>33538.880000000005</v>
      </c>
      <c r="AG27" s="218">
        <f t="shared" si="24"/>
        <v>34018.57400000001</v>
      </c>
      <c r="AH27" s="193">
        <f t="shared" si="25"/>
        <v>0</v>
      </c>
      <c r="AI27" s="193">
        <f t="shared" si="25"/>
        <v>0</v>
      </c>
      <c r="AJ27" s="201">
        <f>'[18]Т01'!$J$23+'[18]Т01'!$J$32+'[18]Т01'!$J$215</f>
        <v>1483.875</v>
      </c>
      <c r="AK27" s="143">
        <f t="shared" si="26"/>
        <v>2960.5022</v>
      </c>
      <c r="AL27" s="148">
        <f t="shared" si="27"/>
        <v>883.732</v>
      </c>
      <c r="AM27" s="148">
        <f t="shared" si="28"/>
        <v>4418.66</v>
      </c>
      <c r="AN27" s="148">
        <f t="shared" si="29"/>
        <v>927.9186</v>
      </c>
      <c r="AO27" s="148">
        <f t="shared" si="30"/>
        <v>8925.6932</v>
      </c>
      <c r="AP27" s="148">
        <f t="shared" si="31"/>
        <v>4551.2198</v>
      </c>
      <c r="AQ27" s="148">
        <f t="shared" si="32"/>
        <v>3313.995</v>
      </c>
      <c r="AR27" s="148">
        <f t="shared" si="33"/>
        <v>3313.995</v>
      </c>
      <c r="AS27" s="264">
        <f>B27*1.15</f>
        <v>5081.459</v>
      </c>
      <c r="AT27" s="202">
        <f t="shared" si="34"/>
        <v>409.5</v>
      </c>
      <c r="AU27" s="280"/>
      <c r="AV27" s="203"/>
      <c r="AW27" s="203"/>
      <c r="AX27" s="203">
        <f>748.07</f>
        <v>748.07</v>
      </c>
      <c r="AY27" s="203"/>
      <c r="AZ27" s="203"/>
      <c r="BA27" s="92"/>
      <c r="BB27" s="202"/>
      <c r="BC27" s="258">
        <f t="shared" si="35"/>
        <v>35534.7448</v>
      </c>
      <c r="BD27" s="257">
        <f>'[18]Т01'!$S$23+'[18]Т01'!$S$32+'[18]Т01'!$S$215</f>
        <v>799.725</v>
      </c>
      <c r="BE27" s="258">
        <f t="shared" si="36"/>
        <v>36334.4698</v>
      </c>
      <c r="BF27" s="257">
        <f t="shared" si="37"/>
        <v>-832.0207999999911</v>
      </c>
      <c r="BG27" s="257">
        <f t="shared" si="38"/>
        <v>-5137.379999999997</v>
      </c>
    </row>
    <row r="28" spans="1:59" ht="12.75">
      <c r="A28" s="285" t="s">
        <v>46</v>
      </c>
      <c r="B28" s="185">
        <v>4418.66</v>
      </c>
      <c r="C28" s="109">
        <f t="shared" si="21"/>
        <v>37779.543000000005</v>
      </c>
      <c r="D28" s="265">
        <v>326.094</v>
      </c>
      <c r="E28" s="214"/>
      <c r="F28" s="214"/>
      <c r="G28" s="214">
        <v>23274</v>
      </c>
      <c r="H28" s="214">
        <v>103.4</v>
      </c>
      <c r="I28" s="214"/>
      <c r="J28" s="214"/>
      <c r="K28" s="214"/>
      <c r="L28" s="214"/>
      <c r="M28" s="214">
        <v>11302.44</v>
      </c>
      <c r="N28" s="214">
        <v>50.2</v>
      </c>
      <c r="O28" s="214">
        <v>3937.79</v>
      </c>
      <c r="P28" s="214"/>
      <c r="Q28" s="214"/>
      <c r="R28" s="214"/>
      <c r="S28" s="215"/>
      <c r="T28" s="269"/>
      <c r="U28" s="262">
        <f t="shared" si="22"/>
        <v>38514.23</v>
      </c>
      <c r="V28" s="263">
        <f t="shared" si="22"/>
        <v>153.60000000000002</v>
      </c>
      <c r="W28" s="267">
        <v>0</v>
      </c>
      <c r="X28" s="267">
        <v>21307.76</v>
      </c>
      <c r="Y28" s="267">
        <v>0</v>
      </c>
      <c r="Z28" s="267">
        <v>0</v>
      </c>
      <c r="AA28" s="267">
        <v>8527.85</v>
      </c>
      <c r="AB28" s="267">
        <v>2975.19</v>
      </c>
      <c r="AC28" s="267"/>
      <c r="AD28" s="267"/>
      <c r="AE28" s="268"/>
      <c r="AF28" s="213">
        <f t="shared" si="23"/>
        <v>32810.8</v>
      </c>
      <c r="AG28" s="218">
        <f t="shared" si="24"/>
        <v>33290.494000000006</v>
      </c>
      <c r="AH28" s="193">
        <f t="shared" si="25"/>
        <v>0</v>
      </c>
      <c r="AI28" s="193">
        <f t="shared" si="25"/>
        <v>0</v>
      </c>
      <c r="AJ28" s="201">
        <f>'[18]Т01'!$J$23+'[18]Т01'!$J$32+'[18]Т01'!$J$215</f>
        <v>1483.875</v>
      </c>
      <c r="AK28" s="143">
        <f t="shared" si="26"/>
        <v>2960.5022</v>
      </c>
      <c r="AL28" s="148">
        <f t="shared" si="27"/>
        <v>883.732</v>
      </c>
      <c r="AM28" s="148">
        <f t="shared" si="28"/>
        <v>4418.66</v>
      </c>
      <c r="AN28" s="148">
        <f t="shared" si="29"/>
        <v>927.9186</v>
      </c>
      <c r="AO28" s="148">
        <f t="shared" si="30"/>
        <v>8925.6932</v>
      </c>
      <c r="AP28" s="148">
        <f t="shared" si="31"/>
        <v>4551.2198</v>
      </c>
      <c r="AQ28" s="148">
        <f t="shared" si="32"/>
        <v>3313.995</v>
      </c>
      <c r="AR28" s="148">
        <f t="shared" si="33"/>
        <v>3313.995</v>
      </c>
      <c r="AS28" s="264"/>
      <c r="AT28" s="202">
        <f t="shared" si="34"/>
        <v>409.5</v>
      </c>
      <c r="AU28" s="280"/>
      <c r="AV28" s="203"/>
      <c r="AW28" s="203"/>
      <c r="AX28" s="203">
        <f>166.55</f>
        <v>166.55</v>
      </c>
      <c r="AY28" s="203"/>
      <c r="AZ28" s="203"/>
      <c r="BA28" s="92"/>
      <c r="BB28" s="202"/>
      <c r="BC28" s="258">
        <f t="shared" si="35"/>
        <v>29871.765799999997</v>
      </c>
      <c r="BD28" s="257">
        <f>'[18]Т01'!$S$23+'[18]Т01'!$S$32+'[18]Т01'!$S$215</f>
        <v>799.725</v>
      </c>
      <c r="BE28" s="258">
        <f t="shared" si="36"/>
        <v>30671.490799999996</v>
      </c>
      <c r="BF28" s="257">
        <f t="shared" si="37"/>
        <v>4102.87820000001</v>
      </c>
      <c r="BG28" s="257">
        <f t="shared" si="38"/>
        <v>-5703.43</v>
      </c>
    </row>
    <row r="29" spans="1:59" ht="12.75">
      <c r="A29" s="182" t="s">
        <v>47</v>
      </c>
      <c r="B29" s="185">
        <v>4418.66</v>
      </c>
      <c r="C29" s="109">
        <f t="shared" si="21"/>
        <v>37779.543000000005</v>
      </c>
      <c r="D29" s="484">
        <v>326.094</v>
      </c>
      <c r="E29" s="214"/>
      <c r="F29" s="214"/>
      <c r="G29" s="214">
        <v>23276.23</v>
      </c>
      <c r="H29" s="214">
        <v>103.4</v>
      </c>
      <c r="I29" s="214"/>
      <c r="J29" s="214"/>
      <c r="K29" s="214"/>
      <c r="L29" s="214"/>
      <c r="M29" s="214">
        <v>11303.54</v>
      </c>
      <c r="N29" s="214">
        <v>50.2</v>
      </c>
      <c r="O29" s="214">
        <v>3938.19</v>
      </c>
      <c r="P29" s="214"/>
      <c r="Q29" s="214"/>
      <c r="R29" s="214"/>
      <c r="S29" s="215"/>
      <c r="T29" s="269"/>
      <c r="U29" s="262">
        <f t="shared" si="22"/>
        <v>38517.96000000001</v>
      </c>
      <c r="V29" s="263">
        <f t="shared" si="22"/>
        <v>153.60000000000002</v>
      </c>
      <c r="W29" s="267">
        <v>0</v>
      </c>
      <c r="X29" s="267">
        <v>19552.18</v>
      </c>
      <c r="Y29" s="267">
        <v>0</v>
      </c>
      <c r="Z29" s="267">
        <v>0</v>
      </c>
      <c r="AA29" s="267">
        <v>9344.8</v>
      </c>
      <c r="AB29" s="267">
        <v>3258.38</v>
      </c>
      <c r="AC29" s="267"/>
      <c r="AD29" s="267"/>
      <c r="AE29" s="267"/>
      <c r="AF29" s="213">
        <f t="shared" si="23"/>
        <v>32155.36</v>
      </c>
      <c r="AG29" s="218">
        <f t="shared" si="24"/>
        <v>32635.054</v>
      </c>
      <c r="AH29" s="193">
        <f t="shared" si="25"/>
        <v>0</v>
      </c>
      <c r="AI29" s="193">
        <f t="shared" si="25"/>
        <v>0</v>
      </c>
      <c r="AJ29" s="201">
        <f>'[16]Т05'!$J$23+'[16]Т05'!$J$30+'[16]Т05'!$J$222</f>
        <v>1483.875</v>
      </c>
      <c r="AK29" s="143">
        <f t="shared" si="26"/>
        <v>2960.5022</v>
      </c>
      <c r="AL29" s="148">
        <f t="shared" si="27"/>
        <v>883.732</v>
      </c>
      <c r="AM29" s="148">
        <f t="shared" si="28"/>
        <v>4418.66</v>
      </c>
      <c r="AN29" s="148">
        <f t="shared" si="29"/>
        <v>927.9186</v>
      </c>
      <c r="AO29" s="148">
        <f t="shared" si="30"/>
        <v>8925.6932</v>
      </c>
      <c r="AP29" s="148">
        <f t="shared" si="31"/>
        <v>4551.2198</v>
      </c>
      <c r="AQ29" s="148">
        <f t="shared" si="32"/>
        <v>3313.995</v>
      </c>
      <c r="AR29" s="148">
        <f t="shared" si="33"/>
        <v>3313.995</v>
      </c>
      <c r="AS29" s="264"/>
      <c r="AT29" s="202">
        <f>0.45*910</f>
        <v>409.5</v>
      </c>
      <c r="AU29" s="280">
        <v>1154</v>
      </c>
      <c r="AV29" s="203"/>
      <c r="AW29" s="203"/>
      <c r="AX29" s="203">
        <f>100+646.67</f>
        <v>746.67</v>
      </c>
      <c r="AY29" s="203"/>
      <c r="AZ29" s="203"/>
      <c r="BA29" s="92"/>
      <c r="BB29" s="202"/>
      <c r="BC29" s="258">
        <f>SUM(AK29:BB29)</f>
        <v>31605.885799999996</v>
      </c>
      <c r="BD29" s="257">
        <f>'[16]Т05'!$S$23+'[16]Т05'!$S$30+'[16]Т05'!$S$222</f>
        <v>799.725</v>
      </c>
      <c r="BE29" s="258">
        <f t="shared" si="36"/>
        <v>32405.610799999995</v>
      </c>
      <c r="BF29" s="257">
        <f t="shared" si="37"/>
        <v>1713.3182000000088</v>
      </c>
      <c r="BG29" s="257">
        <f t="shared" si="38"/>
        <v>-6362.600000000006</v>
      </c>
    </row>
    <row r="30" spans="1:59" ht="12.75">
      <c r="A30" s="182" t="s">
        <v>48</v>
      </c>
      <c r="B30" s="185">
        <v>4418.66</v>
      </c>
      <c r="C30" s="109">
        <f t="shared" si="21"/>
        <v>37779.543000000005</v>
      </c>
      <c r="D30" s="297">
        <v>326.094</v>
      </c>
      <c r="E30" s="214"/>
      <c r="F30" s="214"/>
      <c r="G30" s="214">
        <v>22202.21</v>
      </c>
      <c r="H30" s="214">
        <v>103.4</v>
      </c>
      <c r="I30" s="214"/>
      <c r="J30" s="214"/>
      <c r="K30" s="214"/>
      <c r="L30" s="214"/>
      <c r="M30" s="214">
        <v>10781.59</v>
      </c>
      <c r="N30" s="214">
        <v>50.2</v>
      </c>
      <c r="O30" s="214">
        <v>3756.79</v>
      </c>
      <c r="P30" s="214"/>
      <c r="Q30" s="214"/>
      <c r="R30" s="214"/>
      <c r="S30" s="215"/>
      <c r="T30" s="269"/>
      <c r="U30" s="262">
        <f t="shared" si="22"/>
        <v>36740.590000000004</v>
      </c>
      <c r="V30" s="263">
        <f t="shared" si="22"/>
        <v>153.60000000000002</v>
      </c>
      <c r="W30" s="267"/>
      <c r="X30" s="298">
        <v>23450.13</v>
      </c>
      <c r="Y30" s="267"/>
      <c r="Z30" s="267"/>
      <c r="AA30" s="298">
        <v>9781.63</v>
      </c>
      <c r="AB30" s="298">
        <v>3410.02</v>
      </c>
      <c r="AC30" s="267"/>
      <c r="AD30" s="298"/>
      <c r="AE30" s="299"/>
      <c r="AF30" s="213">
        <f t="shared" si="23"/>
        <v>36641.78</v>
      </c>
      <c r="AG30" s="218">
        <f t="shared" si="24"/>
        <v>37121.474</v>
      </c>
      <c r="AH30" s="193">
        <f t="shared" si="25"/>
        <v>0</v>
      </c>
      <c r="AI30" s="193">
        <f t="shared" si="25"/>
        <v>0</v>
      </c>
      <c r="AJ30" s="201">
        <f>'[18]Т06'!$J$23+'[18]Т06'!$J$30+'[18]Т06'!$J$150+'[18]Т06'!$J$157+'[18]Т06'!$J$253</f>
        <v>2136.485</v>
      </c>
      <c r="AK30" s="143">
        <f t="shared" si="26"/>
        <v>2960.5022</v>
      </c>
      <c r="AL30" s="148">
        <f t="shared" si="27"/>
        <v>883.732</v>
      </c>
      <c r="AM30" s="148">
        <f t="shared" si="28"/>
        <v>4418.66</v>
      </c>
      <c r="AN30" s="148">
        <f t="shared" si="29"/>
        <v>927.9186</v>
      </c>
      <c r="AO30" s="148">
        <f t="shared" si="30"/>
        <v>8925.6932</v>
      </c>
      <c r="AP30" s="148">
        <f t="shared" si="31"/>
        <v>4551.2198</v>
      </c>
      <c r="AQ30" s="148">
        <f t="shared" si="32"/>
        <v>3313.995</v>
      </c>
      <c r="AR30" s="148">
        <f t="shared" si="33"/>
        <v>3313.995</v>
      </c>
      <c r="AS30" s="264"/>
      <c r="AT30" s="202">
        <f t="shared" si="34"/>
        <v>409.5</v>
      </c>
      <c r="AU30" s="280">
        <v>6078</v>
      </c>
      <c r="AV30" s="203"/>
      <c r="AW30" s="203">
        <v>395</v>
      </c>
      <c r="AX30" s="203">
        <f>563.5+34.2</f>
        <v>597.7</v>
      </c>
      <c r="AY30" s="203"/>
      <c r="AZ30" s="203"/>
      <c r="BA30" s="92"/>
      <c r="BB30" s="202"/>
      <c r="BC30" s="258">
        <f t="shared" si="35"/>
        <v>36775.915799999995</v>
      </c>
      <c r="BD30" s="257">
        <f>'[18]Т06'!$S$23+'[18]Т06'!$S$30+'[18]Т06'!$S$150+'[18]Т06'!$S$157+'[18]Т06'!$S$253</f>
        <v>1072.787</v>
      </c>
      <c r="BE30" s="258">
        <f t="shared" si="36"/>
        <v>37848.70279999999</v>
      </c>
      <c r="BF30" s="257">
        <f t="shared" si="37"/>
        <v>1409.2562000000107</v>
      </c>
      <c r="BG30" s="257">
        <f t="shared" si="38"/>
        <v>-98.81000000000495</v>
      </c>
    </row>
    <row r="31" spans="1:59" ht="12.75">
      <c r="A31" s="285" t="s">
        <v>49</v>
      </c>
      <c r="B31" s="140">
        <v>4385.46</v>
      </c>
      <c r="C31" s="109">
        <f aca="true" t="shared" si="39" ref="C31:C36">B31*9.51</f>
        <v>41705.7246</v>
      </c>
      <c r="D31" s="265">
        <v>436.3905</v>
      </c>
      <c r="E31" s="214"/>
      <c r="F31" s="214"/>
      <c r="G31" s="214">
        <v>42554.73</v>
      </c>
      <c r="H31" s="214">
        <v>114.43</v>
      </c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5"/>
      <c r="T31" s="269"/>
      <c r="U31" s="262">
        <f aca="true" t="shared" si="40" ref="U31:V36">G31+M31+O31+Q31+S31</f>
        <v>42554.73</v>
      </c>
      <c r="V31" s="300">
        <f t="shared" si="40"/>
        <v>114.43</v>
      </c>
      <c r="W31" s="267"/>
      <c r="X31" s="207">
        <v>19284.19</v>
      </c>
      <c r="Y31" s="267"/>
      <c r="Z31" s="267"/>
      <c r="AA31" s="207">
        <v>8724.53</v>
      </c>
      <c r="AB31" s="207">
        <v>3042.84</v>
      </c>
      <c r="AC31" s="267"/>
      <c r="AD31" s="207"/>
      <c r="AE31" s="212"/>
      <c r="AF31" s="213">
        <f aca="true" t="shared" si="41" ref="AF31:AF36">SUM(X31:AE31)</f>
        <v>31051.56</v>
      </c>
      <c r="AG31" s="218">
        <f t="shared" si="24"/>
        <v>31602.380500000003</v>
      </c>
      <c r="AH31" s="301">
        <v>0</v>
      </c>
      <c r="AI31" s="193">
        <f t="shared" si="25"/>
        <v>0</v>
      </c>
      <c r="AJ31" s="201">
        <f>'[18]Т07'!$J$23+'[18]Т07'!$J$30+'[18]Т07'!$J$152+'[18]Т07'!$J$159+'[18]Т07'!$J$255</f>
        <v>2136.485</v>
      </c>
      <c r="AK31" s="148">
        <f aca="true" t="shared" si="42" ref="AK31:AK36">0.75*B31</f>
        <v>3289.0950000000003</v>
      </c>
      <c r="AL31" s="148">
        <f t="shared" si="27"/>
        <v>877.0920000000001</v>
      </c>
      <c r="AM31" s="148">
        <f t="shared" si="28"/>
        <v>4385.46</v>
      </c>
      <c r="AN31" s="148">
        <f t="shared" si="29"/>
        <v>920.9466</v>
      </c>
      <c r="AO31" s="148">
        <f t="shared" si="30"/>
        <v>8858.6292</v>
      </c>
      <c r="AP31" s="148">
        <f t="shared" si="31"/>
        <v>4517.0238</v>
      </c>
      <c r="AQ31" s="148">
        <f t="shared" si="32"/>
        <v>3289.0950000000003</v>
      </c>
      <c r="AR31" s="148">
        <f t="shared" si="33"/>
        <v>3289.0950000000003</v>
      </c>
      <c r="AS31" s="264"/>
      <c r="AT31" s="202">
        <f t="shared" si="34"/>
        <v>409.5</v>
      </c>
      <c r="AU31" s="280">
        <v>43063</v>
      </c>
      <c r="AV31" s="203"/>
      <c r="AW31" s="203">
        <v>110</v>
      </c>
      <c r="AX31" s="203">
        <f>8495+74.97</f>
        <v>8569.97</v>
      </c>
      <c r="AY31" s="203"/>
      <c r="AZ31" s="203"/>
      <c r="BA31" s="92"/>
      <c r="BB31" s="202"/>
      <c r="BC31" s="258">
        <f t="shared" si="35"/>
        <v>81578.9066</v>
      </c>
      <c r="BD31" s="257">
        <f>'[18]Т07'!$S$23+'[18]Т07'!$S$30+'[18]Т07'!$S$152+'[18]Т07'!$S$159+'[18]Т07'!$S$255</f>
        <v>1295.8490000000002</v>
      </c>
      <c r="BE31" s="258">
        <f t="shared" si="36"/>
        <v>82874.7556</v>
      </c>
      <c r="BF31" s="257">
        <f t="shared" si="37"/>
        <v>-49135.890100000004</v>
      </c>
      <c r="BG31" s="257">
        <f t="shared" si="38"/>
        <v>-11503.170000000002</v>
      </c>
    </row>
    <row r="32" spans="1:59" ht="12.75">
      <c r="A32" s="182" t="s">
        <v>50</v>
      </c>
      <c r="B32" s="140">
        <v>4385.46</v>
      </c>
      <c r="C32" s="109">
        <f t="shared" si="39"/>
        <v>41705.7246</v>
      </c>
      <c r="D32" s="265"/>
      <c r="E32" s="214"/>
      <c r="F32" s="214"/>
      <c r="G32" s="214">
        <v>42451.4</v>
      </c>
      <c r="H32" s="214">
        <v>161.05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5"/>
      <c r="T32" s="269"/>
      <c r="U32" s="262">
        <f t="shared" si="40"/>
        <v>42451.4</v>
      </c>
      <c r="V32" s="300">
        <f t="shared" si="40"/>
        <v>161.05</v>
      </c>
      <c r="W32" s="267"/>
      <c r="X32" s="207">
        <v>36628.23</v>
      </c>
      <c r="Y32" s="267"/>
      <c r="Z32" s="267"/>
      <c r="AA32" s="207">
        <v>2446.78</v>
      </c>
      <c r="AB32" s="207">
        <v>849.26</v>
      </c>
      <c r="AC32" s="267"/>
      <c r="AD32" s="207"/>
      <c r="AE32" s="212"/>
      <c r="AF32" s="213">
        <f t="shared" si="41"/>
        <v>39924.270000000004</v>
      </c>
      <c r="AG32" s="218">
        <f t="shared" si="24"/>
        <v>40085.32000000001</v>
      </c>
      <c r="AH32" s="301">
        <v>0</v>
      </c>
      <c r="AI32" s="193">
        <f t="shared" si="25"/>
        <v>0</v>
      </c>
      <c r="AJ32" s="201">
        <f>'[18]Т08'!$J$23+'[18]Т08'!$J$30+'[18]Т08'!$J$152+'[18]Т08'!$J$159+'[18]Т08'!$J$255+'[18]Т08'!$J$287</f>
        <v>3936.485</v>
      </c>
      <c r="AK32" s="148">
        <f t="shared" si="42"/>
        <v>3289.0950000000003</v>
      </c>
      <c r="AL32" s="148">
        <f t="shared" si="27"/>
        <v>877.0920000000001</v>
      </c>
      <c r="AM32" s="148">
        <f t="shared" si="28"/>
        <v>4385.46</v>
      </c>
      <c r="AN32" s="148">
        <f t="shared" si="29"/>
        <v>920.9466</v>
      </c>
      <c r="AO32" s="148">
        <f t="shared" si="30"/>
        <v>8858.6292</v>
      </c>
      <c r="AP32" s="148">
        <f t="shared" si="31"/>
        <v>4517.0238</v>
      </c>
      <c r="AQ32" s="148">
        <f t="shared" si="32"/>
        <v>3289.0950000000003</v>
      </c>
      <c r="AR32" s="148">
        <f t="shared" si="33"/>
        <v>3289.0950000000003</v>
      </c>
      <c r="AS32" s="264"/>
      <c r="AT32" s="202">
        <f t="shared" si="34"/>
        <v>409.5</v>
      </c>
      <c r="AU32" s="280">
        <v>2096</v>
      </c>
      <c r="AV32" s="203"/>
      <c r="AW32" s="203"/>
      <c r="AX32" s="203">
        <f>148+35.68</f>
        <v>183.68</v>
      </c>
      <c r="AY32" s="203"/>
      <c r="AZ32" s="203"/>
      <c r="BA32" s="92"/>
      <c r="BB32" s="202"/>
      <c r="BC32" s="258">
        <f t="shared" si="35"/>
        <v>32115.6166</v>
      </c>
      <c r="BD32" s="257">
        <f>'[18]Т08'!$S$23+'[18]Т08'!$S$30+'[18]Т08'!$S$152+'[18]Т08'!$S$159+'[18]Т08'!$S$255+'[18]Т08'!$S$287</f>
        <v>1556.909</v>
      </c>
      <c r="BE32" s="258">
        <f t="shared" si="36"/>
        <v>33672.5256</v>
      </c>
      <c r="BF32" s="257">
        <f t="shared" si="37"/>
        <v>10349.279400000007</v>
      </c>
      <c r="BG32" s="257">
        <f t="shared" si="38"/>
        <v>-2527.1299999999974</v>
      </c>
    </row>
    <row r="33" spans="1:59" ht="12.75">
      <c r="A33" s="182" t="s">
        <v>51</v>
      </c>
      <c r="B33" s="185">
        <v>4385.46</v>
      </c>
      <c r="C33" s="109">
        <f t="shared" si="39"/>
        <v>41705.7246</v>
      </c>
      <c r="D33" s="265"/>
      <c r="E33" s="214"/>
      <c r="F33" s="214"/>
      <c r="G33" s="214">
        <v>42505.54</v>
      </c>
      <c r="H33" s="214">
        <v>99.86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5"/>
      <c r="T33" s="269"/>
      <c r="U33" s="262">
        <f t="shared" si="40"/>
        <v>42505.54</v>
      </c>
      <c r="V33" s="300">
        <f t="shared" si="40"/>
        <v>99.86</v>
      </c>
      <c r="W33" s="267"/>
      <c r="X33" s="207">
        <v>39035.66</v>
      </c>
      <c r="Y33" s="267"/>
      <c r="Z33" s="267"/>
      <c r="AA33" s="207">
        <v>821.01</v>
      </c>
      <c r="AB33" s="207">
        <v>284.67</v>
      </c>
      <c r="AC33" s="267"/>
      <c r="AD33" s="207"/>
      <c r="AE33" s="212"/>
      <c r="AF33" s="213">
        <f t="shared" si="41"/>
        <v>40141.340000000004</v>
      </c>
      <c r="AG33" s="218">
        <f t="shared" si="24"/>
        <v>40241.200000000004</v>
      </c>
      <c r="AH33" s="301">
        <v>0</v>
      </c>
      <c r="AI33" s="193">
        <f t="shared" si="25"/>
        <v>0</v>
      </c>
      <c r="AJ33" s="201">
        <f>'[18]Т09'!$J$23+'[18]Т09'!$J$30+'[18]Т09'!$J$151+'[18]Т09'!$J$162+'[18]Т09'!$J$255+'[18]Т09'!$J$287</f>
        <v>2736.485</v>
      </c>
      <c r="AK33" s="148">
        <f t="shared" si="42"/>
        <v>3289.0950000000003</v>
      </c>
      <c r="AL33" s="148">
        <f t="shared" si="27"/>
        <v>877.0920000000001</v>
      </c>
      <c r="AM33" s="148">
        <f t="shared" si="28"/>
        <v>4385.46</v>
      </c>
      <c r="AN33" s="148">
        <f t="shared" si="29"/>
        <v>920.9466</v>
      </c>
      <c r="AO33" s="148">
        <f t="shared" si="30"/>
        <v>8858.6292</v>
      </c>
      <c r="AP33" s="148">
        <f t="shared" si="31"/>
        <v>4517.0238</v>
      </c>
      <c r="AQ33" s="148">
        <f t="shared" si="32"/>
        <v>3289.0950000000003</v>
      </c>
      <c r="AR33" s="148">
        <f t="shared" si="33"/>
        <v>3289.0950000000003</v>
      </c>
      <c r="AS33" s="264"/>
      <c r="AT33" s="202">
        <f t="shared" si="34"/>
        <v>409.5</v>
      </c>
      <c r="AU33" s="280">
        <v>2016</v>
      </c>
      <c r="AV33" s="203"/>
      <c r="AW33" s="203">
        <v>509</v>
      </c>
      <c r="AX33" s="203">
        <f>738+1824.57</f>
        <v>2562.5699999999997</v>
      </c>
      <c r="AY33" s="203"/>
      <c r="AZ33" s="203"/>
      <c r="BA33" s="92"/>
      <c r="BB33" s="202"/>
      <c r="BC33" s="258">
        <f t="shared" si="35"/>
        <v>34923.5066</v>
      </c>
      <c r="BD33" s="257">
        <f>'[18]Т09'!$S$23+'[18]Т09'!$S$30+'[18]Т09'!$S$151+'[18]Т09'!$S$162+'[18]Т09'!$S$255+'[18]Т09'!$S$287</f>
        <v>1250.987</v>
      </c>
      <c r="BE33" s="258">
        <f t="shared" si="36"/>
        <v>36174.4936</v>
      </c>
      <c r="BF33" s="257">
        <f t="shared" si="37"/>
        <v>6803.191400000003</v>
      </c>
      <c r="BG33" s="257">
        <f t="shared" si="38"/>
        <v>-2364.199999999997</v>
      </c>
    </row>
    <row r="34" spans="1:59" ht="12.75">
      <c r="A34" s="285" t="s">
        <v>39</v>
      </c>
      <c r="B34" s="185">
        <v>4385.46</v>
      </c>
      <c r="C34" s="109">
        <f t="shared" si="39"/>
        <v>41705.7246</v>
      </c>
      <c r="D34" s="265"/>
      <c r="E34" s="214"/>
      <c r="F34" s="214"/>
      <c r="G34" s="214">
        <v>42536.78</v>
      </c>
      <c r="H34" s="214">
        <v>99.86</v>
      </c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5"/>
      <c r="T34" s="269"/>
      <c r="U34" s="262">
        <f t="shared" si="40"/>
        <v>42536.78</v>
      </c>
      <c r="V34" s="300">
        <f t="shared" si="40"/>
        <v>99.86</v>
      </c>
      <c r="W34" s="267"/>
      <c r="X34" s="207">
        <v>48912.03</v>
      </c>
      <c r="Y34" s="267"/>
      <c r="Z34" s="267"/>
      <c r="AA34" s="207">
        <v>1268.09</v>
      </c>
      <c r="AB34" s="207">
        <v>439.83</v>
      </c>
      <c r="AC34" s="267"/>
      <c r="AD34" s="207"/>
      <c r="AE34" s="212"/>
      <c r="AF34" s="213">
        <f t="shared" si="41"/>
        <v>50619.95</v>
      </c>
      <c r="AG34" s="218">
        <f t="shared" si="24"/>
        <v>50719.81</v>
      </c>
      <c r="AH34" s="301">
        <v>0</v>
      </c>
      <c r="AI34" s="193">
        <f t="shared" si="25"/>
        <v>0</v>
      </c>
      <c r="AJ34" s="201">
        <f>'[18]Т10'!$J$23+'[18]Т10'!$J$30+'[18]Т10'!$J$150+'[18]Т10'!$J$161+'[18]Т10'!$J$254+'[18]Т10'!$J$286</f>
        <v>2736.485</v>
      </c>
      <c r="AK34" s="148">
        <f t="shared" si="42"/>
        <v>3289.0950000000003</v>
      </c>
      <c r="AL34" s="148">
        <f t="shared" si="27"/>
        <v>877.0920000000001</v>
      </c>
      <c r="AM34" s="148">
        <f t="shared" si="28"/>
        <v>4385.46</v>
      </c>
      <c r="AN34" s="148">
        <f t="shared" si="29"/>
        <v>920.9466</v>
      </c>
      <c r="AO34" s="148">
        <f t="shared" si="30"/>
        <v>8858.6292</v>
      </c>
      <c r="AP34" s="148">
        <f t="shared" si="31"/>
        <v>4517.0238</v>
      </c>
      <c r="AQ34" s="148">
        <f t="shared" si="32"/>
        <v>3289.0950000000003</v>
      </c>
      <c r="AR34" s="148">
        <f t="shared" si="33"/>
        <v>3289.0950000000003</v>
      </c>
      <c r="AS34" s="264">
        <f>B34*1.15</f>
        <v>5043.2789999999995</v>
      </c>
      <c r="AT34" s="202">
        <f t="shared" si="34"/>
        <v>409.5</v>
      </c>
      <c r="AU34" s="302">
        <v>218</v>
      </c>
      <c r="AV34" s="203"/>
      <c r="AW34" s="203"/>
      <c r="AX34" s="203">
        <f>2894+70+68.4+333</f>
        <v>3365.4</v>
      </c>
      <c r="AY34" s="203"/>
      <c r="AZ34" s="203"/>
      <c r="BA34" s="92"/>
      <c r="BB34" s="202"/>
      <c r="BC34" s="258">
        <f t="shared" si="35"/>
        <v>38462.615600000005</v>
      </c>
      <c r="BD34" s="257">
        <f>'[18]Т10'!$S$23+'[18]Т10'!$S$30+'[18]Т10'!$S$150+'[18]Т10'!$S$161+'[18]Т10'!$S$254+'[18]Т10'!$S$286</f>
        <v>1250.987</v>
      </c>
      <c r="BE34" s="258">
        <f t="shared" si="36"/>
        <v>39713.602600000006</v>
      </c>
      <c r="BF34" s="257">
        <f t="shared" si="37"/>
        <v>13742.692399999993</v>
      </c>
      <c r="BG34" s="257">
        <f t="shared" si="38"/>
        <v>8083.169999999998</v>
      </c>
    </row>
    <row r="35" spans="1:59" ht="12.75">
      <c r="A35" s="182" t="s">
        <v>40</v>
      </c>
      <c r="B35" s="303">
        <v>4383.86</v>
      </c>
      <c r="C35" s="109">
        <f t="shared" si="39"/>
        <v>41690.508599999994</v>
      </c>
      <c r="D35" s="265"/>
      <c r="E35" s="214"/>
      <c r="F35" s="214"/>
      <c r="G35" s="207">
        <v>42372.59</v>
      </c>
      <c r="H35" s="207">
        <v>99.86</v>
      </c>
      <c r="I35" s="214"/>
      <c r="J35" s="214"/>
      <c r="K35" s="214"/>
      <c r="L35" s="214"/>
      <c r="M35" s="207"/>
      <c r="N35" s="207"/>
      <c r="O35" s="207"/>
      <c r="P35" s="207"/>
      <c r="Q35" s="207"/>
      <c r="R35" s="207"/>
      <c r="S35" s="212"/>
      <c r="T35" s="269"/>
      <c r="U35" s="262">
        <f t="shared" si="40"/>
        <v>42372.59</v>
      </c>
      <c r="V35" s="300">
        <f t="shared" si="40"/>
        <v>99.86</v>
      </c>
      <c r="W35" s="267"/>
      <c r="X35" s="207">
        <v>36888.22</v>
      </c>
      <c r="Y35" s="267"/>
      <c r="Z35" s="267"/>
      <c r="AA35" s="207">
        <v>272.24</v>
      </c>
      <c r="AB35" s="207">
        <v>94.45</v>
      </c>
      <c r="AC35" s="267"/>
      <c r="AD35" s="207"/>
      <c r="AE35" s="212"/>
      <c r="AF35" s="213">
        <f t="shared" si="41"/>
        <v>37254.909999999996</v>
      </c>
      <c r="AG35" s="218">
        <f t="shared" si="24"/>
        <v>37354.77</v>
      </c>
      <c r="AH35" s="301">
        <v>0</v>
      </c>
      <c r="AI35" s="193">
        <f t="shared" si="25"/>
        <v>0</v>
      </c>
      <c r="AJ35" s="201">
        <f>'[18]Т11'!$J$23+'[18]Т11'!$J$30+'[18]Т11'!$J$150+'[18]Т11'!$J$163+'[18]Т11'!$J$256+'[18]Т11'!$J$288</f>
        <v>2736.485</v>
      </c>
      <c r="AK35" s="148">
        <f t="shared" si="42"/>
        <v>3287.8949999999995</v>
      </c>
      <c r="AL35" s="148">
        <f t="shared" si="27"/>
        <v>876.7719999999999</v>
      </c>
      <c r="AM35" s="148">
        <f t="shared" si="28"/>
        <v>4383.86</v>
      </c>
      <c r="AN35" s="148">
        <f t="shared" si="29"/>
        <v>920.6105999999999</v>
      </c>
      <c r="AO35" s="148">
        <f t="shared" si="30"/>
        <v>8855.3972</v>
      </c>
      <c r="AP35" s="148">
        <f t="shared" si="31"/>
        <v>4515.3758</v>
      </c>
      <c r="AQ35" s="148">
        <f t="shared" si="32"/>
        <v>3287.8949999999995</v>
      </c>
      <c r="AR35" s="148">
        <f t="shared" si="33"/>
        <v>3287.8949999999995</v>
      </c>
      <c r="AS35" s="264">
        <f>B35*1.15</f>
        <v>5041.438999999999</v>
      </c>
      <c r="AT35" s="202">
        <f t="shared" si="34"/>
        <v>409.5</v>
      </c>
      <c r="AU35" s="280"/>
      <c r="AV35" s="203"/>
      <c r="AW35" s="203"/>
      <c r="AX35" s="203"/>
      <c r="AY35" s="203"/>
      <c r="AZ35" s="203"/>
      <c r="BA35" s="92"/>
      <c r="BB35" s="202"/>
      <c r="BC35" s="258">
        <f t="shared" si="35"/>
        <v>34866.639599999995</v>
      </c>
      <c r="BD35" s="257">
        <f>'[18]Т11'!$S$23+'[18]Т11'!$S$30+'[18]Т11'!$S$150+'[18]Т11'!$S$163+'[18]Т11'!$S$256+'[18]Т11'!$S$288</f>
        <v>1222.787</v>
      </c>
      <c r="BE35" s="258">
        <f t="shared" si="36"/>
        <v>36089.42659999999</v>
      </c>
      <c r="BF35" s="257">
        <f t="shared" si="37"/>
        <v>4001.828400000006</v>
      </c>
      <c r="BG35" s="257">
        <f t="shared" si="38"/>
        <v>-5117.68</v>
      </c>
    </row>
    <row r="36" spans="1:59" ht="13.5" thickBot="1">
      <c r="A36" s="182" t="s">
        <v>41</v>
      </c>
      <c r="B36" s="304">
        <v>4383.86</v>
      </c>
      <c r="C36" s="109">
        <f t="shared" si="39"/>
        <v>41690.508599999994</v>
      </c>
      <c r="D36" s="265"/>
      <c r="E36" s="207"/>
      <c r="F36" s="207"/>
      <c r="G36" s="207">
        <v>42475.52</v>
      </c>
      <c r="H36" s="207">
        <v>99.86</v>
      </c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12"/>
      <c r="T36" s="269"/>
      <c r="U36" s="262">
        <f t="shared" si="40"/>
        <v>42475.52</v>
      </c>
      <c r="V36" s="300">
        <f t="shared" si="40"/>
        <v>99.86</v>
      </c>
      <c r="W36" s="267"/>
      <c r="X36" s="207">
        <v>39075.99</v>
      </c>
      <c r="Y36" s="207"/>
      <c r="Z36" s="207"/>
      <c r="AA36" s="207">
        <v>534.2</v>
      </c>
      <c r="AB36" s="207">
        <v>185.36</v>
      </c>
      <c r="AC36" s="207"/>
      <c r="AD36" s="207"/>
      <c r="AE36" s="212"/>
      <c r="AF36" s="213">
        <f t="shared" si="41"/>
        <v>39795.549999999996</v>
      </c>
      <c r="AG36" s="218">
        <f t="shared" si="24"/>
        <v>39895.409999999996</v>
      </c>
      <c r="AH36" s="301">
        <v>0</v>
      </c>
      <c r="AI36" s="193">
        <f t="shared" si="25"/>
        <v>0</v>
      </c>
      <c r="AJ36" s="201">
        <f>'[18]Т12'!$J$23+'[18]Т12'!$J$30+'[18]Т12'!$J$150+'[18]Т12'!$J$166+'[18]Т12'!$J$259+'[18]Т12'!$J$291</f>
        <v>2736.485</v>
      </c>
      <c r="AK36" s="148">
        <f t="shared" si="42"/>
        <v>3287.8949999999995</v>
      </c>
      <c r="AL36" s="148">
        <f t="shared" si="27"/>
        <v>876.7719999999999</v>
      </c>
      <c r="AM36" s="148">
        <f t="shared" si="28"/>
        <v>4383.86</v>
      </c>
      <c r="AN36" s="148">
        <f t="shared" si="29"/>
        <v>920.6105999999999</v>
      </c>
      <c r="AO36" s="148">
        <f t="shared" si="30"/>
        <v>8855.3972</v>
      </c>
      <c r="AP36" s="148">
        <f t="shared" si="31"/>
        <v>4515.3758</v>
      </c>
      <c r="AQ36" s="148">
        <f t="shared" si="32"/>
        <v>3287.8949999999995</v>
      </c>
      <c r="AR36" s="148">
        <f t="shared" si="33"/>
        <v>3287.8949999999995</v>
      </c>
      <c r="AS36" s="264">
        <f>B36*1.15</f>
        <v>5041.438999999999</v>
      </c>
      <c r="AT36" s="202">
        <f t="shared" si="34"/>
        <v>409.5</v>
      </c>
      <c r="AU36" s="280">
        <v>223</v>
      </c>
      <c r="AV36" s="203">
        <v>348</v>
      </c>
      <c r="AW36" s="203"/>
      <c r="AX36" s="203">
        <f>37</f>
        <v>37</v>
      </c>
      <c r="AY36" s="203"/>
      <c r="AZ36" s="203"/>
      <c r="BA36" s="92"/>
      <c r="BB36" s="202"/>
      <c r="BC36" s="258">
        <f t="shared" si="35"/>
        <v>35474.639599999995</v>
      </c>
      <c r="BD36" s="257">
        <f>'[18]Т12'!$S$23+'[18]Т12'!$S$30+'[18]Т12'!$S$150+'[18]Т12'!$S$166+'[18]Т12'!$S$259+'[18]Т12'!$S$291</f>
        <v>1222.787</v>
      </c>
      <c r="BE36" s="258">
        <f t="shared" si="36"/>
        <v>36697.42659999999</v>
      </c>
      <c r="BF36" s="257">
        <f t="shared" si="37"/>
        <v>5934.468400000005</v>
      </c>
      <c r="BG36" s="257">
        <f t="shared" si="38"/>
        <v>-2679.970000000001</v>
      </c>
    </row>
    <row r="37" spans="1:59" s="308" customFormat="1" ht="13.5" thickBot="1">
      <c r="A37" s="305"/>
      <c r="B37" s="306"/>
      <c r="C37" s="307">
        <f aca="true" t="shared" si="43" ref="C37:BF37">SUM(C25:C36)</f>
        <v>476881.1736000001</v>
      </c>
      <c r="D37" s="307">
        <f t="shared" si="43"/>
        <v>2392.9545</v>
      </c>
      <c r="E37" s="307">
        <f t="shared" si="43"/>
        <v>0</v>
      </c>
      <c r="F37" s="307">
        <f t="shared" si="43"/>
        <v>0</v>
      </c>
      <c r="G37" s="307">
        <f t="shared" si="43"/>
        <v>393504.79000000004</v>
      </c>
      <c r="H37" s="307">
        <f t="shared" si="43"/>
        <v>1295.3199999999997</v>
      </c>
      <c r="I37" s="307">
        <f t="shared" si="43"/>
        <v>0</v>
      </c>
      <c r="J37" s="307">
        <f t="shared" si="43"/>
        <v>0</v>
      </c>
      <c r="K37" s="307">
        <f t="shared" si="43"/>
        <v>0</v>
      </c>
      <c r="L37" s="307">
        <f t="shared" si="43"/>
        <v>0</v>
      </c>
      <c r="M37" s="307">
        <f t="shared" si="43"/>
        <v>67311.52</v>
      </c>
      <c r="N37" s="307">
        <f t="shared" si="43"/>
        <v>301.2</v>
      </c>
      <c r="O37" s="307">
        <f t="shared" si="43"/>
        <v>23452.09</v>
      </c>
      <c r="P37" s="307">
        <f t="shared" si="43"/>
        <v>0</v>
      </c>
      <c r="Q37" s="307">
        <f t="shared" si="43"/>
        <v>0</v>
      </c>
      <c r="R37" s="307">
        <f t="shared" si="43"/>
        <v>0</v>
      </c>
      <c r="S37" s="307">
        <f t="shared" si="43"/>
        <v>0</v>
      </c>
      <c r="T37" s="307">
        <f t="shared" si="43"/>
        <v>0</v>
      </c>
      <c r="U37" s="307">
        <f t="shared" si="43"/>
        <v>484268.4</v>
      </c>
      <c r="V37" s="307">
        <f t="shared" si="43"/>
        <v>1596.5199999999998</v>
      </c>
      <c r="W37" s="307">
        <f t="shared" si="43"/>
        <v>0</v>
      </c>
      <c r="X37" s="307">
        <f t="shared" si="43"/>
        <v>345795.49</v>
      </c>
      <c r="Y37" s="307">
        <f t="shared" si="43"/>
        <v>0</v>
      </c>
      <c r="Z37" s="307">
        <f t="shared" si="43"/>
        <v>0</v>
      </c>
      <c r="AA37" s="307">
        <f t="shared" si="43"/>
        <v>71191.84999999999</v>
      </c>
      <c r="AB37" s="307">
        <f t="shared" si="43"/>
        <v>24813.77</v>
      </c>
      <c r="AC37" s="307">
        <f t="shared" si="43"/>
        <v>0</v>
      </c>
      <c r="AD37" s="307">
        <f t="shared" si="43"/>
        <v>0</v>
      </c>
      <c r="AE37" s="307">
        <f t="shared" si="43"/>
        <v>0</v>
      </c>
      <c r="AF37" s="307">
        <f t="shared" si="43"/>
        <v>441801.11</v>
      </c>
      <c r="AG37" s="307">
        <f t="shared" si="43"/>
        <v>445790.58450000006</v>
      </c>
      <c r="AH37" s="307">
        <f t="shared" si="43"/>
        <v>0</v>
      </c>
      <c r="AI37" s="307">
        <f t="shared" si="43"/>
        <v>0</v>
      </c>
      <c r="AJ37" s="307">
        <f t="shared" si="43"/>
        <v>26574.770000000004</v>
      </c>
      <c r="AK37" s="307">
        <f t="shared" si="43"/>
        <v>37495.1832</v>
      </c>
      <c r="AL37" s="307">
        <f t="shared" si="43"/>
        <v>10564.304000000004</v>
      </c>
      <c r="AM37" s="307">
        <f t="shared" si="43"/>
        <v>52821.52</v>
      </c>
      <c r="AN37" s="307">
        <f t="shared" si="43"/>
        <v>11092.519199999999</v>
      </c>
      <c r="AO37" s="307">
        <f t="shared" si="43"/>
        <v>106699.47039999999</v>
      </c>
      <c r="AP37" s="307">
        <f t="shared" si="43"/>
        <v>54406.16560000001</v>
      </c>
      <c r="AQ37" s="307">
        <f t="shared" si="43"/>
        <v>39616.13999999999</v>
      </c>
      <c r="AR37" s="307">
        <f t="shared" si="43"/>
        <v>39616.13999999999</v>
      </c>
      <c r="AS37" s="307">
        <f t="shared" si="43"/>
        <v>30370.533999999996</v>
      </c>
      <c r="AT37" s="307">
        <f t="shared" si="43"/>
        <v>4914</v>
      </c>
      <c r="AU37" s="307">
        <f t="shared" si="43"/>
        <v>55109</v>
      </c>
      <c r="AV37" s="307">
        <f t="shared" si="43"/>
        <v>348</v>
      </c>
      <c r="AW37" s="307">
        <f t="shared" si="43"/>
        <v>1014</v>
      </c>
      <c r="AX37" s="307">
        <f t="shared" si="43"/>
        <v>17456.61</v>
      </c>
      <c r="AY37" s="307">
        <f t="shared" si="43"/>
        <v>0</v>
      </c>
      <c r="AZ37" s="307">
        <f t="shared" si="43"/>
        <v>0</v>
      </c>
      <c r="BA37" s="307">
        <f t="shared" si="43"/>
        <v>0</v>
      </c>
      <c r="BB37" s="307">
        <f t="shared" si="43"/>
        <v>0</v>
      </c>
      <c r="BC37" s="307">
        <f t="shared" si="43"/>
        <v>461523.58640000003</v>
      </c>
      <c r="BD37" s="307">
        <f t="shared" si="43"/>
        <v>12871.718</v>
      </c>
      <c r="BE37" s="307">
        <f t="shared" si="43"/>
        <v>474395.30439999996</v>
      </c>
      <c r="BF37" s="307">
        <f t="shared" si="43"/>
        <v>-2029.949899999956</v>
      </c>
      <c r="BG37" s="307">
        <f>SUM(BG25:BG36)</f>
        <v>-42467.290000000015</v>
      </c>
    </row>
    <row r="38" spans="1:59" ht="13.5" thickBot="1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</row>
    <row r="39" spans="1:59" ht="13.5" thickBot="1">
      <c r="A39" s="287"/>
      <c r="B39" s="223"/>
      <c r="C39" s="288">
        <f>C37+C24</f>
        <v>2421186.8846000005</v>
      </c>
      <c r="D39" s="288">
        <f aca="true" t="shared" si="44" ref="D39:BG39">D37+D24</f>
        <v>127235.91375860001</v>
      </c>
      <c r="E39" s="288">
        <f t="shared" si="44"/>
        <v>89734.28</v>
      </c>
      <c r="F39" s="288">
        <f t="shared" si="44"/>
        <v>14632.029999999999</v>
      </c>
      <c r="G39" s="288">
        <f t="shared" si="44"/>
        <v>668804.77</v>
      </c>
      <c r="H39" s="288">
        <f t="shared" si="44"/>
        <v>2411.87</v>
      </c>
      <c r="I39" s="288">
        <f t="shared" si="44"/>
        <v>121406.78</v>
      </c>
      <c r="J39" s="288">
        <f t="shared" si="44"/>
        <v>19812.559999999998</v>
      </c>
      <c r="K39" s="288">
        <f t="shared" si="44"/>
        <v>202199.64999999997</v>
      </c>
      <c r="L39" s="288">
        <f t="shared" si="44"/>
        <v>32984.74</v>
      </c>
      <c r="M39" s="288">
        <f t="shared" si="44"/>
        <v>492587.73</v>
      </c>
      <c r="N39" s="288">
        <f t="shared" si="44"/>
        <v>48513.02</v>
      </c>
      <c r="O39" s="288">
        <f t="shared" si="44"/>
        <v>139119.19</v>
      </c>
      <c r="P39" s="288">
        <f t="shared" si="44"/>
        <v>9964.18</v>
      </c>
      <c r="Q39" s="288">
        <f t="shared" si="44"/>
        <v>0</v>
      </c>
      <c r="R39" s="288">
        <f t="shared" si="44"/>
        <v>0</v>
      </c>
      <c r="S39" s="288">
        <f t="shared" si="44"/>
        <v>0</v>
      </c>
      <c r="T39" s="288">
        <f t="shared" si="44"/>
        <v>0</v>
      </c>
      <c r="U39" s="288">
        <f t="shared" si="44"/>
        <v>1716568.7400000002</v>
      </c>
      <c r="V39" s="288">
        <f t="shared" si="44"/>
        <v>130061.99000000002</v>
      </c>
      <c r="W39" s="288">
        <f t="shared" si="44"/>
        <v>85607.70000000001</v>
      </c>
      <c r="X39" s="288">
        <f t="shared" si="44"/>
        <v>576487.9</v>
      </c>
      <c r="Y39" s="288">
        <f t="shared" si="44"/>
        <v>115390.43000000001</v>
      </c>
      <c r="Z39" s="288">
        <f t="shared" si="44"/>
        <v>191537.45</v>
      </c>
      <c r="AA39" s="288">
        <f t="shared" si="44"/>
        <v>459898.06999999995</v>
      </c>
      <c r="AB39" s="288">
        <f t="shared" si="44"/>
        <v>131889.56</v>
      </c>
      <c r="AC39" s="288">
        <f t="shared" si="44"/>
        <v>0</v>
      </c>
      <c r="AD39" s="288">
        <f t="shared" si="44"/>
        <v>0</v>
      </c>
      <c r="AE39" s="288">
        <f t="shared" si="44"/>
        <v>0</v>
      </c>
      <c r="AF39" s="288">
        <f t="shared" si="44"/>
        <v>1560811.1099999999</v>
      </c>
      <c r="AG39" s="288">
        <f t="shared" si="44"/>
        <v>1818109.0137586</v>
      </c>
      <c r="AH39" s="288">
        <f t="shared" si="44"/>
        <v>0</v>
      </c>
      <c r="AI39" s="288">
        <f t="shared" si="44"/>
        <v>0</v>
      </c>
      <c r="AJ39" s="288">
        <f t="shared" si="44"/>
        <v>63454.205612000005</v>
      </c>
      <c r="AK39" s="288">
        <f t="shared" si="44"/>
        <v>143560.0596</v>
      </c>
      <c r="AL39" s="288">
        <f t="shared" si="44"/>
        <v>44805.42357680001</v>
      </c>
      <c r="AM39" s="288">
        <f t="shared" si="44"/>
        <v>222938.11523183298</v>
      </c>
      <c r="AN39" s="288">
        <f t="shared" si="44"/>
        <v>22227.542400000002</v>
      </c>
      <c r="AO39" s="288">
        <f t="shared" si="44"/>
        <v>330604.149160835</v>
      </c>
      <c r="AP39" s="288">
        <f t="shared" si="44"/>
        <v>370298.8198235383</v>
      </c>
      <c r="AQ39" s="288">
        <f t="shared" si="44"/>
        <v>79384.07999999999</v>
      </c>
      <c r="AR39" s="288">
        <f t="shared" si="44"/>
        <v>79384.07999999999</v>
      </c>
      <c r="AS39" s="288">
        <f t="shared" si="44"/>
        <v>60859.28799999999</v>
      </c>
      <c r="AT39" s="288">
        <f t="shared" si="44"/>
        <v>14742</v>
      </c>
      <c r="AU39" s="288">
        <f t="shared" si="44"/>
        <v>285479.5</v>
      </c>
      <c r="AV39" s="288">
        <f t="shared" si="44"/>
        <v>4313</v>
      </c>
      <c r="AW39" s="288">
        <f t="shared" si="44"/>
        <v>133970.62680000003</v>
      </c>
      <c r="AX39" s="288">
        <f t="shared" si="44"/>
        <v>88009.33294000001</v>
      </c>
      <c r="AY39" s="288">
        <f t="shared" si="44"/>
        <v>24672.7936</v>
      </c>
      <c r="AZ39" s="288">
        <f t="shared" si="44"/>
        <v>0</v>
      </c>
      <c r="BA39" s="288">
        <f t="shared" si="44"/>
        <v>-13451.76</v>
      </c>
      <c r="BB39" s="288">
        <f t="shared" si="44"/>
        <v>0</v>
      </c>
      <c r="BC39" s="288">
        <f t="shared" si="44"/>
        <v>1891797.0511330063</v>
      </c>
      <c r="BD39" s="288">
        <f t="shared" si="44"/>
        <v>32576.840765089008</v>
      </c>
      <c r="BE39" s="288">
        <f t="shared" si="44"/>
        <v>1924373.8918980954</v>
      </c>
      <c r="BF39" s="288">
        <f t="shared" si="44"/>
        <v>-42810.672527495226</v>
      </c>
      <c r="BG39" s="224">
        <f t="shared" si="44"/>
        <v>-155757.63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7">
      <selection activeCell="F33" sqref="F33"/>
    </sheetView>
  </sheetViews>
  <sheetFormatPr defaultColWidth="9.00390625" defaultRowHeight="12.75"/>
  <cols>
    <col min="1" max="1" width="10.00390625" style="160" customWidth="1"/>
    <col min="2" max="2" width="8.375" style="160" customWidth="1"/>
    <col min="3" max="3" width="11.875" style="160" customWidth="1"/>
    <col min="4" max="4" width="10.75390625" style="160" customWidth="1"/>
    <col min="5" max="5" width="11.625" style="160" customWidth="1"/>
    <col min="6" max="6" width="9.875" style="160" customWidth="1"/>
    <col min="7" max="7" width="12.125" style="160" customWidth="1"/>
    <col min="8" max="8" width="11.375" style="160" customWidth="1"/>
    <col min="9" max="10" width="10.625" style="160" customWidth="1"/>
    <col min="11" max="11" width="9.375" style="160" customWidth="1"/>
    <col min="12" max="12" width="11.875" style="160" customWidth="1"/>
    <col min="13" max="13" width="10.125" style="160" customWidth="1"/>
    <col min="14" max="14" width="9.375" style="160" hidden="1" customWidth="1"/>
    <col min="15" max="15" width="11.625" style="160" hidden="1" customWidth="1"/>
    <col min="16" max="16" width="10.25390625" style="160" customWidth="1"/>
    <col min="17" max="17" width="12.625" style="160" customWidth="1"/>
    <col min="18" max="18" width="10.375" style="160" customWidth="1"/>
    <col min="19" max="19" width="10.75390625" style="160" customWidth="1"/>
    <col min="20" max="16384" width="9.125" style="160" customWidth="1"/>
  </cols>
  <sheetData>
    <row r="1" spans="2:9" ht="20.25" customHeight="1">
      <c r="B1" s="481" t="s">
        <v>52</v>
      </c>
      <c r="C1" s="481"/>
      <c r="D1" s="481"/>
      <c r="E1" s="481"/>
      <c r="F1" s="481"/>
      <c r="G1" s="481"/>
      <c r="H1" s="481"/>
      <c r="I1" s="31"/>
    </row>
    <row r="2" spans="2:12" ht="21" customHeight="1">
      <c r="B2" s="481" t="s">
        <v>53</v>
      </c>
      <c r="C2" s="481"/>
      <c r="D2" s="481"/>
      <c r="E2" s="481"/>
      <c r="F2" s="481"/>
      <c r="G2" s="481"/>
      <c r="H2" s="481"/>
      <c r="I2" s="31"/>
      <c r="K2" s="171"/>
      <c r="L2" s="171"/>
    </row>
    <row r="5" spans="1:16" ht="12.75">
      <c r="A5" s="373" t="s">
        <v>116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</row>
    <row r="6" spans="1:16" ht="12.75">
      <c r="A6" s="482" t="s">
        <v>125</v>
      </c>
      <c r="B6" s="482"/>
      <c r="C6" s="482"/>
      <c r="D6" s="482"/>
      <c r="E6" s="482"/>
      <c r="F6" s="482"/>
      <c r="G6" s="482"/>
      <c r="H6" s="230"/>
      <c r="I6" s="230"/>
      <c r="J6" s="230"/>
      <c r="K6" s="230"/>
      <c r="L6" s="230"/>
      <c r="M6" s="230"/>
      <c r="N6" s="230"/>
      <c r="O6" s="230"/>
      <c r="P6" s="230"/>
    </row>
    <row r="7" spans="1:17" ht="13.5" thickBot="1">
      <c r="A7" s="483" t="s">
        <v>54</v>
      </c>
      <c r="B7" s="483"/>
      <c r="C7" s="483"/>
      <c r="D7" s="483"/>
      <c r="E7" s="483">
        <v>9.51</v>
      </c>
      <c r="F7" s="483"/>
      <c r="J7" s="231"/>
      <c r="K7" s="231"/>
      <c r="L7" s="231"/>
      <c r="M7" s="231"/>
      <c r="N7" s="231"/>
      <c r="O7" s="231"/>
      <c r="P7" s="231"/>
      <c r="Q7" s="231"/>
    </row>
    <row r="8" spans="1:19" ht="12.75" customHeight="1">
      <c r="A8" s="335" t="s">
        <v>55</v>
      </c>
      <c r="B8" s="375" t="s">
        <v>1</v>
      </c>
      <c r="C8" s="378" t="s">
        <v>129</v>
      </c>
      <c r="D8" s="385" t="s">
        <v>128</v>
      </c>
      <c r="E8" s="381" t="s">
        <v>57</v>
      </c>
      <c r="F8" s="382"/>
      <c r="G8" s="388" t="s">
        <v>83</v>
      </c>
      <c r="H8" s="389"/>
      <c r="I8" s="467" t="s">
        <v>124</v>
      </c>
      <c r="J8" s="474" t="s">
        <v>8</v>
      </c>
      <c r="K8" s="475"/>
      <c r="L8" s="475"/>
      <c r="M8" s="475"/>
      <c r="N8" s="475"/>
      <c r="O8" s="475"/>
      <c r="P8" s="475"/>
      <c r="Q8" s="476"/>
      <c r="R8" s="467" t="s">
        <v>58</v>
      </c>
      <c r="S8" s="467" t="s">
        <v>10</v>
      </c>
    </row>
    <row r="9" spans="1:19" ht="12.75">
      <c r="A9" s="336"/>
      <c r="B9" s="376"/>
      <c r="C9" s="379"/>
      <c r="D9" s="386"/>
      <c r="E9" s="383"/>
      <c r="F9" s="384"/>
      <c r="G9" s="390"/>
      <c r="H9" s="391"/>
      <c r="I9" s="468"/>
      <c r="J9" s="477"/>
      <c r="K9" s="478"/>
      <c r="L9" s="478"/>
      <c r="M9" s="478"/>
      <c r="N9" s="478"/>
      <c r="O9" s="478"/>
      <c r="P9" s="478"/>
      <c r="Q9" s="479"/>
      <c r="R9" s="468"/>
      <c r="S9" s="468"/>
    </row>
    <row r="10" spans="1:19" ht="26.25" customHeight="1">
      <c r="A10" s="336"/>
      <c r="B10" s="376"/>
      <c r="C10" s="379"/>
      <c r="D10" s="386"/>
      <c r="E10" s="354" t="s">
        <v>59</v>
      </c>
      <c r="F10" s="355"/>
      <c r="G10" s="232" t="s">
        <v>117</v>
      </c>
      <c r="H10" s="368" t="s">
        <v>7</v>
      </c>
      <c r="I10" s="468"/>
      <c r="J10" s="357" t="s">
        <v>60</v>
      </c>
      <c r="K10" s="358" t="s">
        <v>118</v>
      </c>
      <c r="L10" s="358" t="s">
        <v>61</v>
      </c>
      <c r="M10" s="358" t="s">
        <v>35</v>
      </c>
      <c r="N10" s="358" t="s">
        <v>62</v>
      </c>
      <c r="O10" s="359" t="s">
        <v>36</v>
      </c>
      <c r="P10" s="359" t="s">
        <v>119</v>
      </c>
      <c r="Q10" s="369" t="s">
        <v>37</v>
      </c>
      <c r="R10" s="468"/>
      <c r="S10" s="468"/>
    </row>
    <row r="11" spans="1:19" ht="66.75" customHeight="1" thickBot="1">
      <c r="A11" s="374"/>
      <c r="B11" s="377"/>
      <c r="C11" s="380"/>
      <c r="D11" s="387"/>
      <c r="E11" s="35" t="s">
        <v>63</v>
      </c>
      <c r="F11" s="36" t="s">
        <v>19</v>
      </c>
      <c r="G11" s="158" t="s">
        <v>120</v>
      </c>
      <c r="H11" s="369"/>
      <c r="I11" s="469"/>
      <c r="J11" s="480"/>
      <c r="K11" s="359"/>
      <c r="L11" s="359"/>
      <c r="M11" s="359"/>
      <c r="N11" s="359"/>
      <c r="O11" s="470"/>
      <c r="P11" s="470"/>
      <c r="Q11" s="471"/>
      <c r="R11" s="469"/>
      <c r="S11" s="469"/>
    </row>
    <row r="12" spans="1:19" ht="13.5" thickBot="1">
      <c r="A12" s="37">
        <v>1</v>
      </c>
      <c r="B12" s="38">
        <v>2</v>
      </c>
      <c r="C12" s="37">
        <v>3</v>
      </c>
      <c r="D12" s="38">
        <v>4</v>
      </c>
      <c r="E12" s="37">
        <v>5</v>
      </c>
      <c r="F12" s="38">
        <v>6</v>
      </c>
      <c r="G12" s="37">
        <v>7</v>
      </c>
      <c r="H12" s="38">
        <v>8</v>
      </c>
      <c r="I12" s="37">
        <v>9</v>
      </c>
      <c r="J12" s="37">
        <v>9</v>
      </c>
      <c r="K12" s="38">
        <v>10</v>
      </c>
      <c r="L12" s="37">
        <v>11</v>
      </c>
      <c r="M12" s="38">
        <v>12</v>
      </c>
      <c r="N12" s="37">
        <v>13</v>
      </c>
      <c r="O12" s="38">
        <v>14</v>
      </c>
      <c r="P12" s="37">
        <v>13</v>
      </c>
      <c r="Q12" s="38">
        <v>14</v>
      </c>
      <c r="R12" s="37">
        <v>15</v>
      </c>
      <c r="S12" s="38">
        <v>16</v>
      </c>
    </row>
    <row r="13" spans="1:19" ht="13.5" thickBot="1">
      <c r="A13" s="472" t="s">
        <v>87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  <c r="N13" s="473"/>
      <c r="O13" s="473"/>
      <c r="P13" s="473"/>
      <c r="Q13" s="233"/>
      <c r="R13" s="234"/>
      <c r="S13" s="234"/>
    </row>
    <row r="14" spans="1:21" s="26" customFormat="1" ht="13.5" hidden="1" thickBot="1">
      <c r="A14" s="235" t="s">
        <v>114</v>
      </c>
      <c r="B14" s="236"/>
      <c r="C14" s="57">
        <f>Лист1!C42</f>
        <v>1490951.1950000003</v>
      </c>
      <c r="D14" s="57">
        <f>Лист1!D42</f>
        <v>119791.71525860002</v>
      </c>
      <c r="E14" s="57">
        <f>Лист1!S42</f>
        <v>776762.4400000001</v>
      </c>
      <c r="F14" s="57">
        <f>Лист1!T42</f>
        <v>126756.64000000001</v>
      </c>
      <c r="G14" s="57">
        <f>Лист1!AB42</f>
        <v>689222.39</v>
      </c>
      <c r="H14" s="57">
        <f>Лист1!AC42</f>
        <v>935770.7452586</v>
      </c>
      <c r="I14" s="57">
        <f>'[17]2011 полн'!AJ8</f>
        <v>22664.835612</v>
      </c>
      <c r="J14" s="57">
        <f>Лист1!AG42</f>
        <v>70538.85</v>
      </c>
      <c r="K14" s="57">
        <f>Лист1!AH42</f>
        <v>23636.3355768</v>
      </c>
      <c r="L14" s="57">
        <f>Лист1!AI42+Лист1!AJ42+Лист1!AK42+Лист1!AL42+Лист1!AM42+Лист1!AN42+Лист1!AO42+Лист1!AP42+Лист1!AQ42+Лист1!AR42+11221.03</f>
        <v>564487.1351562064</v>
      </c>
      <c r="M14" s="57">
        <f>Лист1!AS42+Лист1!AT42+Лист1!AU42</f>
        <v>273941.1268</v>
      </c>
      <c r="N14" s="57">
        <v>0</v>
      </c>
      <c r="O14" s="57"/>
      <c r="P14" s="57">
        <f>Лист1!BC42</f>
        <v>10108.422765089002</v>
      </c>
      <c r="Q14" s="57">
        <f>SUM(J14:P14)</f>
        <v>942711.8702980955</v>
      </c>
      <c r="R14" s="57">
        <f>Лист1!BD42</f>
        <v>2271.946972504691</v>
      </c>
      <c r="S14" s="57">
        <f>Лист1!BE42</f>
        <v>-87540.04999999999</v>
      </c>
      <c r="T14" s="237"/>
      <c r="U14" s="225"/>
    </row>
    <row r="15" spans="1:21" ht="12.75" hidden="1">
      <c r="A15" s="8" t="s">
        <v>115</v>
      </c>
      <c r="B15" s="238"/>
      <c r="C15" s="52"/>
      <c r="D15" s="53"/>
      <c r="E15" s="239"/>
      <c r="F15" s="240"/>
      <c r="G15" s="241"/>
      <c r="H15" s="240"/>
      <c r="I15" s="294"/>
      <c r="J15" s="241"/>
      <c r="K15" s="242"/>
      <c r="L15" s="242"/>
      <c r="M15" s="243"/>
      <c r="N15" s="117"/>
      <c r="O15" s="244"/>
      <c r="P15" s="244"/>
      <c r="Q15" s="245"/>
      <c r="R15" s="246"/>
      <c r="S15" s="246"/>
      <c r="T15" s="171"/>
      <c r="U15" s="171"/>
    </row>
    <row r="16" spans="1:21" ht="12.75" hidden="1">
      <c r="A16" s="184" t="s">
        <v>43</v>
      </c>
      <c r="B16" s="115">
        <f>'2012 полн'!B10</f>
        <v>4418.66</v>
      </c>
      <c r="C16" s="42">
        <f>'2012 полн'!C10</f>
        <v>37779.543000000005</v>
      </c>
      <c r="D16" s="42">
        <f>'2012 полн'!D10</f>
        <v>460.224</v>
      </c>
      <c r="E16" s="242">
        <f>'2012 полн'!U10</f>
        <v>38266.909999999996</v>
      </c>
      <c r="F16" s="242">
        <f>'2012 полн'!V10</f>
        <v>50.2</v>
      </c>
      <c r="G16" s="247">
        <f>'2012 полн'!AF10</f>
        <v>27097.929999999997</v>
      </c>
      <c r="H16" s="247">
        <f>'2012 полн'!AG10</f>
        <v>27608.353999999996</v>
      </c>
      <c r="I16" s="247">
        <f>'[17]2011 полн'!AJ10</f>
        <v>1184.5500000000002</v>
      </c>
      <c r="J16" s="247">
        <f>'2012 полн'!AK10</f>
        <v>2960.5022</v>
      </c>
      <c r="K16" s="242">
        <f>'2012 полн'!AL10</f>
        <v>883.732</v>
      </c>
      <c r="L16" s="242">
        <f>'2012 полн'!AM10+'2012 полн'!AN10+'2012 полн'!AO10+'2012 полн'!AP10+'2012 полн'!AQ10+'2012 полн'!AR10+'2012 полн'!AS10+'2012 полн'!AT10</f>
        <v>30942.440599999994</v>
      </c>
      <c r="M16" s="243">
        <f>'2012 полн'!AU10+'2012 полн'!AV10+'2012 полн'!AW10+'2012 полн'!AX10</f>
        <v>0</v>
      </c>
      <c r="N16" s="243">
        <f>'2012 полн'!BA10</f>
        <v>0</v>
      </c>
      <c r="O16" s="248"/>
      <c r="P16" s="248">
        <f>'2012 полн'!BD10</f>
        <v>799.725</v>
      </c>
      <c r="Q16" s="245">
        <f>SUM(J16:P16)</f>
        <v>35586.39979999999</v>
      </c>
      <c r="R16" s="246">
        <f>'2012 полн'!BF10</f>
        <v>-6793.495800000004</v>
      </c>
      <c r="S16" s="246">
        <f>'2012 полн'!BG10</f>
        <v>-11168.98</v>
      </c>
      <c r="T16" s="171"/>
      <c r="U16" s="171"/>
    </row>
    <row r="17" spans="1:21" ht="12.75" hidden="1">
      <c r="A17" s="184" t="s">
        <v>44</v>
      </c>
      <c r="B17" s="115">
        <f>'2012 полн'!B11</f>
        <v>4418.66</v>
      </c>
      <c r="C17" s="42">
        <f>'2012 полн'!C11</f>
        <v>37779.543000000005</v>
      </c>
      <c r="D17" s="42">
        <f>'2012 полн'!D11</f>
        <v>460.224</v>
      </c>
      <c r="E17" s="242">
        <f>'2012 полн'!U11</f>
        <v>37188.46000000001</v>
      </c>
      <c r="F17" s="242">
        <f>'2012 полн'!V11</f>
        <v>0</v>
      </c>
      <c r="G17" s="247">
        <f>'2012 полн'!AF11</f>
        <v>33796.78</v>
      </c>
      <c r="H17" s="247">
        <f>'2012 полн'!AG11</f>
        <v>34257.004</v>
      </c>
      <c r="I17" s="247">
        <f>'[17]2011 полн'!AJ11</f>
        <v>1184.5500000000002</v>
      </c>
      <c r="J17" s="247">
        <f>'2012 полн'!AK11</f>
        <v>2960.5022</v>
      </c>
      <c r="K17" s="242">
        <f>'2012 полн'!AL11</f>
        <v>883.732</v>
      </c>
      <c r="L17" s="242">
        <f>'2012 полн'!AM11+'2012 полн'!AN11+'2012 полн'!AO11+'2012 полн'!AP11+'2012 полн'!AQ11+'2012 полн'!AR11+'2012 полн'!AS11+'2012 полн'!AT11</f>
        <v>30942.440599999994</v>
      </c>
      <c r="M17" s="243">
        <f>'2012 полн'!AU11+'2012 полн'!AV11+'2012 полн'!AW11+'2012 полн'!AX11</f>
        <v>82102.56</v>
      </c>
      <c r="N17" s="243">
        <f>'2012 полн'!BA11</f>
        <v>0</v>
      </c>
      <c r="O17" s="248"/>
      <c r="P17" s="248">
        <f>'2012 полн'!BD11</f>
        <v>799.725</v>
      </c>
      <c r="Q17" s="245">
        <f aca="true" t="shared" si="0" ref="Q17:Q27">SUM(J17:P17)</f>
        <v>117688.9598</v>
      </c>
      <c r="R17" s="246">
        <f>'2012 полн'!BF11</f>
        <v>-82247.40580000001</v>
      </c>
      <c r="S17" s="246">
        <f>'2012 полн'!BG11</f>
        <v>-3391.6800000000076</v>
      </c>
      <c r="T17" s="171"/>
      <c r="U17" s="171"/>
    </row>
    <row r="18" spans="1:21" ht="12.75" hidden="1">
      <c r="A18" s="184" t="s">
        <v>45</v>
      </c>
      <c r="B18" s="115">
        <f>'2012 полн'!B12</f>
        <v>4418.66</v>
      </c>
      <c r="C18" s="42">
        <f>'2012 полн'!C12</f>
        <v>37779.543000000005</v>
      </c>
      <c r="D18" s="42">
        <f>'2012 полн'!D12</f>
        <v>417.486</v>
      </c>
      <c r="E18" s="242">
        <f>'2012 полн'!U12</f>
        <v>37727.83</v>
      </c>
      <c r="F18" s="242">
        <f>'2012 полн'!V12</f>
        <v>153.60000000000002</v>
      </c>
      <c r="G18" s="247">
        <f>'2012 полн'!AF12</f>
        <v>36534.35</v>
      </c>
      <c r="H18" s="247">
        <f>'2012 полн'!AG12</f>
        <v>37105.435999999994</v>
      </c>
      <c r="I18" s="247">
        <f>'[17]2011 полн'!AJ12</f>
        <v>1184.5500000000002</v>
      </c>
      <c r="J18" s="247">
        <f>'2012 полн'!AK12</f>
        <v>2960.5022</v>
      </c>
      <c r="K18" s="242">
        <f>'2012 полн'!AL12</f>
        <v>883.732</v>
      </c>
      <c r="L18" s="242">
        <f>'2012 полн'!AM12+'2012 полн'!AN12+'2012 полн'!AO12+'2012 полн'!AP12+'2012 полн'!AQ12+'2012 полн'!AR12+'2012 полн'!AS12+'2012 полн'!AT12</f>
        <v>30942.440599999994</v>
      </c>
      <c r="M18" s="243">
        <f>'2012 полн'!AU12+'2012 полн'!AV12+'2012 полн'!AW12+'2012 полн'!AX12</f>
        <v>5967.4</v>
      </c>
      <c r="N18" s="243">
        <f>'2012 полн'!BA12</f>
        <v>0</v>
      </c>
      <c r="O18" s="248"/>
      <c r="P18" s="248">
        <f>'2012 полн'!BD12</f>
        <v>799.725</v>
      </c>
      <c r="Q18" s="245">
        <f t="shared" si="0"/>
        <v>41553.79979999999</v>
      </c>
      <c r="R18" s="246">
        <f>'2012 полн'!BF12</f>
        <v>-3263.8138000000035</v>
      </c>
      <c r="S18" s="246">
        <f>'2012 полн'!BG12</f>
        <v>-1193.4800000000032</v>
      </c>
      <c r="T18" s="171"/>
      <c r="U18" s="171"/>
    </row>
    <row r="19" spans="1:21" ht="12.75" hidden="1">
      <c r="A19" s="184" t="s">
        <v>46</v>
      </c>
      <c r="B19" s="115">
        <f>'2012 полн'!B13</f>
        <v>4418.66</v>
      </c>
      <c r="C19" s="42">
        <f>'2012 полн'!C13</f>
        <v>37779.543000000005</v>
      </c>
      <c r="D19" s="42">
        <f>'2012 полн'!D13</f>
        <v>417.486</v>
      </c>
      <c r="E19" s="242">
        <f>'2012 полн'!U13</f>
        <v>37721.950000000004</v>
      </c>
      <c r="F19" s="242">
        <f>'2012 полн'!V13</f>
        <v>153.60000000000002</v>
      </c>
      <c r="G19" s="247">
        <f>'2012 полн'!AF13</f>
        <v>44526.350000000006</v>
      </c>
      <c r="H19" s="247">
        <f>'2012 полн'!AG13</f>
        <v>45097.436</v>
      </c>
      <c r="I19" s="247">
        <f>'[17]2011 полн'!AJ13</f>
        <v>1184.5500000000002</v>
      </c>
      <c r="J19" s="247">
        <f>'2012 полн'!AK13</f>
        <v>2960.5022</v>
      </c>
      <c r="K19" s="242">
        <f>'2012 полн'!AL13</f>
        <v>883.732</v>
      </c>
      <c r="L19" s="242">
        <f>'2012 полн'!AM13+'2012 полн'!AN13+'2012 полн'!AO13+'2012 полн'!AP13+'2012 полн'!AQ13+'2012 полн'!AR13+'2012 полн'!AS13+'2012 полн'!AT13</f>
        <v>25860.981599999996</v>
      </c>
      <c r="M19" s="243">
        <f>'2012 полн'!AU13+'2012 полн'!AV13+'2012 полн'!AW13+'2012 полн'!AX13</f>
        <v>2137.15</v>
      </c>
      <c r="N19" s="243">
        <f>'2012 полн'!BA13</f>
        <v>0</v>
      </c>
      <c r="O19" s="248"/>
      <c r="P19" s="248">
        <f>'2012 полн'!BD13</f>
        <v>799.725</v>
      </c>
      <c r="Q19" s="245">
        <f t="shared" si="0"/>
        <v>32642.090799999994</v>
      </c>
      <c r="R19" s="246">
        <f>'2012 полн'!BF13</f>
        <v>13639.895200000006</v>
      </c>
      <c r="S19" s="246">
        <f>'2012 полн'!BG13</f>
        <v>6804.4000000000015</v>
      </c>
      <c r="T19" s="171"/>
      <c r="U19" s="171"/>
    </row>
    <row r="20" spans="1:21" ht="12.75" hidden="1">
      <c r="A20" s="184" t="s">
        <v>47</v>
      </c>
      <c r="B20" s="115">
        <f>'2012 полн'!B14</f>
        <v>4418.66</v>
      </c>
      <c r="C20" s="42">
        <f>'2012 полн'!C14</f>
        <v>37779.543000000005</v>
      </c>
      <c r="D20" s="42">
        <f>'2012 полн'!D14</f>
        <v>417.486</v>
      </c>
      <c r="E20" s="242">
        <f>'2012 полн'!U14</f>
        <v>37717.36</v>
      </c>
      <c r="F20" s="242">
        <f>'2012 полн'!V14</f>
        <v>153.60000000000002</v>
      </c>
      <c r="G20" s="247">
        <f>'2012 полн'!AF14</f>
        <v>31270.13</v>
      </c>
      <c r="H20" s="247">
        <f>'2012 полн'!AG14</f>
        <v>31841.216</v>
      </c>
      <c r="I20" s="247">
        <f>'[17]2011 полн'!AJ14</f>
        <v>1184.5500000000002</v>
      </c>
      <c r="J20" s="247">
        <f>'2012 полн'!AK14</f>
        <v>2960.5022</v>
      </c>
      <c r="K20" s="242">
        <f>'2012 полн'!AL14</f>
        <v>883.732</v>
      </c>
      <c r="L20" s="242">
        <f>'2012 полн'!AM14+'2012 полн'!AN14+'2012 полн'!AO14+'2012 полн'!AP14+'2012 полн'!AQ14+'2012 полн'!AR14+'2012 полн'!AS14+'2012 полн'!AT14</f>
        <v>25860.981599999996</v>
      </c>
      <c r="M20" s="243">
        <f>'2012 полн'!AU14+'2012 полн'!AV14+'2012 полн'!AW14+'2012 полн'!AX14</f>
        <v>3519</v>
      </c>
      <c r="N20" s="243">
        <f>'2012 полн'!BA14</f>
        <v>0</v>
      </c>
      <c r="O20" s="248"/>
      <c r="P20" s="248">
        <f>'2012 полн'!BD14</f>
        <v>799.725</v>
      </c>
      <c r="Q20" s="245">
        <f t="shared" si="0"/>
        <v>34023.94079999999</v>
      </c>
      <c r="R20" s="246">
        <f>'2012 полн'!BF14</f>
        <v>-998.1747999999934</v>
      </c>
      <c r="S20" s="246">
        <f>'2012 полн'!BG14</f>
        <v>-6447.23</v>
      </c>
      <c r="T20" s="171"/>
      <c r="U20" s="171"/>
    </row>
    <row r="21" spans="1:21" ht="12.75" hidden="1">
      <c r="A21" s="184" t="s">
        <v>48</v>
      </c>
      <c r="B21" s="115">
        <f>'2012 полн'!B15</f>
        <v>4418.66</v>
      </c>
      <c r="C21" s="42">
        <f>'2012 полн'!C15</f>
        <v>37779.543000000005</v>
      </c>
      <c r="D21" s="42">
        <f>'2012 полн'!D15</f>
        <v>417.486</v>
      </c>
      <c r="E21" s="242">
        <f>'2012 полн'!U15</f>
        <v>37725.69</v>
      </c>
      <c r="F21" s="242">
        <f>'2012 полн'!V15</f>
        <v>153.60000000000002</v>
      </c>
      <c r="G21" s="247">
        <f>'2012 полн'!AF15</f>
        <v>33983.649999999994</v>
      </c>
      <c r="H21" s="247">
        <f>'2012 полн'!AG15</f>
        <v>34554.736</v>
      </c>
      <c r="I21" s="247">
        <f>'[17]2011 полн'!AJ15</f>
        <v>1184.5500000000002</v>
      </c>
      <c r="J21" s="247">
        <f>'2012 полн'!AK15</f>
        <v>2960.5022</v>
      </c>
      <c r="K21" s="242">
        <f>'2012 полн'!AL15</f>
        <v>883.732</v>
      </c>
      <c r="L21" s="242">
        <f>'2012 полн'!AM15+'2012 полн'!AN15+'2012 полн'!AO15+'2012 полн'!AP15+'2012 полн'!AQ15+'2012 полн'!AR15+'2012 полн'!AS15+'2012 полн'!AT15</f>
        <v>25860.981599999996</v>
      </c>
      <c r="M21" s="243">
        <f>'2012 полн'!AU15+'2012 полн'!AV15+'2012 полн'!AW15+'2012 полн'!AX15</f>
        <v>4170.5</v>
      </c>
      <c r="N21" s="243">
        <f>'2012 полн'!BA15</f>
        <v>0</v>
      </c>
      <c r="O21" s="248"/>
      <c r="P21" s="248">
        <f>'2012 полн'!BD15</f>
        <v>799.725</v>
      </c>
      <c r="Q21" s="245">
        <f t="shared" si="0"/>
        <v>34675.44079999999</v>
      </c>
      <c r="R21" s="246">
        <f>'2012 полн'!BF15</f>
        <v>1063.8452000000034</v>
      </c>
      <c r="S21" s="246">
        <f>'2012 полн'!BG15</f>
        <v>-3742.040000000008</v>
      </c>
      <c r="T21" s="171"/>
      <c r="U21" s="171"/>
    </row>
    <row r="22" spans="1:19" ht="12.75" hidden="1">
      <c r="A22" s="184" t="s">
        <v>49</v>
      </c>
      <c r="B22" s="115">
        <f>'2012 полн'!B16</f>
        <v>4418.66</v>
      </c>
      <c r="C22" s="42">
        <f>'2012 полн'!C16</f>
        <v>37779.543000000005</v>
      </c>
      <c r="D22" s="42">
        <f>'2012 полн'!D16</f>
        <v>417.486</v>
      </c>
      <c r="E22" s="242">
        <f>'2012 полн'!U16</f>
        <v>37729.130000000005</v>
      </c>
      <c r="F22" s="242">
        <f>'2012 полн'!V16</f>
        <v>153.60000000000002</v>
      </c>
      <c r="G22" s="247">
        <f>'2012 полн'!AF16</f>
        <v>32690.710000000006</v>
      </c>
      <c r="H22" s="247">
        <f>'2012 полн'!AG16</f>
        <v>33261.79600000001</v>
      </c>
      <c r="I22" s="247">
        <f>'[17]2011 полн'!AJ16</f>
        <v>1184.5500000000002</v>
      </c>
      <c r="J22" s="247">
        <f>'2012 полн'!AK16</f>
        <v>2960.5022</v>
      </c>
      <c r="K22" s="242">
        <f>'2012 полн'!AL16</f>
        <v>883.732</v>
      </c>
      <c r="L22" s="242">
        <f>'2012 полн'!AM16+'2012 полн'!AN16+'2012 полн'!AO16+'2012 полн'!AP16+'2012 полн'!AQ16+'2012 полн'!AR16+'2012 полн'!AS16+'2012 полн'!AT16</f>
        <v>25860.981599999996</v>
      </c>
      <c r="M22" s="243">
        <f>'2012 полн'!AU16+'2012 полн'!AV16+'2012 полн'!AW16+'2012 полн'!AX16</f>
        <v>1699.28</v>
      </c>
      <c r="N22" s="243">
        <v>0</v>
      </c>
      <c r="O22" s="248"/>
      <c r="P22" s="248">
        <f>'2012 полн'!BD16</f>
        <v>799.725</v>
      </c>
      <c r="Q22" s="245">
        <f t="shared" si="0"/>
        <v>32204.220799999992</v>
      </c>
      <c r="R22" s="246">
        <f>'2012 полн'!BF16</f>
        <v>15693.885200000019</v>
      </c>
      <c r="S22" s="246">
        <f>'2012 полн'!BG16</f>
        <v>-5038.419999999998</v>
      </c>
    </row>
    <row r="23" spans="1:19" ht="12.75" hidden="1">
      <c r="A23" s="184" t="s">
        <v>50</v>
      </c>
      <c r="B23" s="115">
        <f>'2012 полн'!B17</f>
        <v>4418.66</v>
      </c>
      <c r="C23" s="42">
        <f>'2012 полн'!C17</f>
        <v>37779.543000000005</v>
      </c>
      <c r="D23" s="42">
        <f>'2012 полн'!D17</f>
        <v>417.486</v>
      </c>
      <c r="E23" s="242">
        <f>'2012 полн'!U17</f>
        <v>37576.149999999994</v>
      </c>
      <c r="F23" s="242">
        <f>'2012 полн'!V17</f>
        <v>276.23</v>
      </c>
      <c r="G23" s="247">
        <f>'2012 полн'!AF17</f>
        <v>36025.060000000005</v>
      </c>
      <c r="H23" s="247">
        <f>'2012 полн'!AG17</f>
        <v>36718.776000000005</v>
      </c>
      <c r="I23" s="247">
        <f>'[17]2011 полн'!AJ17</f>
        <v>1184.5500000000002</v>
      </c>
      <c r="J23" s="247">
        <f>'2012 полн'!AK17</f>
        <v>2960.5022</v>
      </c>
      <c r="K23" s="242">
        <f>'2012 полн'!AL17</f>
        <v>883.732</v>
      </c>
      <c r="L23" s="242">
        <f>'2012 полн'!AM17+'2012 полн'!AN17+'2012 полн'!AO17+'2012 полн'!AP17+'2012 полн'!AQ17+'2012 полн'!AR17+'2012 полн'!AS17+'2012 полн'!AT17</f>
        <v>25860.981599999996</v>
      </c>
      <c r="M23" s="243">
        <f>'2012 полн'!AU17+'2012 полн'!AV17+'2012 полн'!AW17+'2012 полн'!AX17</f>
        <v>1705.95</v>
      </c>
      <c r="N23" s="243">
        <f>'2012 полн'!BA17</f>
        <v>0</v>
      </c>
      <c r="O23" s="248"/>
      <c r="P23" s="248">
        <f>'2012 полн'!BD17</f>
        <v>799.725</v>
      </c>
      <c r="Q23" s="245">
        <f t="shared" si="0"/>
        <v>32210.890799999994</v>
      </c>
      <c r="R23" s="246">
        <f>'2012 полн'!BF17</f>
        <v>5692.435200000011</v>
      </c>
      <c r="S23" s="246">
        <f>'2012 полн'!BG17</f>
        <v>-1551.0899999999892</v>
      </c>
    </row>
    <row r="24" spans="1:19" ht="12.75" hidden="1">
      <c r="A24" s="184" t="s">
        <v>51</v>
      </c>
      <c r="B24" s="115">
        <f>'2012 полн'!B18</f>
        <v>4418.66</v>
      </c>
      <c r="C24" s="42">
        <f>'2012 полн'!C18</f>
        <v>37779.543000000005</v>
      </c>
      <c r="D24" s="42">
        <f>'2012 полн'!D18</f>
        <v>417.486</v>
      </c>
      <c r="E24" s="242">
        <f>'2012 полн'!U18</f>
        <v>38604.99</v>
      </c>
      <c r="F24" s="242">
        <f>'2012 полн'!V18</f>
        <v>0</v>
      </c>
      <c r="G24" s="247">
        <f>'2012 полн'!AF18</f>
        <v>35668.32</v>
      </c>
      <c r="H24" s="247">
        <f>'2012 полн'!AG18</f>
        <v>36085.806</v>
      </c>
      <c r="I24" s="247">
        <f>'[17]2011 полн'!AJ18</f>
        <v>1184.5500000000002</v>
      </c>
      <c r="J24" s="247">
        <f>'2012 полн'!AK18</f>
        <v>2960.5022</v>
      </c>
      <c r="K24" s="242">
        <f>'2012 полн'!AL18</f>
        <v>883.732</v>
      </c>
      <c r="L24" s="242">
        <f>'2012 полн'!AM18+'2012 полн'!AN18+'2012 полн'!AO18+'2012 полн'!AP18+'2012 полн'!AQ18+'2012 полн'!AR18+'2012 полн'!AS18+'2012 полн'!AT18</f>
        <v>25860.981599999996</v>
      </c>
      <c r="M24" s="243">
        <f>'2012 полн'!AU18+'2012 полн'!AV18+'2012 полн'!AW18+'2012 полн'!AX18</f>
        <v>5145.52</v>
      </c>
      <c r="N24" s="243">
        <f>'2012 полн'!BA18</f>
        <v>0</v>
      </c>
      <c r="O24" s="248"/>
      <c r="P24" s="248">
        <f>'2012 полн'!BD18</f>
        <v>799.725</v>
      </c>
      <c r="Q24" s="245">
        <f t="shared" si="0"/>
        <v>35650.46079999999</v>
      </c>
      <c r="R24" s="246">
        <f>'2012 полн'!BF18</f>
        <v>1619.8952000000063</v>
      </c>
      <c r="S24" s="246">
        <f>'2012 полн'!BG18</f>
        <v>-2936.6699999999983</v>
      </c>
    </row>
    <row r="25" spans="1:19" ht="12.75" hidden="1">
      <c r="A25" s="184" t="s">
        <v>39</v>
      </c>
      <c r="B25" s="115">
        <f>'2012 полн'!B19</f>
        <v>4418.66</v>
      </c>
      <c r="C25" s="42">
        <f>'2012 полн'!C19</f>
        <v>37779.543000000005</v>
      </c>
      <c r="D25" s="42">
        <f>'2012 полн'!D19</f>
        <v>417.486</v>
      </c>
      <c r="E25" s="242">
        <f>'2012 полн'!U19</f>
        <v>38315.54</v>
      </c>
      <c r="F25" s="242">
        <f>'2012 полн'!V19</f>
        <v>307.20000000000005</v>
      </c>
      <c r="G25" s="247">
        <f>'2012 полн'!AF19</f>
        <v>33430.54</v>
      </c>
      <c r="H25" s="247">
        <f>'2012 полн'!AG19</f>
        <v>34155.226</v>
      </c>
      <c r="I25" s="247">
        <f>'[17]2011 полн'!AJ19</f>
        <v>1184.5500000000002</v>
      </c>
      <c r="J25" s="247">
        <f>'2012 полн'!AK19</f>
        <v>2960.5022</v>
      </c>
      <c r="K25" s="242">
        <f>'2012 полн'!AL19</f>
        <v>883.732</v>
      </c>
      <c r="L25" s="242">
        <f>'2012 полн'!AM19+'2012 полн'!AN19+'2012 полн'!AO19+'2012 полн'!AP19+'2012 полн'!AQ19+'2012 полн'!AR19+'2012 полн'!AS19+'2012 полн'!AT19</f>
        <v>30942.440599999994</v>
      </c>
      <c r="M25" s="243">
        <f>'2012 полн'!AU19+'2012 полн'!AV19+'2012 полн'!AW19+'2012 полн'!AX19</f>
        <v>4209.85</v>
      </c>
      <c r="N25" s="243">
        <f>'2012 полн'!BA19</f>
        <v>0</v>
      </c>
      <c r="O25" s="248"/>
      <c r="P25" s="248">
        <f>'2012 полн'!BD19</f>
        <v>799.725</v>
      </c>
      <c r="Q25" s="245">
        <f t="shared" si="0"/>
        <v>39796.24979999999</v>
      </c>
      <c r="R25" s="246">
        <f>'2012 полн'!BF19</f>
        <v>-4456.4737999999925</v>
      </c>
      <c r="S25" s="246">
        <f>'2012 полн'!BG19</f>
        <v>-4885</v>
      </c>
    </row>
    <row r="26" spans="1:19" ht="12.75" hidden="1">
      <c r="A26" s="184" t="s">
        <v>40</v>
      </c>
      <c r="B26" s="115">
        <f>'2012 полн'!B20</f>
        <v>4418.66</v>
      </c>
      <c r="C26" s="42">
        <f>'2012 полн'!C20</f>
        <v>37779.543000000005</v>
      </c>
      <c r="D26" s="42">
        <f>'2012 полн'!D20</f>
        <v>417.486</v>
      </c>
      <c r="E26" s="242">
        <f>'2012 полн'!U20</f>
        <v>38480.27</v>
      </c>
      <c r="F26" s="242">
        <f>'2012 полн'!V20</f>
        <v>153.60000000000002</v>
      </c>
      <c r="G26" s="247">
        <f>'2012 полн'!AF20</f>
        <v>42101</v>
      </c>
      <c r="H26" s="247">
        <f>'2012 полн'!AG20</f>
        <v>42672.086</v>
      </c>
      <c r="I26" s="247">
        <f>'[17]2011 полн'!AJ20</f>
        <v>1184.5500000000002</v>
      </c>
      <c r="J26" s="247">
        <f>'2012 полн'!AK20</f>
        <v>2960.5022</v>
      </c>
      <c r="K26" s="242">
        <f>'2012 полн'!AL20</f>
        <v>883.732</v>
      </c>
      <c r="L26" s="242">
        <f>'2012 полн'!AM20+'2012 полн'!AN20+'2012 полн'!AO20+'2012 полн'!AP20+'2012 полн'!AQ20+'2012 полн'!AR20+'2012 полн'!AS20+'2012 полн'!AT20</f>
        <v>30942.440599999994</v>
      </c>
      <c r="M26" s="243">
        <f>'2012 полн'!AU20+'2012 полн'!AV20+'2012 полн'!AW20+'2012 полн'!AX20</f>
        <v>61.46</v>
      </c>
      <c r="N26" s="243">
        <f>'2012 полн'!BA20</f>
        <v>0</v>
      </c>
      <c r="O26" s="248"/>
      <c r="P26" s="248">
        <f>'2012 полн'!BD20</f>
        <v>799.725</v>
      </c>
      <c r="Q26" s="245">
        <f t="shared" si="0"/>
        <v>35647.85979999999</v>
      </c>
      <c r="R26" s="246">
        <f>'2012 полн'!BF20</f>
        <v>8208.776200000008</v>
      </c>
      <c r="S26" s="246">
        <f>'2012 полн'!BG20</f>
        <v>3620.730000000003</v>
      </c>
    </row>
    <row r="27" spans="1:19" ht="13.5" hidden="1" thickBot="1">
      <c r="A27" s="271" t="s">
        <v>41</v>
      </c>
      <c r="B27" s="272">
        <f>'2012 полн'!B21</f>
        <v>4418.66</v>
      </c>
      <c r="C27" s="273">
        <f>'2012 полн'!C21</f>
        <v>37779.543000000005</v>
      </c>
      <c r="D27" s="42">
        <f>'2012 полн'!D21</f>
        <v>373.422</v>
      </c>
      <c r="E27" s="274">
        <f>'2012 полн'!U21</f>
        <v>38483.62</v>
      </c>
      <c r="F27" s="274">
        <f>'2012 полн'!V21</f>
        <v>153.60000000000002</v>
      </c>
      <c r="G27" s="275">
        <f>'2012 полн'!AF21</f>
        <v>42662.79</v>
      </c>
      <c r="H27" s="275">
        <f>'2012 полн'!AG21</f>
        <v>43189.812</v>
      </c>
      <c r="I27" s="247">
        <f>'[17]2011 полн'!AJ21</f>
        <v>1184.5500000000002</v>
      </c>
      <c r="J27" s="275">
        <f>'2012 полн'!AK21</f>
        <v>2960.5022</v>
      </c>
      <c r="K27" s="274">
        <f>'2012 полн'!AL21</f>
        <v>883.732</v>
      </c>
      <c r="L27" s="242">
        <f>'2012 полн'!AM21+'2012 полн'!AN21+'2012 полн'!AO21+'2012 полн'!AP21+'2012 полн'!AQ21+'2012 полн'!AR21+'2012 полн'!AS21+'2012 полн'!AT21</f>
        <v>30942.440599999994</v>
      </c>
      <c r="M27" s="243">
        <f>'2012 полн'!AU21+'2012 полн'!AV21+'2012 полн'!AW21+'2012 полн'!AX21</f>
        <v>0</v>
      </c>
      <c r="N27" s="276">
        <f>'2012 полн'!BA21</f>
        <v>0</v>
      </c>
      <c r="O27" s="277"/>
      <c r="P27" s="277">
        <f>'2012 полн'!BD21</f>
        <v>799.725</v>
      </c>
      <c r="Q27" s="278">
        <f t="shared" si="0"/>
        <v>35586.39979999999</v>
      </c>
      <c r="R27" s="279">
        <f>'2012 полн'!BF21</f>
        <v>8787.962200000002</v>
      </c>
      <c r="S27" s="279">
        <f>'2012 полн'!BG21</f>
        <v>4179.169999999998</v>
      </c>
    </row>
    <row r="28" spans="1:21" s="26" customFormat="1" ht="13.5" hidden="1" thickBot="1">
      <c r="A28" s="47" t="s">
        <v>5</v>
      </c>
      <c r="B28" s="48"/>
      <c r="C28" s="51">
        <f aca="true" t="shared" si="1" ref="C28:R28">SUM(C16:C27)</f>
        <v>453354.51600000006</v>
      </c>
      <c r="D28" s="51">
        <f t="shared" si="1"/>
        <v>5051.243999999999</v>
      </c>
      <c r="E28" s="51">
        <f t="shared" si="1"/>
        <v>455537.89999999997</v>
      </c>
      <c r="F28" s="51">
        <f t="shared" si="1"/>
        <v>1708.8300000000004</v>
      </c>
      <c r="G28" s="51">
        <f t="shared" si="1"/>
        <v>429787.61</v>
      </c>
      <c r="H28" s="51">
        <f t="shared" si="1"/>
        <v>436547.684</v>
      </c>
      <c r="I28" s="289">
        <f t="shared" si="1"/>
        <v>14214.599999999999</v>
      </c>
      <c r="J28" s="51">
        <f t="shared" si="1"/>
        <v>35526.026399999995</v>
      </c>
      <c r="K28" s="51">
        <f t="shared" si="1"/>
        <v>10604.784</v>
      </c>
      <c r="L28" s="51">
        <f t="shared" si="1"/>
        <v>340820.5331999999</v>
      </c>
      <c r="M28" s="51">
        <f t="shared" si="1"/>
        <v>110718.67</v>
      </c>
      <c r="N28" s="51">
        <f t="shared" si="1"/>
        <v>0</v>
      </c>
      <c r="O28" s="51">
        <f t="shared" si="1"/>
        <v>0</v>
      </c>
      <c r="P28" s="51">
        <f t="shared" si="1"/>
        <v>9596.700000000003</v>
      </c>
      <c r="Q28" s="51">
        <f t="shared" si="1"/>
        <v>507266.71359999996</v>
      </c>
      <c r="R28" s="51">
        <f t="shared" si="1"/>
        <v>-43052.669599999965</v>
      </c>
      <c r="S28" s="51">
        <f>SUM(S16:S27)</f>
        <v>-25750.29</v>
      </c>
      <c r="T28" s="225"/>
      <c r="U28" s="225"/>
    </row>
    <row r="29" spans="1:19" ht="13.5" hidden="1" thickBot="1">
      <c r="A29" s="472" t="s">
        <v>88</v>
      </c>
      <c r="B29" s="473"/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233"/>
      <c r="R29" s="234"/>
      <c r="S29" s="234"/>
    </row>
    <row r="30" spans="1:21" s="26" customFormat="1" ht="13.5" thickBot="1">
      <c r="A30" s="235" t="s">
        <v>114</v>
      </c>
      <c r="B30" s="236"/>
      <c r="C30" s="57">
        <f aca="true" t="shared" si="2" ref="C30:S30">C28+C14</f>
        <v>1944305.7110000004</v>
      </c>
      <c r="D30" s="57">
        <f t="shared" si="2"/>
        <v>124842.95925860002</v>
      </c>
      <c r="E30" s="57">
        <f t="shared" si="2"/>
        <v>1232300.34</v>
      </c>
      <c r="F30" s="57">
        <f t="shared" si="2"/>
        <v>128465.47000000002</v>
      </c>
      <c r="G30" s="57">
        <f>G28+G14</f>
        <v>1119010</v>
      </c>
      <c r="H30" s="57">
        <f t="shared" si="2"/>
        <v>1372318.4292585999</v>
      </c>
      <c r="I30" s="57">
        <f t="shared" si="2"/>
        <v>36879.435612</v>
      </c>
      <c r="J30" s="57">
        <f t="shared" si="2"/>
        <v>106064.87640000001</v>
      </c>
      <c r="K30" s="57">
        <f t="shared" si="2"/>
        <v>34241.1195768</v>
      </c>
      <c r="L30" s="57">
        <f t="shared" si="2"/>
        <v>905307.6683562063</v>
      </c>
      <c r="M30" s="57">
        <f t="shared" si="2"/>
        <v>384659.7968</v>
      </c>
      <c r="N30" s="57">
        <f t="shared" si="2"/>
        <v>0</v>
      </c>
      <c r="O30" s="57">
        <f t="shared" si="2"/>
        <v>0</v>
      </c>
      <c r="P30" s="57">
        <f t="shared" si="2"/>
        <v>19705.122765089007</v>
      </c>
      <c r="Q30" s="57">
        <f t="shared" si="2"/>
        <v>1449978.5838980954</v>
      </c>
      <c r="R30" s="57">
        <f t="shared" si="2"/>
        <v>-40780.72262749527</v>
      </c>
      <c r="S30" s="57">
        <f t="shared" si="2"/>
        <v>-113290.34</v>
      </c>
      <c r="T30" s="237"/>
      <c r="U30" s="225"/>
    </row>
    <row r="31" spans="1:21" s="26" customFormat="1" ht="12.75">
      <c r="A31" s="256" t="s">
        <v>123</v>
      </c>
      <c r="B31" s="465"/>
      <c r="C31" s="466"/>
      <c r="D31" s="466"/>
      <c r="E31" s="466"/>
      <c r="F31" s="291"/>
      <c r="G31" s="291"/>
      <c r="H31" s="291"/>
      <c r="I31" s="160"/>
      <c r="J31" s="291"/>
      <c r="K31" s="291"/>
      <c r="L31" s="291"/>
      <c r="M31" s="291"/>
      <c r="N31" s="291"/>
      <c r="O31" s="291"/>
      <c r="P31" s="291"/>
      <c r="Q31" s="291"/>
      <c r="R31" s="291"/>
      <c r="S31" s="292"/>
      <c r="T31" s="237"/>
      <c r="U31" s="225"/>
    </row>
    <row r="32" spans="1:21" s="26" customFormat="1" ht="12.75">
      <c r="A32" s="184" t="s">
        <v>43</v>
      </c>
      <c r="B32" s="290">
        <f>'2012 полн'!B25</f>
        <v>4418.66</v>
      </c>
      <c r="C32" s="290">
        <f>'2012 полн'!C25</f>
        <v>37779.543000000005</v>
      </c>
      <c r="D32" s="290">
        <f>'2012 полн'!D25</f>
        <v>326.094</v>
      </c>
      <c r="E32" s="290">
        <f>'2012 полн'!U25</f>
        <v>38466</v>
      </c>
      <c r="F32" s="290">
        <f>'2012 полн'!V25</f>
        <v>153.60000000000002</v>
      </c>
      <c r="G32" s="290">
        <f>'2012 полн'!AF25</f>
        <v>32308.649999999998</v>
      </c>
      <c r="H32" s="290">
        <f>'2012 полн'!AG25</f>
        <v>32788.344</v>
      </c>
      <c r="I32" s="295">
        <f>'2012 полн'!AJ25</f>
        <v>1483.875</v>
      </c>
      <c r="J32" s="290">
        <f>'2012 полн'!AK25</f>
        <v>2960.5022</v>
      </c>
      <c r="K32" s="290">
        <f>'2012 полн'!AL25</f>
        <v>883.732</v>
      </c>
      <c r="L32" s="290">
        <f>'2012 полн'!AM25+'2012 полн'!AN25+'2012 полн'!AO25+'2012 полн'!AP25+'2012 полн'!AQ25+'2012 полн'!AR25+'2012 полн'!AS25+'2012 полн'!AT25</f>
        <v>30942.440599999994</v>
      </c>
      <c r="M32" s="290">
        <f>'2012 полн'!AU25+'2012 полн'!AV25+'2012 полн'!AW25+'2012 полн'!AX25</f>
        <v>340</v>
      </c>
      <c r="N32" s="290"/>
      <c r="O32" s="290"/>
      <c r="P32" s="290">
        <f>'2012 полн'!BD25</f>
        <v>799.725</v>
      </c>
      <c r="Q32" s="290">
        <f>'2012 полн'!BE25</f>
        <v>35926.3998</v>
      </c>
      <c r="R32" s="290">
        <f>'2012 полн'!BF25</f>
        <v>-1654.180800000002</v>
      </c>
      <c r="S32" s="290">
        <f>'2012 полн'!BG25</f>
        <v>-6157.350000000002</v>
      </c>
      <c r="T32" s="237"/>
      <c r="U32" s="225"/>
    </row>
    <row r="33" spans="1:21" s="26" customFormat="1" ht="12.75">
      <c r="A33" s="184" t="s">
        <v>44</v>
      </c>
      <c r="B33" s="290">
        <f>'2012 полн'!B26</f>
        <v>4418.66</v>
      </c>
      <c r="C33" s="290">
        <f>'2012 полн'!C26</f>
        <v>37779.543000000005</v>
      </c>
      <c r="D33" s="290">
        <f>'2012 полн'!D26</f>
        <v>326.094</v>
      </c>
      <c r="E33" s="290">
        <f>'2012 полн'!U26</f>
        <v>38456.8</v>
      </c>
      <c r="F33" s="290">
        <f>'2012 полн'!V26</f>
        <v>153.60000000000002</v>
      </c>
      <c r="G33" s="290">
        <f>'2012 полн'!AF26</f>
        <v>35558.06</v>
      </c>
      <c r="H33" s="290">
        <f>'2012 полн'!AG26</f>
        <v>36037.754</v>
      </c>
      <c r="I33" s="295">
        <f>'2012 полн'!AJ26</f>
        <v>1483.875</v>
      </c>
      <c r="J33" s="290">
        <f>'2012 полн'!AK26</f>
        <v>2960.5022</v>
      </c>
      <c r="K33" s="290">
        <f>'2012 полн'!AL26</f>
        <v>883.732</v>
      </c>
      <c r="L33" s="290">
        <f>'2012 полн'!AM26+'2012 полн'!AN26+'2012 полн'!AO26+'2012 полн'!AP26+'2012 полн'!AQ26+'2012 полн'!AR26+'2012 полн'!AS26+'2012 полн'!AT26</f>
        <v>30942.440599999994</v>
      </c>
      <c r="M33" s="290">
        <f>'2012 полн'!AU26+'2012 полн'!AV26+'2012 полн'!AW26+'2012 полн'!AX26</f>
        <v>400</v>
      </c>
      <c r="N33" s="290"/>
      <c r="O33" s="290"/>
      <c r="P33" s="290">
        <f>'2012 полн'!BD26</f>
        <v>799.725</v>
      </c>
      <c r="Q33" s="290">
        <f>'2012 полн'!BE26</f>
        <v>35986.3998</v>
      </c>
      <c r="R33" s="290">
        <f>'2012 полн'!BF26</f>
        <v>1535.2292000000016</v>
      </c>
      <c r="S33" s="290">
        <f>'2012 полн'!BG26</f>
        <v>-2898.7400000000052</v>
      </c>
      <c r="T33" s="237"/>
      <c r="U33" s="225"/>
    </row>
    <row r="34" spans="1:19" ht="12.75">
      <c r="A34" s="184" t="s">
        <v>45</v>
      </c>
      <c r="B34" s="290">
        <f>'2012 полн'!B27</f>
        <v>4418.66</v>
      </c>
      <c r="C34" s="290">
        <f>'2012 полн'!C27</f>
        <v>37779.543000000005</v>
      </c>
      <c r="D34" s="290">
        <f>'2012 полн'!D27</f>
        <v>326.094</v>
      </c>
      <c r="E34" s="290">
        <f>'2012 полн'!U27</f>
        <v>38676.26</v>
      </c>
      <c r="F34" s="290">
        <f>'2012 полн'!V27</f>
        <v>153.60000000000002</v>
      </c>
      <c r="G34" s="290">
        <f>'2012 полн'!AF27</f>
        <v>33538.880000000005</v>
      </c>
      <c r="H34" s="290">
        <f>'2012 полн'!AG27</f>
        <v>34018.57400000001</v>
      </c>
      <c r="I34" s="295">
        <f>'2012 полн'!AJ27</f>
        <v>1483.875</v>
      </c>
      <c r="J34" s="290">
        <f>'2012 полн'!AK27</f>
        <v>2960.5022</v>
      </c>
      <c r="K34" s="290">
        <f>'2012 полн'!AL27</f>
        <v>883.732</v>
      </c>
      <c r="L34" s="290">
        <f>'2012 полн'!AM27+'2012 полн'!AN27+'2012 полн'!AO27+'2012 полн'!AP27+'2012 полн'!AQ27+'2012 полн'!AR27+'2012 полн'!AS27+'2012 полн'!AT27</f>
        <v>30942.440599999994</v>
      </c>
      <c r="M34" s="290">
        <f>'2012 полн'!AU27+'2012 полн'!AV27+'2012 полн'!AW27+'2012 полн'!AX27</f>
        <v>748.07</v>
      </c>
      <c r="N34" s="290"/>
      <c r="O34" s="290"/>
      <c r="P34" s="290">
        <f>'2012 полн'!BD27</f>
        <v>799.725</v>
      </c>
      <c r="Q34" s="290">
        <f>'2012 полн'!BE27</f>
        <v>36334.4698</v>
      </c>
      <c r="R34" s="290">
        <f>'2012 полн'!BF27</f>
        <v>-832.0207999999911</v>
      </c>
      <c r="S34" s="290">
        <f>'2012 полн'!BG27</f>
        <v>-5137.379999999997</v>
      </c>
    </row>
    <row r="35" spans="1:19" ht="12.75">
      <c r="A35" s="271" t="s">
        <v>46</v>
      </c>
      <c r="B35" s="290">
        <f>'2012 полн'!B28</f>
        <v>4418.66</v>
      </c>
      <c r="C35" s="290">
        <f>'2012 полн'!C28</f>
        <v>37779.543000000005</v>
      </c>
      <c r="D35" s="290">
        <f>'2012 полн'!D28</f>
        <v>326.094</v>
      </c>
      <c r="E35" s="290">
        <f>'2012 полн'!U28</f>
        <v>38514.23</v>
      </c>
      <c r="F35" s="290">
        <f>'2012 полн'!V28</f>
        <v>153.60000000000002</v>
      </c>
      <c r="G35" s="290">
        <f>'2012 полн'!AF28</f>
        <v>32810.8</v>
      </c>
      <c r="H35" s="290">
        <f>'2012 полн'!AG28</f>
        <v>33290.494000000006</v>
      </c>
      <c r="I35" s="295">
        <f>'2012 полн'!AJ28</f>
        <v>1483.875</v>
      </c>
      <c r="J35" s="290">
        <f>'2012 полн'!AK28</f>
        <v>2960.5022</v>
      </c>
      <c r="K35" s="290">
        <f>'2012 полн'!AL28</f>
        <v>883.732</v>
      </c>
      <c r="L35" s="290">
        <f>'2012 полн'!AM28+'2012 полн'!AN28+'2012 полн'!AO28+'2012 полн'!AP28+'2012 полн'!AQ28+'2012 полн'!AR28+'2012 полн'!AS28+'2012 полн'!AT28</f>
        <v>25860.981599999996</v>
      </c>
      <c r="M35" s="290">
        <f>'2012 полн'!AU28+'2012 полн'!AV28+'2012 полн'!AW28+'2012 полн'!AX28</f>
        <v>166.55</v>
      </c>
      <c r="N35" s="290"/>
      <c r="O35" s="290"/>
      <c r="P35" s="290">
        <f>'2012 полн'!BD28</f>
        <v>799.725</v>
      </c>
      <c r="Q35" s="290">
        <f>'2012 полн'!BE28</f>
        <v>30671.490799999996</v>
      </c>
      <c r="R35" s="290">
        <f>'2012 полн'!BF28</f>
        <v>4102.87820000001</v>
      </c>
      <c r="S35" s="290">
        <f>'2012 полн'!BG28</f>
        <v>-5703.43</v>
      </c>
    </row>
    <row r="36" spans="1:19" ht="12.75">
      <c r="A36" s="184" t="s">
        <v>47</v>
      </c>
      <c r="B36" s="290">
        <f>'2012 полн'!B29</f>
        <v>4418.66</v>
      </c>
      <c r="C36" s="290">
        <f>'2012 полн'!C29</f>
        <v>37779.543000000005</v>
      </c>
      <c r="D36" s="290">
        <f>'2012 полн'!D29</f>
        <v>326.094</v>
      </c>
      <c r="E36" s="290">
        <f>'2012 полн'!U29</f>
        <v>38517.96000000001</v>
      </c>
      <c r="F36" s="290">
        <f>'2012 полн'!V29</f>
        <v>153.60000000000002</v>
      </c>
      <c r="G36" s="290">
        <f>'2012 полн'!AF29</f>
        <v>32155.36</v>
      </c>
      <c r="H36" s="290">
        <f>'2012 полн'!AG29</f>
        <v>32635.054</v>
      </c>
      <c r="I36" s="295">
        <f>'2012 полн'!AJ29</f>
        <v>1483.875</v>
      </c>
      <c r="J36" s="290">
        <f>'2012 полн'!AK29</f>
        <v>2960.5022</v>
      </c>
      <c r="K36" s="290">
        <f>'2012 полн'!AL29</f>
        <v>883.732</v>
      </c>
      <c r="L36" s="290">
        <f>'2012 полн'!AM29+'2012 полн'!AN29+'2012 полн'!AO29+'2012 полн'!AP29+'2012 полн'!AQ29+'2012 полн'!AR29+'2012 полн'!AS29+'2012 полн'!AT29</f>
        <v>25860.981599999996</v>
      </c>
      <c r="M36" s="290">
        <f>'2012 полн'!AU29+'2012 полн'!AV29+'2012 полн'!AW29+'2012 полн'!AX29</f>
        <v>1900.67</v>
      </c>
      <c r="N36" s="290"/>
      <c r="O36" s="290"/>
      <c r="P36" s="290">
        <f>'2012 полн'!BD29</f>
        <v>799.725</v>
      </c>
      <c r="Q36" s="290">
        <f>'2012 полн'!BE29</f>
        <v>32405.610799999995</v>
      </c>
      <c r="R36" s="290">
        <f>'2012 полн'!BF29</f>
        <v>1713.3182000000088</v>
      </c>
      <c r="S36" s="290">
        <f>'2012 полн'!BG29</f>
        <v>-6362.600000000006</v>
      </c>
    </row>
    <row r="37" spans="1:19" ht="12.75">
      <c r="A37" s="184" t="s">
        <v>48</v>
      </c>
      <c r="B37" s="290">
        <f>'2012 полн'!B30</f>
        <v>4418.66</v>
      </c>
      <c r="C37" s="290">
        <f>'2012 полн'!C30</f>
        <v>37779.543000000005</v>
      </c>
      <c r="D37" s="290">
        <f>'2012 полн'!D30</f>
        <v>326.094</v>
      </c>
      <c r="E37" s="290">
        <f>'2012 полн'!U30</f>
        <v>36740.590000000004</v>
      </c>
      <c r="F37" s="290">
        <f>'2012 полн'!V30</f>
        <v>153.60000000000002</v>
      </c>
      <c r="G37" s="290">
        <f>'2012 полн'!AF30</f>
        <v>36641.78</v>
      </c>
      <c r="H37" s="290">
        <f>'2012 полн'!AG30</f>
        <v>37121.474</v>
      </c>
      <c r="I37" s="295">
        <f>'2012 полн'!AJ30</f>
        <v>2136.485</v>
      </c>
      <c r="J37" s="290">
        <f>'2012 полн'!AK30</f>
        <v>2960.5022</v>
      </c>
      <c r="K37" s="290">
        <f>'2012 полн'!AL30</f>
        <v>883.732</v>
      </c>
      <c r="L37" s="290">
        <f>'2012 полн'!AM30+'2012 полн'!AN30+'2012 полн'!AO30+'2012 полн'!AP30+'2012 полн'!AQ30+'2012 полн'!AR30+'2012 полн'!AS30+'2012 полн'!AT30</f>
        <v>25860.981599999996</v>
      </c>
      <c r="M37" s="290">
        <f>'2012 полн'!AU30+'2012 полн'!AV30+'2012 полн'!AW30+'2012 полн'!AX30</f>
        <v>7070.7</v>
      </c>
      <c r="N37" s="290"/>
      <c r="O37" s="290"/>
      <c r="P37" s="290">
        <f>'2012 полн'!BD30</f>
        <v>1072.787</v>
      </c>
      <c r="Q37" s="290">
        <f>'2012 полн'!BE30</f>
        <v>37848.70279999999</v>
      </c>
      <c r="R37" s="290">
        <f>'2012 полн'!BF30</f>
        <v>1409.2562000000107</v>
      </c>
      <c r="S37" s="290">
        <f>'2012 полн'!BG30</f>
        <v>-98.81000000000495</v>
      </c>
    </row>
    <row r="38" spans="1:19" ht="12.75">
      <c r="A38" s="271" t="s">
        <v>49</v>
      </c>
      <c r="B38" s="290">
        <f>'2012 полн'!B31</f>
        <v>4385.46</v>
      </c>
      <c r="C38" s="290">
        <f>'2012 полн'!C31</f>
        <v>41705.7246</v>
      </c>
      <c r="D38" s="290">
        <f>'2012 полн'!D31</f>
        <v>436.3905</v>
      </c>
      <c r="E38" s="290">
        <f>'2012 полн'!U31</f>
        <v>42554.73</v>
      </c>
      <c r="F38" s="290">
        <f>'2012 полн'!V31</f>
        <v>114.43</v>
      </c>
      <c r="G38" s="290">
        <f>'2012 полн'!AF31</f>
        <v>31051.56</v>
      </c>
      <c r="H38" s="290">
        <f>'2012 полн'!AG31</f>
        <v>31602.380500000003</v>
      </c>
      <c r="I38" s="295">
        <f>'2012 полн'!AJ31</f>
        <v>2136.485</v>
      </c>
      <c r="J38" s="290">
        <f>'2012 полн'!AK31</f>
        <v>3289.0950000000003</v>
      </c>
      <c r="K38" s="290">
        <f>'2012 полн'!AL31</f>
        <v>877.0920000000001</v>
      </c>
      <c r="L38" s="290">
        <f>'2012 полн'!AM31+'2012 полн'!AN31+'2012 полн'!AO31+'2012 полн'!AP31+'2012 полн'!AQ31+'2012 полн'!AR31+'2012 полн'!AS31+'2012 полн'!AT31</f>
        <v>25669.749600000003</v>
      </c>
      <c r="M38" s="290">
        <f>'2012 полн'!AU31+'2012 полн'!AV31+'2012 полн'!AW31+'2012 полн'!AX31</f>
        <v>51742.97</v>
      </c>
      <c r="N38" s="290"/>
      <c r="O38" s="290"/>
      <c r="P38" s="290">
        <f>'2012 полн'!BD31</f>
        <v>1295.8490000000002</v>
      </c>
      <c r="Q38" s="290">
        <f>'2012 полн'!BE31</f>
        <v>82874.7556</v>
      </c>
      <c r="R38" s="290">
        <f>'2012 полн'!BF31</f>
        <v>-49135.890100000004</v>
      </c>
      <c r="S38" s="290">
        <f>'2012 полн'!BG31</f>
        <v>-11503.170000000002</v>
      </c>
    </row>
    <row r="39" spans="1:19" ht="12.75">
      <c r="A39" s="184" t="s">
        <v>50</v>
      </c>
      <c r="B39" s="290">
        <f>'2012 полн'!B32</f>
        <v>4385.46</v>
      </c>
      <c r="C39" s="290">
        <f>'2012 полн'!C32</f>
        <v>41705.7246</v>
      </c>
      <c r="D39" s="290">
        <f>'2012 полн'!D32</f>
        <v>0</v>
      </c>
      <c r="E39" s="290">
        <f>'2012 полн'!U32</f>
        <v>42451.4</v>
      </c>
      <c r="F39" s="290">
        <f>'2012 полн'!V32</f>
        <v>161.05</v>
      </c>
      <c r="G39" s="290">
        <f>'2012 полн'!AF32</f>
        <v>39924.270000000004</v>
      </c>
      <c r="H39" s="290">
        <f>'2012 полн'!AG32</f>
        <v>40085.32000000001</v>
      </c>
      <c r="I39" s="295">
        <f>'2012 полн'!AJ32</f>
        <v>3936.485</v>
      </c>
      <c r="J39" s="290">
        <f>'2012 полн'!AK32</f>
        <v>3289.0950000000003</v>
      </c>
      <c r="K39" s="290">
        <f>'2012 полн'!AL32</f>
        <v>877.0920000000001</v>
      </c>
      <c r="L39" s="290">
        <f>'2012 полн'!AM32+'2012 полн'!AN32+'2012 полн'!AO32+'2012 полн'!AP32+'2012 полн'!AQ32+'2012 полн'!AR32+'2012 полн'!AS32+'2012 полн'!AT32</f>
        <v>25669.749600000003</v>
      </c>
      <c r="M39" s="290">
        <f>'2012 полн'!AU32+'2012 полн'!AV32+'2012 полн'!AW32+'2012 полн'!AX32</f>
        <v>2279.68</v>
      </c>
      <c r="N39" s="290"/>
      <c r="O39" s="290"/>
      <c r="P39" s="290">
        <f>'2012 полн'!BD32</f>
        <v>1556.909</v>
      </c>
      <c r="Q39" s="290">
        <f>'2012 полн'!BE32</f>
        <v>33672.5256</v>
      </c>
      <c r="R39" s="290">
        <f>'2012 полн'!BF32</f>
        <v>10349.279400000007</v>
      </c>
      <c r="S39" s="290">
        <f>'2012 полн'!BG32</f>
        <v>-2527.1299999999974</v>
      </c>
    </row>
    <row r="40" spans="1:19" ht="12.75">
      <c r="A40" s="184" t="s">
        <v>51</v>
      </c>
      <c r="B40" s="290">
        <f>'2012 полн'!B33</f>
        <v>4385.46</v>
      </c>
      <c r="C40" s="290">
        <f>'2012 полн'!C33</f>
        <v>41705.7246</v>
      </c>
      <c r="D40" s="290">
        <f>'2012 полн'!D33</f>
        <v>0</v>
      </c>
      <c r="E40" s="290">
        <f>'2012 полн'!U33</f>
        <v>42505.54</v>
      </c>
      <c r="F40" s="290">
        <f>'2012 полн'!V33</f>
        <v>99.86</v>
      </c>
      <c r="G40" s="290">
        <f>'2012 полн'!AF33</f>
        <v>40141.340000000004</v>
      </c>
      <c r="H40" s="290">
        <f>'2012 полн'!AG33</f>
        <v>40241.200000000004</v>
      </c>
      <c r="I40" s="295">
        <f>'2012 полн'!AJ33</f>
        <v>2736.485</v>
      </c>
      <c r="J40" s="290">
        <f>'2012 полн'!AK33</f>
        <v>3289.0950000000003</v>
      </c>
      <c r="K40" s="290">
        <f>'2012 полн'!AL33</f>
        <v>877.0920000000001</v>
      </c>
      <c r="L40" s="290">
        <f>'2012 полн'!AM33+'2012 полн'!AN33+'2012 полн'!AO33+'2012 полн'!AP33+'2012 полн'!AQ33+'2012 полн'!AR33+'2012 полн'!AS33+'2012 полн'!AT33</f>
        <v>25669.749600000003</v>
      </c>
      <c r="M40" s="290">
        <f>'2012 полн'!AU33+'2012 полн'!AV33+'2012 полн'!AW33+'2012 полн'!AX33</f>
        <v>5087.57</v>
      </c>
      <c r="N40" s="290"/>
      <c r="O40" s="290"/>
      <c r="P40" s="290">
        <f>'2012 полн'!BD33</f>
        <v>1250.987</v>
      </c>
      <c r="Q40" s="290">
        <f>'2012 полн'!BE33</f>
        <v>36174.4936</v>
      </c>
      <c r="R40" s="290">
        <f>'2012 полн'!BF33</f>
        <v>6803.191400000003</v>
      </c>
      <c r="S40" s="290">
        <f>'2012 полн'!BG33</f>
        <v>-2364.199999999997</v>
      </c>
    </row>
    <row r="41" spans="1:19" ht="12.75">
      <c r="A41" s="271" t="s">
        <v>39</v>
      </c>
      <c r="B41" s="290">
        <f>'2012 полн'!B34</f>
        <v>4385.46</v>
      </c>
      <c r="C41" s="290">
        <f>'2012 полн'!C34</f>
        <v>41705.7246</v>
      </c>
      <c r="D41" s="290">
        <f>'2012 полн'!D34</f>
        <v>0</v>
      </c>
      <c r="E41" s="290">
        <f>'2012 полн'!U34</f>
        <v>42536.78</v>
      </c>
      <c r="F41" s="290">
        <f>'2012 полн'!V34</f>
        <v>99.86</v>
      </c>
      <c r="G41" s="290">
        <f>'2012 полн'!AF34</f>
        <v>50619.95</v>
      </c>
      <c r="H41" s="290">
        <f>'2012 полн'!AG34</f>
        <v>50719.81</v>
      </c>
      <c r="I41" s="295">
        <f>'2012 полн'!AJ34</f>
        <v>2736.485</v>
      </c>
      <c r="J41" s="290">
        <f>'2012 полн'!AK34</f>
        <v>3289.0950000000003</v>
      </c>
      <c r="K41" s="290">
        <f>'2012 полн'!AL34</f>
        <v>877.0920000000001</v>
      </c>
      <c r="L41" s="290">
        <f>'2012 полн'!AM34+'2012 полн'!AN34+'2012 полн'!AO34+'2012 полн'!AP34+'2012 полн'!AQ34+'2012 полн'!AR34+'2012 полн'!AS34+'2012 полн'!AT34</f>
        <v>30713.0286</v>
      </c>
      <c r="M41" s="290">
        <f>'2012 полн'!AU34+'2012 полн'!AV34+'2012 полн'!AW34+'2012 полн'!AX34</f>
        <v>3583.4</v>
      </c>
      <c r="N41" s="290"/>
      <c r="O41" s="290"/>
      <c r="P41" s="290">
        <f>'2012 полн'!BD34</f>
        <v>1250.987</v>
      </c>
      <c r="Q41" s="290">
        <f>'2012 полн'!BE34</f>
        <v>39713.602600000006</v>
      </c>
      <c r="R41" s="290">
        <f>'2012 полн'!BF34</f>
        <v>13742.692399999993</v>
      </c>
      <c r="S41" s="290">
        <f>'2012 полн'!BG34</f>
        <v>8083.169999999998</v>
      </c>
    </row>
    <row r="42" spans="1:19" ht="12.75">
      <c r="A42" s="184" t="s">
        <v>40</v>
      </c>
      <c r="B42" s="290">
        <f>'2012 полн'!B35</f>
        <v>4383.86</v>
      </c>
      <c r="C42" s="290">
        <f>'2012 полн'!C35</f>
        <v>41690.508599999994</v>
      </c>
      <c r="D42" s="290">
        <f>'2012 полн'!D35</f>
        <v>0</v>
      </c>
      <c r="E42" s="290">
        <f>'2012 полн'!U35</f>
        <v>42372.59</v>
      </c>
      <c r="F42" s="290">
        <f>'2012 полн'!V35</f>
        <v>99.86</v>
      </c>
      <c r="G42" s="290">
        <f>'2012 полн'!AF35</f>
        <v>37254.909999999996</v>
      </c>
      <c r="H42" s="290">
        <f>'2012 полн'!AG35</f>
        <v>37354.77</v>
      </c>
      <c r="I42" s="295">
        <f>'2012 полн'!AJ35</f>
        <v>2736.485</v>
      </c>
      <c r="J42" s="290">
        <f>'2012 полн'!AK35</f>
        <v>3287.8949999999995</v>
      </c>
      <c r="K42" s="290">
        <f>'2012 полн'!AL35</f>
        <v>876.7719999999999</v>
      </c>
      <c r="L42" s="290">
        <f>'2012 полн'!AM35+'2012 полн'!AN35+'2012 полн'!AO35+'2012 полн'!AP35+'2012 полн'!AQ35+'2012 полн'!AR35+'2012 полн'!AS35+'2012 полн'!AT35</f>
        <v>30701.9726</v>
      </c>
      <c r="M42" s="290">
        <f>'2012 полн'!AU35+'2012 полн'!AV35+'2012 полн'!AW35+'2012 полн'!AX35</f>
        <v>0</v>
      </c>
      <c r="N42" s="290"/>
      <c r="O42" s="290"/>
      <c r="P42" s="290">
        <f>'2012 полн'!BD35</f>
        <v>1222.787</v>
      </c>
      <c r="Q42" s="290">
        <f>'2012 полн'!BE35</f>
        <v>36089.42659999999</v>
      </c>
      <c r="R42" s="290">
        <f>'2012 полн'!BF35</f>
        <v>4001.828400000006</v>
      </c>
      <c r="S42" s="290">
        <f>'2012 полн'!BG35</f>
        <v>-5117.68</v>
      </c>
    </row>
    <row r="43" spans="1:19" ht="13.5" thickBot="1">
      <c r="A43" s="184" t="s">
        <v>41</v>
      </c>
      <c r="B43" s="290">
        <f>'2012 полн'!B36</f>
        <v>4383.86</v>
      </c>
      <c r="C43" s="290">
        <f>'2012 полн'!C36</f>
        <v>41690.508599999994</v>
      </c>
      <c r="D43" s="290">
        <f>'2012 полн'!D36</f>
        <v>0</v>
      </c>
      <c r="E43" s="290">
        <f>'2012 полн'!U36</f>
        <v>42475.52</v>
      </c>
      <c r="F43" s="290">
        <f>'2012 полн'!V36</f>
        <v>99.86</v>
      </c>
      <c r="G43" s="290">
        <f>'2012 полн'!AF36</f>
        <v>39795.549999999996</v>
      </c>
      <c r="H43" s="290">
        <f>'2012 полн'!AG36</f>
        <v>39895.409999999996</v>
      </c>
      <c r="I43" s="295">
        <f>'2012 полн'!AJ36</f>
        <v>2736.485</v>
      </c>
      <c r="J43" s="290">
        <f>'2012 полн'!AK36</f>
        <v>3287.8949999999995</v>
      </c>
      <c r="K43" s="290">
        <f>'2012 полн'!AL36</f>
        <v>876.7719999999999</v>
      </c>
      <c r="L43" s="290">
        <f>'2012 полн'!AM36+'2012 полн'!AN36+'2012 полн'!AO36+'2012 полн'!AP36+'2012 полн'!AQ36+'2012 полн'!AR36+'2012 полн'!AS36+'2012 полн'!AT36</f>
        <v>30701.9726</v>
      </c>
      <c r="M43" s="290">
        <f>'2012 полн'!AU36+'2012 полн'!AV36+'2012 полн'!AW36+'2012 полн'!AX36</f>
        <v>608</v>
      </c>
      <c r="N43" s="290"/>
      <c r="O43" s="290"/>
      <c r="P43" s="290">
        <f>'2012 полн'!BD36</f>
        <v>1222.787</v>
      </c>
      <c r="Q43" s="290">
        <f>'2012 полн'!BE36</f>
        <v>36697.42659999999</v>
      </c>
      <c r="R43" s="290">
        <f>'2012 полн'!BF36</f>
        <v>5934.468400000005</v>
      </c>
      <c r="S43" s="290">
        <f>'2012 полн'!BG36</f>
        <v>-2679.970000000001</v>
      </c>
    </row>
    <row r="44" spans="1:21" s="26" customFormat="1" ht="13.5" thickBot="1">
      <c r="A44" s="47" t="s">
        <v>5</v>
      </c>
      <c r="B44" s="48"/>
      <c r="C44" s="51">
        <f aca="true" t="shared" si="3" ref="C44:R44">SUM(C32:C43)</f>
        <v>476881.1736000001</v>
      </c>
      <c r="D44" s="51">
        <f t="shared" si="3"/>
        <v>2392.9545</v>
      </c>
      <c r="E44" s="51">
        <f t="shared" si="3"/>
        <v>484268.4</v>
      </c>
      <c r="F44" s="51">
        <f t="shared" si="3"/>
        <v>1596.5199999999998</v>
      </c>
      <c r="G44" s="51">
        <f t="shared" si="3"/>
        <v>441801.11</v>
      </c>
      <c r="H44" s="51">
        <f t="shared" si="3"/>
        <v>445790.58450000006</v>
      </c>
      <c r="I44" s="51">
        <f t="shared" si="3"/>
        <v>26574.770000000004</v>
      </c>
      <c r="J44" s="51">
        <f t="shared" si="3"/>
        <v>37495.1832</v>
      </c>
      <c r="K44" s="51">
        <f t="shared" si="3"/>
        <v>10564.304000000004</v>
      </c>
      <c r="L44" s="51">
        <f t="shared" si="3"/>
        <v>339536.48919999995</v>
      </c>
      <c r="M44" s="51">
        <f t="shared" si="3"/>
        <v>73927.60999999999</v>
      </c>
      <c r="N44" s="51">
        <f t="shared" si="3"/>
        <v>0</v>
      </c>
      <c r="O44" s="51">
        <f t="shared" si="3"/>
        <v>0</v>
      </c>
      <c r="P44" s="51">
        <f t="shared" si="3"/>
        <v>12871.718</v>
      </c>
      <c r="Q44" s="51">
        <f t="shared" si="3"/>
        <v>474395.30439999996</v>
      </c>
      <c r="R44" s="51">
        <f t="shared" si="3"/>
        <v>-2029.949899999956</v>
      </c>
      <c r="S44" s="51">
        <f>SUM(S32:S43)</f>
        <v>-42467.290000000015</v>
      </c>
      <c r="T44" s="225"/>
      <c r="U44" s="225"/>
    </row>
    <row r="45" spans="1:19" ht="13.5" thickBot="1">
      <c r="A45" s="462" t="s">
        <v>88</v>
      </c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4"/>
      <c r="Q45" s="233"/>
      <c r="R45" s="234"/>
      <c r="S45" s="234"/>
    </row>
    <row r="46" spans="1:21" s="26" customFormat="1" ht="13.5" thickBot="1">
      <c r="A46" s="235" t="s">
        <v>114</v>
      </c>
      <c r="B46" s="236"/>
      <c r="C46" s="57">
        <f aca="true" t="shared" si="4" ref="C46:R46">C44+C30</f>
        <v>2421186.8846000005</v>
      </c>
      <c r="D46" s="57">
        <f t="shared" si="4"/>
        <v>127235.91375860001</v>
      </c>
      <c r="E46" s="57">
        <f t="shared" si="4"/>
        <v>1716568.7400000002</v>
      </c>
      <c r="F46" s="57">
        <f t="shared" si="4"/>
        <v>130061.99000000002</v>
      </c>
      <c r="G46" s="57">
        <f t="shared" si="4"/>
        <v>1560811.1099999999</v>
      </c>
      <c r="H46" s="57">
        <f t="shared" si="4"/>
        <v>1818109.0137586</v>
      </c>
      <c r="I46" s="57">
        <f t="shared" si="4"/>
        <v>63454.205612000005</v>
      </c>
      <c r="J46" s="296">
        <f t="shared" si="4"/>
        <v>143560.0596</v>
      </c>
      <c r="K46" s="57">
        <f t="shared" si="4"/>
        <v>44805.42357680001</v>
      </c>
      <c r="L46" s="57">
        <f t="shared" si="4"/>
        <v>1244844.1575562062</v>
      </c>
      <c r="M46" s="57">
        <f t="shared" si="4"/>
        <v>458587.4068</v>
      </c>
      <c r="N46" s="57">
        <f t="shared" si="4"/>
        <v>0</v>
      </c>
      <c r="O46" s="57">
        <f t="shared" si="4"/>
        <v>0</v>
      </c>
      <c r="P46" s="57">
        <f t="shared" si="4"/>
        <v>32576.840765089008</v>
      </c>
      <c r="Q46" s="57">
        <f t="shared" si="4"/>
        <v>1924373.8882980954</v>
      </c>
      <c r="R46" s="57">
        <f t="shared" si="4"/>
        <v>-42810.672527495226</v>
      </c>
      <c r="S46" s="57">
        <f>S44+S30</f>
        <v>-155757.63</v>
      </c>
      <c r="T46" s="237"/>
      <c r="U46" s="225"/>
    </row>
    <row r="47" ht="12.75">
      <c r="A47" s="171"/>
    </row>
    <row r="48" spans="1:4" ht="12.75">
      <c r="A48" s="26" t="s">
        <v>64</v>
      </c>
      <c r="D48" s="118" t="s">
        <v>127</v>
      </c>
    </row>
    <row r="49" spans="1:4" ht="12.75">
      <c r="A49" s="182" t="s">
        <v>65</v>
      </c>
      <c r="B49" s="182" t="s">
        <v>66</v>
      </c>
      <c r="C49" s="249" t="s">
        <v>67</v>
      </c>
      <c r="D49" s="249"/>
    </row>
    <row r="50" spans="1:4" ht="12.75">
      <c r="A50" s="119">
        <v>484263.67</v>
      </c>
      <c r="B50" s="120">
        <v>250023.86</v>
      </c>
      <c r="C50" s="250">
        <f>A50-B50</f>
        <v>234239.81</v>
      </c>
      <c r="D50" s="251"/>
    </row>
    <row r="51" ht="12.75">
      <c r="A51" s="58"/>
    </row>
    <row r="52" spans="1:7" ht="12.75">
      <c r="A52" s="160" t="s">
        <v>68</v>
      </c>
      <c r="G52" s="160" t="s">
        <v>69</v>
      </c>
    </row>
    <row r="53" ht="12.75">
      <c r="A53" s="171"/>
    </row>
    <row r="54" ht="12.75">
      <c r="A54" s="160" t="s">
        <v>121</v>
      </c>
    </row>
    <row r="55" ht="12.75">
      <c r="A55" s="160" t="s">
        <v>122</v>
      </c>
    </row>
  </sheetData>
  <sheetProtection/>
  <mergeCells count="30">
    <mergeCell ref="M10:M11"/>
    <mergeCell ref="N10:N11"/>
    <mergeCell ref="E8:F9"/>
    <mergeCell ref="G8:H9"/>
    <mergeCell ref="B1:H1"/>
    <mergeCell ref="B2:H2"/>
    <mergeCell ref="A5:P5"/>
    <mergeCell ref="A6:G6"/>
    <mergeCell ref="A7:D7"/>
    <mergeCell ref="E7:F7"/>
    <mergeCell ref="B8:B11"/>
    <mergeCell ref="C8:C11"/>
    <mergeCell ref="D8:D11"/>
    <mergeCell ref="R8:R11"/>
    <mergeCell ref="S8:S11"/>
    <mergeCell ref="E10:F10"/>
    <mergeCell ref="H10:H11"/>
    <mergeCell ref="J10:J11"/>
    <mergeCell ref="K10:K11"/>
    <mergeCell ref="L10:L11"/>
    <mergeCell ref="A45:P45"/>
    <mergeCell ref="B31:E31"/>
    <mergeCell ref="I8:I11"/>
    <mergeCell ref="O10:O11"/>
    <mergeCell ref="P10:P11"/>
    <mergeCell ref="Q10:Q11"/>
    <mergeCell ref="A13:P13"/>
    <mergeCell ref="A29:P29"/>
    <mergeCell ref="J8:Q9"/>
    <mergeCell ref="A8:A11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2012-08-10T05:07:27Z</cp:lastPrinted>
  <dcterms:created xsi:type="dcterms:W3CDTF">2010-04-03T04:08:20Z</dcterms:created>
  <dcterms:modified xsi:type="dcterms:W3CDTF">2013-05-26T07:45:35Z</dcterms:modified>
  <cp:category/>
  <cp:version/>
  <cp:contentType/>
  <cp:contentStatus/>
</cp:coreProperties>
</file>