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3"/>
  </bookViews>
  <sheets>
    <sheet name="ЛИЦ.СЧЕТ" sheetId="1" r:id="rId1"/>
    <sheet name="для печати" sheetId="2" r:id="rId2"/>
    <sheet name="2012 полн" sheetId="3" r:id="rId3"/>
    <sheet name="2012 печат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<sst xmlns="http://schemas.openxmlformats.org/spreadsheetml/2006/main" count="329" uniqueCount="126">
  <si>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</si>
  <si>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</si>
  <si>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</si>
  <si>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</si>
  <si>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</si>
  <si>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</si>
  <si>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</si>
  <si>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</si>
  <si>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 xml:space="preserve">Расходы 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</si>
  <si>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</si>
  <si>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</si>
  <si>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</si>
  <si>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</si>
  <si>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</si>
  <si>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</si>
  <si>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</si>
  <si>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</si>
  <si>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</si>
  <si>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</si>
  <si>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</si>
  <si>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</si>
  <si>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</si>
  <si>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</si>
  <si>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</si>
  <si>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</si>
  <si>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</si>
  <si>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Собрано по отоплению</t>
  </si>
  <si>
    <t>Собрано по лифтам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</si>
  <si>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</si>
  <si>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</si>
  <si>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</si>
  <si>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</si>
  <si>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</si>
  <si>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</si>
  <si>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</si>
  <si>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</si>
  <si>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</si>
  <si>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</si>
  <si>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</si>
  <si>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</si>
  <si>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</si>
  <si>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</si>
  <si>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</si>
  <si>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</si>
  <si>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</si>
  <si>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</si>
  <si>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</si>
  <si>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</si>
  <si>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</si>
  <si>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</si>
  <si>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Лицевой счет по адресу О.Дундича,1</t>
  </si>
  <si>
    <t>2008 год</t>
  </si>
  <si>
    <t>2009 год</t>
  </si>
  <si>
    <t>ВСЕГО:</t>
  </si>
  <si>
    <t>Долг(-)/ переплата(+)  жителей (разница между начислено и собрано)</t>
  </si>
  <si>
    <t>Остаток на Л/СЧ МКД (доходы- расходы)</t>
  </si>
  <si>
    <t>месяц</t>
  </si>
  <si>
    <t>на конец отчетного периода</t>
  </si>
  <si>
    <t>Начислено квартплаты</t>
  </si>
  <si>
    <t>по содержанию и тек. ремонту</t>
  </si>
  <si>
    <t>населению</t>
  </si>
  <si>
    <t>тариф на содержание и тек. ремонт</t>
  </si>
  <si>
    <t>Тариф по содержанию и тек.ремонту 100 % (8,65руб.*площадь)</t>
  </si>
  <si>
    <t>от населения</t>
  </si>
  <si>
    <t>Услуга управления</t>
  </si>
  <si>
    <t>Эл.энергия общ. Пользования</t>
  </si>
  <si>
    <t>Содержание</t>
  </si>
  <si>
    <t>Остаток на Л/СЧ дома (доходы- расходы)</t>
  </si>
  <si>
    <t>Общество с ограниченной ответственностью</t>
  </si>
  <si>
    <t>«Таштагольская управляющая компания»</t>
  </si>
  <si>
    <t>Доп. работы по содержанию ТУК</t>
  </si>
  <si>
    <t>2010 год</t>
  </si>
  <si>
    <t>Эл.энергия МОП</t>
  </si>
  <si>
    <t>норма часов горения</t>
  </si>
  <si>
    <t>кол-во кВт</t>
  </si>
  <si>
    <t>стоимость итого</t>
  </si>
  <si>
    <t xml:space="preserve">Собрано квартплаты </t>
  </si>
  <si>
    <t xml:space="preserve">Долг(-)/ переплата(+)  жителей </t>
  </si>
  <si>
    <t>содержанию и тек.рем.</t>
  </si>
  <si>
    <t>Тек. Ремонт ООО "УЖХ"</t>
  </si>
  <si>
    <t>Тек. Ремонт ООО "ТУК"</t>
  </si>
  <si>
    <t>на 01.01.2011</t>
  </si>
  <si>
    <t>в т.ч. Собрано по отоплению</t>
  </si>
  <si>
    <t>Капитальный ремонт</t>
  </si>
  <si>
    <t>*по состоянию на 01.01.2011 г.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</si>
  <si>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</si>
  <si>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</si>
  <si>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</si>
  <si>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</si>
  <si>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</si>
  <si>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Ю.С. Дмитриева</t>
  </si>
  <si>
    <t>тел. 3-48-80</t>
  </si>
  <si>
    <t>Выписка по лицевому счету по адресу О.Дундича,1 а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</si>
  <si>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</si>
  <si>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</si>
  <si>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</si>
  <si>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</si>
  <si>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</si>
  <si>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</si>
  <si>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</si>
  <si>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</si>
  <si>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</si>
  <si>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</si>
  <si>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</si>
  <si>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</si>
  <si>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</si>
  <si>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</si>
  <si>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</si>
  <si>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</si>
  <si>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</si>
  <si>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</si>
  <si>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</si>
  <si>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</si>
  <si>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</si>
  <si>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Расходы по жил. помещениям</t>
  </si>
  <si>
    <t>Электроэнергия</t>
  </si>
  <si>
    <t>2011 год</t>
  </si>
  <si>
    <t>Собрано квартплаты от населения</t>
  </si>
  <si>
    <t>Услуга начисления</t>
  </si>
  <si>
    <t>Собрано по содержанию и тек.рем.</t>
  </si>
  <si>
    <t>Исп. В.В. Колмогорова</t>
  </si>
  <si>
    <t>Выписка по лицевому счету по адресу г. Таштагол ул. О.Дундича, д. 1</t>
  </si>
  <si>
    <t>2012 год</t>
  </si>
  <si>
    <t>на 01.01.2013 г.</t>
  </si>
  <si>
    <t>*по состоянию на 01.05.2013 г.</t>
  </si>
  <si>
    <t>Тариф по содержанию и тек.ремонту 100 % (8,56 руб.*площадь)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</si>
</sst>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0.000"/>
    <numFmt numFmtId="171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1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center" wrapText="1"/>
    </xf>
    <xf numFmtId="4" fontId="1" fillId="0" borderId="19" xfId="0" applyNumberFormat="1" applyFont="1" applyFill="1" applyBorder="1" applyAlignment="1">
      <alignment horizontal="right" wrapText="1"/>
    </xf>
    <xf numFmtId="4" fontId="1" fillId="0" borderId="1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1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4" fontId="1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" fillId="33" borderId="16" xfId="34" applyNumberFormat="1" applyFont="1" applyFill="1" applyBorder="1" applyAlignment="1">
      <alignment horizontal="center" vertical="center" wrapText="1"/>
      <protection/>
    </xf>
    <xf numFmtId="4" fontId="0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6" xfId="34" applyNumberFormat="1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/>
    </xf>
    <xf numFmtId="4" fontId="2" fillId="33" borderId="10" xfId="34" applyNumberFormat="1" applyFont="1" applyFill="1" applyBorder="1" applyAlignment="1">
      <alignment horizontal="center" vertical="center" wrapText="1"/>
      <protection/>
    </xf>
    <xf numFmtId="4" fontId="7" fillId="33" borderId="10" xfId="34" applyNumberFormat="1" applyFont="1" applyFill="1" applyBorder="1" applyAlignment="1">
      <alignment horizontal="center" vertical="center" wrapText="1"/>
      <protection/>
    </xf>
    <xf numFmtId="4" fontId="0" fillId="35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1" fillId="0" borderId="27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37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4" fontId="0" fillId="0" borderId="16" xfId="0" applyNumberFormat="1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 vertical="center" wrapText="1"/>
    </xf>
    <xf numFmtId="4" fontId="0" fillId="34" borderId="10" xfId="0" applyNumberFormat="1" applyFont="1" applyFill="1" applyBorder="1" applyAlignment="1">
      <alignment/>
    </xf>
    <xf numFmtId="4" fontId="2" fillId="0" borderId="28" xfId="34" applyNumberFormat="1" applyFont="1" applyFill="1" applyBorder="1" applyAlignment="1">
      <alignment horizontal="center" vertical="center" wrapText="1"/>
      <protection/>
    </xf>
    <xf numFmtId="4" fontId="0" fillId="34" borderId="10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6" fillId="0" borderId="28" xfId="0" applyNumberFormat="1" applyFont="1" applyFill="1" applyBorder="1" applyAlignment="1">
      <alignment horizontal="center"/>
    </xf>
    <xf numFmtId="4" fontId="6" fillId="37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2" fillId="0" borderId="30" xfId="34" applyNumberFormat="1" applyFont="1" applyFill="1" applyBorder="1" applyAlignment="1">
      <alignment horizontal="center" vertical="center" wrapText="1"/>
      <protection/>
    </xf>
    <xf numFmtId="4" fontId="0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right" wrapText="1"/>
    </xf>
    <xf numFmtId="4" fontId="1" fillId="35" borderId="10" xfId="0" applyNumberFormat="1" applyFont="1" applyFill="1" applyBorder="1" applyAlignment="1">
      <alignment horizontal="right" wrapText="1"/>
    </xf>
    <xf numFmtId="4" fontId="1" fillId="0" borderId="24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 textRotation="90" wrapText="1"/>
    </xf>
    <xf numFmtId="0" fontId="1" fillId="0" borderId="33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4" fontId="0" fillId="0" borderId="10" xfId="0" applyNumberFormat="1" applyFont="1" applyFill="1" applyBorder="1" applyAlignment="1">
      <alignment wrapText="1"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2" fillId="0" borderId="38" xfId="34" applyNumberFormat="1" applyFont="1" applyFill="1" applyBorder="1" applyAlignment="1">
      <alignment horizontal="right" vertical="center" wrapText="1"/>
      <protection/>
    </xf>
    <xf numFmtId="4" fontId="0" fillId="0" borderId="28" xfId="0" applyNumberFormat="1" applyFont="1" applyFill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38" xfId="0" applyNumberFormat="1" applyFont="1" applyFill="1" applyBorder="1" applyAlignment="1">
      <alignment horizontal="right"/>
    </xf>
    <xf numFmtId="4" fontId="0" fillId="0" borderId="39" xfId="0" applyNumberFormat="1" applyFont="1" applyFill="1" applyBorder="1" applyAlignment="1">
      <alignment horizontal="right"/>
    </xf>
    <xf numFmtId="4" fontId="1" fillId="0" borderId="34" xfId="0" applyNumberFormat="1" applyFont="1" applyFill="1" applyBorder="1" applyAlignment="1">
      <alignment horizontal="right" wrapText="1"/>
    </xf>
    <xf numFmtId="4" fontId="2" fillId="0" borderId="17" xfId="34" applyNumberFormat="1" applyFont="1" applyFill="1" applyBorder="1" applyAlignment="1">
      <alignment horizontal="right" vertical="center" wrapText="1"/>
      <protection/>
    </xf>
    <xf numFmtId="4" fontId="2" fillId="0" borderId="36" xfId="34" applyNumberFormat="1" applyFont="1" applyFill="1" applyBorder="1" applyAlignment="1">
      <alignment horizontal="right" vertical="center" wrapText="1"/>
      <protection/>
    </xf>
    <xf numFmtId="4" fontId="0" fillId="0" borderId="3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1" fillId="0" borderId="40" xfId="0" applyNumberFormat="1" applyFont="1" applyFill="1" applyBorder="1" applyAlignment="1">
      <alignment horizontal="right" wrapText="1"/>
    </xf>
    <xf numFmtId="4" fontId="1" fillId="0" borderId="23" xfId="0" applyNumberFormat="1" applyFont="1" applyFill="1" applyBorder="1" applyAlignment="1">
      <alignment horizontal="right" wrapText="1"/>
    </xf>
    <xf numFmtId="0" fontId="1" fillId="0" borderId="41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/>
    </xf>
    <xf numFmtId="4" fontId="1" fillId="0" borderId="34" xfId="0" applyNumberFormat="1" applyFont="1" applyFill="1" applyBorder="1" applyAlignment="1">
      <alignment horizontal="right"/>
    </xf>
    <xf numFmtId="4" fontId="1" fillId="0" borderId="35" xfId="0" applyNumberFormat="1" applyFont="1" applyFill="1" applyBorder="1" applyAlignment="1">
      <alignment horizontal="right"/>
    </xf>
    <xf numFmtId="4" fontId="1" fillId="0" borderId="2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center" wrapText="1"/>
    </xf>
    <xf numFmtId="4" fontId="7" fillId="0" borderId="30" xfId="34" applyNumberFormat="1" applyFont="1" applyFill="1" applyBorder="1" applyAlignment="1">
      <alignment horizontal="center" vertical="center" wrapText="1"/>
      <protection/>
    </xf>
    <xf numFmtId="4" fontId="6" fillId="33" borderId="38" xfId="0" applyNumberFormat="1" applyFont="1" applyFill="1" applyBorder="1" applyAlignment="1">
      <alignment/>
    </xf>
    <xf numFmtId="4" fontId="6" fillId="33" borderId="28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6" fillId="36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right"/>
    </xf>
    <xf numFmtId="4" fontId="2" fillId="0" borderId="10" xfId="34" applyNumberFormat="1" applyFont="1" applyFill="1" applyBorder="1" applyAlignment="1">
      <alignment vertical="center" wrapText="1"/>
      <protection/>
    </xf>
    <xf numFmtId="0" fontId="0" fillId="34" borderId="10" xfId="0" applyFont="1" applyFill="1" applyBorder="1" applyAlignment="1">
      <alignment horizontal="right" vertical="center" wrapText="1"/>
    </xf>
    <xf numFmtId="0" fontId="0" fillId="34" borderId="28" xfId="0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0" fontId="1" fillId="0" borderId="43" xfId="0" applyFont="1" applyFill="1" applyBorder="1" applyAlignment="1">
      <alignment horizontal="right" vertical="center" wrapText="1"/>
    </xf>
    <xf numFmtId="4" fontId="1" fillId="0" borderId="44" xfId="0" applyNumberFormat="1" applyFont="1" applyFill="1" applyBorder="1" applyAlignment="1">
      <alignment horizontal="right" wrapText="1"/>
    </xf>
    <xf numFmtId="4" fontId="1" fillId="0" borderId="45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4" fontId="1" fillId="33" borderId="10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center"/>
    </xf>
    <xf numFmtId="4" fontId="6" fillId="33" borderId="24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4" fontId="0" fillId="37" borderId="12" xfId="0" applyNumberFormat="1" applyFont="1" applyFill="1" applyBorder="1" applyAlignment="1">
      <alignment horizontal="center"/>
    </xf>
    <xf numFmtId="4" fontId="0" fillId="33" borderId="24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2" fontId="6" fillId="0" borderId="12" xfId="0" applyNumberFormat="1" applyFont="1" applyBorder="1" applyAlignment="1">
      <alignment horizontal="center"/>
    </xf>
    <xf numFmtId="4" fontId="0" fillId="38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168" fontId="0" fillId="0" borderId="10" xfId="0" applyNumberFormat="1" applyFont="1" applyFill="1" applyBorder="1" applyAlignment="1">
      <alignment/>
    </xf>
    <xf numFmtId="4" fontId="6" fillId="0" borderId="12" xfId="0" applyNumberFormat="1" applyFont="1" applyBorder="1" applyAlignment="1">
      <alignment horizontal="center" wrapText="1"/>
    </xf>
    <xf numFmtId="4" fontId="7" fillId="0" borderId="28" xfId="34" applyNumberFormat="1" applyFont="1" applyFill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center"/>
    </xf>
    <xf numFmtId="4" fontId="0" fillId="34" borderId="46" xfId="0" applyNumberFormat="1" applyFont="1" applyFill="1" applyBorder="1" applyAlignment="1">
      <alignment/>
    </xf>
    <xf numFmtId="171" fontId="2" fillId="33" borderId="10" xfId="34" applyNumberFormat="1" applyFont="1" applyFill="1" applyBorder="1" applyAlignment="1">
      <alignment horizontal="center" vertical="center" wrapText="1"/>
      <protection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 wrapText="1"/>
    </xf>
    <xf numFmtId="0" fontId="1" fillId="39" borderId="18" xfId="0" applyFont="1" applyFill="1" applyBorder="1" applyAlignment="1">
      <alignment horizontal="center" vertical="center" wrapText="1"/>
    </xf>
    <xf numFmtId="0" fontId="1" fillId="39" borderId="21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4" fontId="0" fillId="39" borderId="11" xfId="0" applyNumberFormat="1" applyFont="1" applyFill="1" applyBorder="1" applyAlignment="1">
      <alignment horizontal="right"/>
    </xf>
    <xf numFmtId="4" fontId="1" fillId="39" borderId="39" xfId="0" applyNumberFormat="1" applyFont="1" applyFill="1" applyBorder="1" applyAlignment="1">
      <alignment horizontal="right"/>
    </xf>
    <xf numFmtId="4" fontId="1" fillId="39" borderId="23" xfId="0" applyNumberFormat="1" applyFont="1" applyFill="1" applyBorder="1" applyAlignment="1">
      <alignment horizontal="right" wrapText="1"/>
    </xf>
    <xf numFmtId="4" fontId="0" fillId="39" borderId="15" xfId="0" applyNumberFormat="1" applyFont="1" applyFill="1" applyBorder="1" applyAlignment="1">
      <alignment horizontal="right"/>
    </xf>
    <xf numFmtId="4" fontId="1" fillId="39" borderId="37" xfId="0" applyNumberFormat="1" applyFont="1" applyFill="1" applyBorder="1" applyAlignment="1">
      <alignment horizontal="right"/>
    </xf>
    <xf numFmtId="4" fontId="1" fillId="39" borderId="41" xfId="0" applyNumberFormat="1" applyFont="1" applyFill="1" applyBorder="1" applyAlignment="1">
      <alignment horizontal="right" wrapText="1"/>
    </xf>
    <xf numFmtId="4" fontId="1" fillId="39" borderId="21" xfId="0" applyNumberFormat="1" applyFont="1" applyFill="1" applyBorder="1" applyAlignment="1">
      <alignment horizontal="right" wrapText="1"/>
    </xf>
    <xf numFmtId="0" fontId="1" fillId="39" borderId="41" xfId="0" applyFont="1" applyFill="1" applyBorder="1" applyAlignment="1">
      <alignment/>
    </xf>
    <xf numFmtId="0" fontId="1" fillId="39" borderId="23" xfId="0" applyFont="1" applyFill="1" applyBorder="1" applyAlignment="1">
      <alignment/>
    </xf>
    <xf numFmtId="0" fontId="1" fillId="39" borderId="40" xfId="0" applyFont="1" applyFill="1" applyBorder="1" applyAlignment="1">
      <alignment/>
    </xf>
    <xf numFmtId="4" fontId="1" fillId="39" borderId="18" xfId="0" applyNumberFormat="1" applyFont="1" applyFill="1" applyBorder="1" applyAlignment="1">
      <alignment horizontal="right"/>
    </xf>
    <xf numFmtId="4" fontId="1" fillId="39" borderId="21" xfId="0" applyNumberFormat="1" applyFont="1" applyFill="1" applyBorder="1" applyAlignment="1">
      <alignment horizontal="right"/>
    </xf>
    <xf numFmtId="4" fontId="0" fillId="39" borderId="39" xfId="0" applyNumberFormat="1" applyFont="1" applyFill="1" applyBorder="1" applyAlignment="1">
      <alignment horizontal="right"/>
    </xf>
    <xf numFmtId="0" fontId="1" fillId="39" borderId="34" xfId="0" applyFont="1" applyFill="1" applyBorder="1" applyAlignment="1">
      <alignment horizontal="center" vertical="center" wrapText="1"/>
    </xf>
    <xf numFmtId="0" fontId="1" fillId="39" borderId="36" xfId="0" applyFont="1" applyFill="1" applyBorder="1" applyAlignment="1">
      <alignment horizontal="center" vertical="center" wrapText="1"/>
    </xf>
    <xf numFmtId="4" fontId="1" fillId="39" borderId="38" xfId="0" applyNumberFormat="1" applyFont="1" applyFill="1" applyBorder="1" applyAlignment="1">
      <alignment horizontal="right"/>
    </xf>
    <xf numFmtId="4" fontId="1" fillId="39" borderId="34" xfId="0" applyNumberFormat="1" applyFont="1" applyFill="1" applyBorder="1" applyAlignment="1">
      <alignment horizontal="right" wrapText="1"/>
    </xf>
    <xf numFmtId="4" fontId="1" fillId="39" borderId="36" xfId="0" applyNumberFormat="1" applyFont="1" applyFill="1" applyBorder="1" applyAlignment="1">
      <alignment horizontal="right"/>
    </xf>
    <xf numFmtId="0" fontId="1" fillId="39" borderId="34" xfId="0" applyFont="1" applyFill="1" applyBorder="1" applyAlignment="1">
      <alignment/>
    </xf>
    <xf numFmtId="4" fontId="1" fillId="39" borderId="34" xfId="0" applyNumberFormat="1" applyFont="1" applyFill="1" applyBorder="1" applyAlignment="1">
      <alignment horizontal="right"/>
    </xf>
    <xf numFmtId="4" fontId="0" fillId="39" borderId="38" xfId="0" applyNumberFormat="1" applyFont="1" applyFill="1" applyBorder="1" applyAlignment="1">
      <alignment horizontal="right"/>
    </xf>
    <xf numFmtId="0" fontId="1" fillId="39" borderId="26" xfId="0" applyFont="1" applyFill="1" applyBorder="1" applyAlignment="1">
      <alignment horizontal="center" vertical="center" wrapText="1"/>
    </xf>
    <xf numFmtId="4" fontId="1" fillId="39" borderId="24" xfId="0" applyNumberFormat="1" applyFont="1" applyFill="1" applyBorder="1" applyAlignment="1">
      <alignment horizontal="right"/>
    </xf>
    <xf numFmtId="4" fontId="1" fillId="39" borderId="26" xfId="0" applyNumberFormat="1" applyFont="1" applyFill="1" applyBorder="1" applyAlignment="1">
      <alignment horizontal="right"/>
    </xf>
    <xf numFmtId="4" fontId="1" fillId="39" borderId="20" xfId="0" applyNumberFormat="1" applyFont="1" applyFill="1" applyBorder="1" applyAlignment="1">
      <alignment horizontal="right" wrapText="1"/>
    </xf>
    <xf numFmtId="4" fontId="1" fillId="39" borderId="20" xfId="0" applyNumberFormat="1" applyFont="1" applyFill="1" applyBorder="1" applyAlignment="1">
      <alignment horizontal="right"/>
    </xf>
    <xf numFmtId="0" fontId="1" fillId="39" borderId="48" xfId="0" applyFont="1" applyFill="1" applyBorder="1" applyAlignment="1">
      <alignment horizontal="center" vertical="center" wrapText="1"/>
    </xf>
    <xf numFmtId="0" fontId="1" fillId="39" borderId="49" xfId="0" applyFont="1" applyFill="1" applyBorder="1" applyAlignment="1">
      <alignment horizontal="center" vertical="center" wrapText="1"/>
    </xf>
    <xf numFmtId="2" fontId="1" fillId="39" borderId="13" xfId="0" applyNumberFormat="1" applyFont="1" applyFill="1" applyBorder="1" applyAlignment="1">
      <alignment horizontal="center" vertical="center" textRotation="90" wrapText="1"/>
    </xf>
    <xf numFmtId="0" fontId="1" fillId="39" borderId="5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10" fillId="0" borderId="0" xfId="0" applyFont="1" applyFill="1" applyAlignment="1">
      <alignment/>
    </xf>
    <xf numFmtId="0" fontId="1" fillId="0" borderId="47" xfId="0" applyFont="1" applyFill="1" applyBorder="1" applyAlignment="1">
      <alignment horizontal="center" vertical="center" wrapText="1"/>
    </xf>
    <xf numFmtId="4" fontId="1" fillId="0" borderId="46" xfId="0" applyNumberFormat="1" applyFont="1" applyFill="1" applyBorder="1" applyAlignment="1">
      <alignment horizontal="right"/>
    </xf>
    <xf numFmtId="4" fontId="1" fillId="0" borderId="44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0" xfId="0" applyNumberFormat="1" applyFont="1" applyFill="1" applyBorder="1" applyAlignment="1">
      <alignment horizontal="center"/>
    </xf>
    <xf numFmtId="4" fontId="0" fillId="37" borderId="17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36" borderId="24" xfId="0" applyNumberFormat="1" applyFont="1" applyFill="1" applyBorder="1" applyAlignment="1">
      <alignment/>
    </xf>
    <xf numFmtId="4" fontId="0" fillId="39" borderId="2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0" fillId="0" borderId="51" xfId="0" applyNumberFormat="1" applyFont="1" applyFill="1" applyBorder="1" applyAlignment="1">
      <alignment horizontal="center"/>
    </xf>
    <xf numFmtId="4" fontId="13" fillId="0" borderId="24" xfId="0" applyNumberFormat="1" applyFont="1" applyFill="1" applyBorder="1" applyAlignment="1">
      <alignment horizontal="center"/>
    </xf>
    <xf numFmtId="4" fontId="0" fillId="37" borderId="12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52" xfId="0" applyNumberFormat="1" applyFont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2" fontId="0" fillId="33" borderId="1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4" fontId="0" fillId="0" borderId="52" xfId="0" applyNumberFormat="1" applyFont="1" applyFill="1" applyBorder="1" applyAlignment="1">
      <alignment horizontal="center"/>
    </xf>
    <xf numFmtId="4" fontId="0" fillId="37" borderId="38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37" borderId="38" xfId="0" applyFont="1" applyFill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36" xfId="0" applyFont="1" applyBorder="1" applyAlignment="1">
      <alignment wrapText="1"/>
    </xf>
    <xf numFmtId="4" fontId="0" fillId="36" borderId="10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37" borderId="38" xfId="0" applyFont="1" applyFill="1" applyBorder="1" applyAlignment="1">
      <alignment/>
    </xf>
    <xf numFmtId="0" fontId="14" fillId="0" borderId="28" xfId="0" applyFont="1" applyBorder="1" applyAlignment="1">
      <alignment wrapText="1"/>
    </xf>
    <xf numFmtId="2" fontId="6" fillId="33" borderId="16" xfId="0" applyNumberFormat="1" applyFont="1" applyFill="1" applyBorder="1" applyAlignment="1">
      <alignment horizontal="center"/>
    </xf>
    <xf numFmtId="0" fontId="2" fillId="0" borderId="53" xfId="0" applyFont="1" applyBorder="1" applyAlignment="1">
      <alignment wrapText="1"/>
    </xf>
    <xf numFmtId="0" fontId="2" fillId="37" borderId="12" xfId="0" applyFont="1" applyFill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7" borderId="12" xfId="0" applyFont="1" applyFill="1" applyBorder="1" applyAlignment="1">
      <alignment wrapText="1"/>
    </xf>
    <xf numFmtId="4" fontId="2" fillId="33" borderId="39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24" xfId="0" applyNumberFormat="1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54" xfId="0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/>
    </xf>
    <xf numFmtId="0" fontId="1" fillId="0" borderId="29" xfId="0" applyFont="1" applyFill="1" applyBorder="1" applyAlignment="1">
      <alignment horizontal="right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" fontId="1" fillId="0" borderId="55" xfId="0" applyNumberFormat="1" applyFont="1" applyFill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textRotation="90" wrapText="1"/>
    </xf>
    <xf numFmtId="0" fontId="1" fillId="0" borderId="57" xfId="0" applyFont="1" applyFill="1" applyBorder="1" applyAlignment="1">
      <alignment horizontal="center" textRotation="90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4" fontId="2" fillId="0" borderId="15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17" xfId="0" applyNumberFormat="1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" fontId="0" fillId="0" borderId="28" xfId="0" applyNumberFormat="1" applyFont="1" applyBorder="1" applyAlignment="1">
      <alignment horizontal="center"/>
    </xf>
    <xf numFmtId="4" fontId="2" fillId="0" borderId="12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2" fontId="0" fillId="0" borderId="17" xfId="0" applyNumberFormat="1" applyBorder="1" applyAlignment="1">
      <alignment horizontal="center"/>
    </xf>
    <xf numFmtId="4" fontId="0" fillId="0" borderId="19" xfId="0" applyNumberFormat="1" applyFont="1" applyFill="1" applyBorder="1" applyAlignment="1">
      <alignment horizontal="right" wrapText="1"/>
    </xf>
    <xf numFmtId="4" fontId="2" fillId="0" borderId="19" xfId="34" applyNumberFormat="1" applyFont="1" applyFill="1" applyBorder="1" applyAlignment="1">
      <alignment horizontal="right" vertical="center" wrapText="1"/>
      <protection/>
    </xf>
    <xf numFmtId="4" fontId="0" fillId="0" borderId="19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/>
    </xf>
    <xf numFmtId="4" fontId="1" fillId="0" borderId="55" xfId="0" applyNumberFormat="1" applyFont="1" applyFill="1" applyBorder="1" applyAlignment="1">
      <alignment horizontal="right"/>
    </xf>
    <xf numFmtId="4" fontId="1" fillId="0" borderId="49" xfId="0" applyNumberFormat="1" applyFont="1" applyFill="1" applyBorder="1" applyAlignment="1">
      <alignment horizontal="right"/>
    </xf>
    <xf numFmtId="4" fontId="0" fillId="0" borderId="6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35" borderId="47" xfId="0" applyNumberFormat="1" applyFont="1" applyFill="1" applyBorder="1" applyAlignment="1">
      <alignment horizontal="center" vertical="center" wrapText="1"/>
    </xf>
    <xf numFmtId="2" fontId="1" fillId="35" borderId="27" xfId="0" applyNumberFormat="1" applyFont="1" applyFill="1" applyBorder="1" applyAlignment="1">
      <alignment horizontal="center" vertical="center" wrapText="1"/>
    </xf>
    <xf numFmtId="2" fontId="1" fillId="34" borderId="62" xfId="0" applyNumberFormat="1" applyFont="1" applyFill="1" applyBorder="1" applyAlignment="1">
      <alignment horizontal="center" vertical="center" wrapText="1"/>
    </xf>
    <xf numFmtId="2" fontId="1" fillId="34" borderId="63" xfId="0" applyNumberFormat="1" applyFont="1" applyFill="1" applyBorder="1" applyAlignment="1">
      <alignment horizontal="center" vertical="center" wrapText="1"/>
    </xf>
    <xf numFmtId="2" fontId="1" fillId="34" borderId="47" xfId="0" applyNumberFormat="1" applyFont="1" applyFill="1" applyBorder="1" applyAlignment="1">
      <alignment horizontal="center" vertical="center" wrapText="1"/>
    </xf>
    <xf numFmtId="2" fontId="1" fillId="34" borderId="27" xfId="0" applyNumberFormat="1" applyFont="1" applyFill="1" applyBorder="1" applyAlignment="1">
      <alignment horizontal="center" vertical="center" wrapText="1"/>
    </xf>
    <xf numFmtId="2" fontId="1" fillId="35" borderId="46" xfId="0" applyNumberFormat="1" applyFont="1" applyFill="1" applyBorder="1" applyAlignment="1">
      <alignment horizontal="center" vertical="center" wrapText="1"/>
    </xf>
    <xf numFmtId="2" fontId="1" fillId="35" borderId="55" xfId="0" applyNumberFormat="1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33" borderId="25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textRotation="90"/>
    </xf>
    <xf numFmtId="0" fontId="1" fillId="34" borderId="14" xfId="0" applyFont="1" applyFill="1" applyBorder="1" applyAlignment="1">
      <alignment horizontal="center" textRotation="9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2" fontId="1" fillId="39" borderId="24" xfId="0" applyNumberFormat="1" applyFont="1" applyFill="1" applyBorder="1" applyAlignment="1">
      <alignment horizontal="center" vertical="center" textRotation="90" wrapText="1"/>
    </xf>
    <xf numFmtId="2" fontId="1" fillId="39" borderId="66" xfId="0" applyNumberFormat="1" applyFont="1" applyFill="1" applyBorder="1" applyAlignment="1">
      <alignment horizontal="center" vertical="center" textRotation="90" wrapText="1"/>
    </xf>
    <xf numFmtId="2" fontId="1" fillId="0" borderId="28" xfId="0" applyNumberFormat="1" applyFont="1" applyFill="1" applyBorder="1" applyAlignment="1">
      <alignment horizontal="center" vertical="center" textRotation="90" wrapText="1"/>
    </xf>
    <xf numFmtId="2" fontId="1" fillId="0" borderId="32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46" xfId="0" applyNumberFormat="1" applyFont="1" applyFill="1" applyBorder="1" applyAlignment="1">
      <alignment horizontal="center" vertical="center" textRotation="90" wrapText="1"/>
    </xf>
    <xf numFmtId="2" fontId="1" fillId="39" borderId="33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1" fillId="0" borderId="64" xfId="0" applyNumberFormat="1" applyFont="1" applyFill="1" applyBorder="1" applyAlignment="1">
      <alignment horizontal="center" vertical="center" textRotation="90" wrapText="1"/>
    </xf>
    <xf numFmtId="4" fontId="1" fillId="0" borderId="38" xfId="0" applyNumberFormat="1" applyFont="1" applyFill="1" applyBorder="1" applyAlignment="1">
      <alignment horizontal="center" vertical="center" textRotation="90" wrapText="1"/>
    </xf>
    <xf numFmtId="4" fontId="1" fillId="0" borderId="65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46" xfId="0" applyNumberFormat="1" applyFont="1" applyFill="1" applyBorder="1" applyAlignment="1">
      <alignment horizontal="center" vertical="center" textRotation="90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2" fontId="1" fillId="39" borderId="12" xfId="0" applyNumberFormat="1" applyFont="1" applyFill="1" applyBorder="1" applyAlignment="1">
      <alignment horizontal="center" vertical="center" wrapText="1"/>
    </xf>
    <xf numFmtId="2" fontId="1" fillId="39" borderId="60" xfId="0" applyNumberFormat="1" applyFont="1" applyFill="1" applyBorder="1" applyAlignment="1">
      <alignment horizontal="center" vertical="center" wrapText="1"/>
    </xf>
    <xf numFmtId="0" fontId="1" fillId="39" borderId="68" xfId="0" applyFont="1" applyFill="1" applyBorder="1" applyAlignment="1">
      <alignment horizontal="center" wrapText="1"/>
    </xf>
    <xf numFmtId="0" fontId="1" fillId="39" borderId="67" xfId="0" applyFont="1" applyFill="1" applyBorder="1" applyAlignment="1">
      <alignment horizontal="center" wrapText="1"/>
    </xf>
    <xf numFmtId="0" fontId="1" fillId="39" borderId="69" xfId="0" applyFont="1" applyFill="1" applyBorder="1" applyAlignment="1">
      <alignment horizontal="center" wrapText="1"/>
    </xf>
    <xf numFmtId="0" fontId="1" fillId="39" borderId="70" xfId="0" applyFont="1" applyFill="1" applyBorder="1" applyAlignment="1">
      <alignment horizontal="center" wrapText="1"/>
    </xf>
    <xf numFmtId="0" fontId="1" fillId="39" borderId="0" xfId="0" applyFont="1" applyFill="1" applyBorder="1" applyAlignment="1">
      <alignment horizontal="center" wrapText="1"/>
    </xf>
    <xf numFmtId="0" fontId="1" fillId="39" borderId="3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4" fontId="1" fillId="0" borderId="61" xfId="0" applyNumberFormat="1" applyFont="1" applyFill="1" applyBorder="1" applyAlignment="1">
      <alignment horizontal="center" vertical="center" textRotation="90" wrapText="1"/>
    </xf>
    <xf numFmtId="4" fontId="1" fillId="0" borderId="12" xfId="0" applyNumberFormat="1" applyFont="1" applyFill="1" applyBorder="1" applyAlignment="1">
      <alignment horizontal="center" vertical="center" textRotation="90" wrapText="1"/>
    </xf>
    <xf numFmtId="4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1" fillId="0" borderId="72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11" fillId="0" borderId="47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74" xfId="0" applyNumberFormat="1" applyFont="1" applyFill="1" applyBorder="1" applyAlignment="1">
      <alignment horizontal="center" vertical="center" wrapText="1"/>
    </xf>
    <xf numFmtId="2" fontId="1" fillId="36" borderId="47" xfId="0" applyNumberFormat="1" applyFont="1" applyFill="1" applyBorder="1" applyAlignment="1">
      <alignment horizontal="center" vertical="center" wrapText="1"/>
    </xf>
    <xf numFmtId="2" fontId="1" fillId="36" borderId="27" xfId="0" applyNumberFormat="1" applyFont="1" applyFill="1" applyBorder="1" applyAlignment="1">
      <alignment horizontal="center" vertical="center" wrapText="1"/>
    </xf>
    <xf numFmtId="2" fontId="1" fillId="0" borderId="62" xfId="0" applyNumberFormat="1" applyFont="1" applyFill="1" applyBorder="1" applyAlignment="1">
      <alignment horizontal="center" vertical="center" wrapText="1"/>
    </xf>
    <xf numFmtId="2" fontId="1" fillId="0" borderId="63" xfId="0" applyNumberFormat="1" applyFont="1" applyFill="1" applyBorder="1" applyAlignment="1">
      <alignment horizontal="center" vertical="center" wrapText="1"/>
    </xf>
    <xf numFmtId="2" fontId="1" fillId="0" borderId="47" xfId="0" applyNumberFormat="1" applyFont="1" applyBorder="1" applyAlignment="1">
      <alignment horizontal="center" vertical="center" wrapText="1"/>
    </xf>
    <xf numFmtId="2" fontId="1" fillId="0" borderId="27" xfId="0" applyNumberFormat="1" applyFont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75" xfId="0" applyNumberFormat="1" applyFont="1" applyFill="1" applyBorder="1" applyAlignment="1">
      <alignment horizontal="center" vertical="center" wrapText="1"/>
    </xf>
    <xf numFmtId="2" fontId="1" fillId="33" borderId="62" xfId="0" applyNumberFormat="1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2" fontId="1" fillId="0" borderId="75" xfId="0" applyNumberFormat="1" applyFont="1" applyFill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76" xfId="0" applyNumberFormat="1" applyFont="1" applyBorder="1" applyAlignment="1">
      <alignment horizontal="center" vertical="center" wrapText="1"/>
    </xf>
    <xf numFmtId="2" fontId="1" fillId="0" borderId="56" xfId="0" applyNumberFormat="1" applyFont="1" applyBorder="1" applyAlignment="1">
      <alignment horizontal="center" vertical="center" wrapText="1"/>
    </xf>
    <xf numFmtId="0" fontId="1" fillId="40" borderId="67" xfId="0" applyFont="1" applyFill="1" applyBorder="1" applyAlignment="1">
      <alignment horizontal="center" vertical="center" wrapText="1"/>
    </xf>
    <xf numFmtId="0" fontId="1" fillId="40" borderId="0" xfId="0" applyFont="1" applyFill="1" applyBorder="1" applyAlignment="1">
      <alignment horizontal="center" vertical="center" wrapText="1"/>
    </xf>
    <xf numFmtId="0" fontId="1" fillId="40" borderId="22" xfId="0" applyFont="1" applyFill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textRotation="90"/>
    </xf>
    <xf numFmtId="0" fontId="1" fillId="0" borderId="27" xfId="0" applyFont="1" applyFill="1" applyBorder="1" applyAlignment="1">
      <alignment horizontal="center" textRotation="90"/>
    </xf>
    <xf numFmtId="0" fontId="1" fillId="0" borderId="6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2" fontId="8" fillId="0" borderId="47" xfId="0" applyNumberFormat="1" applyFont="1" applyFill="1" applyBorder="1" applyAlignment="1">
      <alignment horizontal="center" vertical="center" wrapText="1"/>
    </xf>
    <xf numFmtId="2" fontId="8" fillId="0" borderId="78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50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77" xfId="0" applyNumberFormat="1" applyFont="1" applyBorder="1" applyAlignment="1">
      <alignment horizontal="center" vertical="center" wrapText="1"/>
    </xf>
    <xf numFmtId="0" fontId="1" fillId="40" borderId="68" xfId="0" applyFont="1" applyFill="1" applyBorder="1" applyAlignment="1">
      <alignment horizontal="center" vertical="center" wrapText="1"/>
    </xf>
    <xf numFmtId="0" fontId="1" fillId="40" borderId="70" xfId="0" applyFont="1" applyFill="1" applyBorder="1" applyAlignment="1">
      <alignment horizontal="center" vertical="center" wrapText="1"/>
    </xf>
    <xf numFmtId="0" fontId="1" fillId="40" borderId="50" xfId="0" applyFont="1" applyFill="1" applyBorder="1" applyAlignment="1">
      <alignment horizontal="center" vertical="center" wrapText="1"/>
    </xf>
    <xf numFmtId="0" fontId="1" fillId="37" borderId="47" xfId="0" applyFont="1" applyFill="1" applyBorder="1" applyAlignment="1">
      <alignment horizontal="center" textRotation="90"/>
    </xf>
    <xf numFmtId="0" fontId="1" fillId="37" borderId="27" xfId="0" applyFont="1" applyFill="1" applyBorder="1" applyAlignment="1">
      <alignment horizontal="center" textRotation="90"/>
    </xf>
    <xf numFmtId="0" fontId="1" fillId="0" borderId="70" xfId="0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4" fontId="1" fillId="0" borderId="78" xfId="0" applyNumberFormat="1" applyFont="1" applyFill="1" applyBorder="1" applyAlignment="1">
      <alignment horizontal="center" vertical="center" wrapText="1"/>
    </xf>
    <xf numFmtId="4" fontId="1" fillId="0" borderId="69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 wrapText="1"/>
    </xf>
    <xf numFmtId="4" fontId="1" fillId="33" borderId="47" xfId="0" applyNumberFormat="1" applyFont="1" applyFill="1" applyBorder="1" applyAlignment="1">
      <alignment horizontal="center" vertical="center" wrapText="1"/>
    </xf>
    <xf numFmtId="4" fontId="1" fillId="33" borderId="78" xfId="0" applyNumberFormat="1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textRotation="90" wrapText="1"/>
    </xf>
    <xf numFmtId="2" fontId="1" fillId="0" borderId="57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49" xfId="0" applyNumberFormat="1" applyFont="1" applyFill="1" applyBorder="1" applyAlignment="1">
      <alignment horizontal="center" vertical="center" textRotation="90" wrapText="1"/>
    </xf>
    <xf numFmtId="4" fontId="1" fillId="0" borderId="72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33" xfId="0" applyNumberFormat="1" applyFont="1" applyFill="1" applyBorder="1" applyAlignment="1">
      <alignment horizontal="center" vertical="center" textRotation="90" wrapText="1"/>
    </xf>
    <xf numFmtId="4" fontId="1" fillId="0" borderId="54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29" xfId="0" applyNumberFormat="1" applyFont="1" applyFill="1" applyBorder="1" applyAlignment="1">
      <alignment horizontal="center" vertical="center" textRotation="90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169" fontId="2" fillId="33" borderId="16" xfId="34" applyNumberFormat="1" applyFont="1" applyFill="1" applyBorder="1" applyAlignment="1">
      <alignment horizontal="center" vertical="center" wrapText="1"/>
      <protection/>
    </xf>
    <xf numFmtId="4" fontId="1" fillId="39" borderId="21" xfId="0" applyNumberFormat="1" applyFont="1" applyFill="1" applyBorder="1" applyAlignment="1">
      <alignment/>
    </xf>
    <xf numFmtId="0" fontId="1" fillId="39" borderId="56" xfId="0" applyFont="1" applyFill="1" applyBorder="1" applyAlignment="1">
      <alignment/>
    </xf>
    <xf numFmtId="0" fontId="1" fillId="39" borderId="55" xfId="0" applyFont="1" applyFill="1" applyBorder="1" applyAlignment="1">
      <alignment/>
    </xf>
    <xf numFmtId="0" fontId="1" fillId="39" borderId="49" xfId="0" applyFont="1" applyFill="1" applyBorder="1" applyAlignment="1">
      <alignment/>
    </xf>
    <xf numFmtId="4" fontId="1" fillId="39" borderId="49" xfId="0" applyNumberFormat="1" applyFont="1" applyFill="1" applyBorder="1" applyAlignment="1">
      <alignment/>
    </xf>
    <xf numFmtId="0" fontId="0" fillId="39" borderId="24" xfId="0" applyFont="1" applyFill="1" applyBorder="1" applyAlignment="1">
      <alignment/>
    </xf>
    <xf numFmtId="4" fontId="1" fillId="39" borderId="16" xfId="0" applyNumberFormat="1" applyFont="1" applyFill="1" applyBorder="1" applyAlignment="1">
      <alignment horizontal="right"/>
    </xf>
    <xf numFmtId="4" fontId="1" fillId="39" borderId="17" xfId="0" applyNumberFormat="1" applyFont="1" applyFill="1" applyBorder="1" applyAlignment="1">
      <alignment/>
    </xf>
    <xf numFmtId="0" fontId="32" fillId="0" borderId="10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4" fontId="2" fillId="37" borderId="12" xfId="0" applyNumberFormat="1" applyFont="1" applyFill="1" applyBorder="1" applyAlignment="1">
      <alignment wrapText="1"/>
    </xf>
    <xf numFmtId="4" fontId="0" fillId="33" borderId="16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4" fontId="0" fillId="41" borderId="12" xfId="0" applyNumberFormat="1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895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олн (2)"/>
      <sheetName val="2011 печат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N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25390625" style="2" customWidth="1"/>
    <col min="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7" width="9.125" style="2" customWidth="1"/>
    <col min="28" max="28" width="10.125" style="2" bestFit="1" customWidth="1"/>
    <col min="29" max="29" width="11.375" style="2" customWidth="1"/>
    <col min="30" max="45" width="9.125" style="2" customWidth="1"/>
    <col min="46" max="46" width="10.625" style="2" customWidth="1"/>
    <col min="47" max="48" width="9.125" style="2" customWidth="1"/>
    <col min="49" max="49" width="9.875" style="2" customWidth="1"/>
    <col min="50" max="50" width="10.375" style="2" customWidth="1"/>
    <col min="51" max="51" width="10.75390625" style="2" customWidth="1"/>
    <col min="52" max="52" width="14.00390625" style="2" customWidth="1"/>
    <col min="53" max="53" width="9.125" style="2" customWidth="1"/>
    <col min="54" max="54" width="10.375" style="2" customWidth="1"/>
    <col min="55" max="55" width="10.875" style="2" customWidth="1"/>
    <col min="56" max="56" width="10.375" style="2" customWidth="1"/>
    <col min="57" max="16384" width="9.125" style="2" customWidth="1"/>
  </cols>
  <sheetData>
    <row r="1" spans="1:18" ht="12.75">
      <c r="A1" s="373" t="s">
        <v>50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6" s="26" customFormat="1" ht="13.5" customHeight="1">
      <c r="A3" s="374" t="s">
        <v>0</v>
      </c>
      <c r="B3" s="377" t="s">
        <v>1</v>
      </c>
      <c r="C3" s="377" t="s">
        <v>2</v>
      </c>
      <c r="D3" s="377" t="s">
        <v>3</v>
      </c>
      <c r="E3" s="380" t="s">
        <v>4</v>
      </c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70" t="s">
        <v>5</v>
      </c>
      <c r="T3" s="370"/>
      <c r="U3" s="371" t="s">
        <v>6</v>
      </c>
      <c r="V3" s="371"/>
      <c r="W3" s="371"/>
      <c r="X3" s="371"/>
      <c r="Y3" s="371"/>
      <c r="Z3" s="371"/>
      <c r="AA3" s="371"/>
      <c r="AB3" s="371"/>
      <c r="AC3" s="364" t="s">
        <v>7</v>
      </c>
      <c r="AD3" s="364" t="s">
        <v>26</v>
      </c>
      <c r="AE3" s="364" t="s">
        <v>27</v>
      </c>
      <c r="AF3" s="54"/>
      <c r="AG3" s="363" t="s">
        <v>8</v>
      </c>
      <c r="AH3" s="363"/>
      <c r="AI3" s="363"/>
      <c r="AJ3" s="363"/>
      <c r="AK3" s="363"/>
      <c r="AL3" s="363"/>
      <c r="AM3" s="363"/>
      <c r="AN3" s="363"/>
      <c r="AO3" s="363"/>
      <c r="AP3" s="363"/>
      <c r="AQ3" s="363"/>
      <c r="AR3" s="363"/>
      <c r="AS3" s="363"/>
      <c r="AT3" s="363"/>
      <c r="AU3" s="363"/>
      <c r="AV3" s="363"/>
      <c r="AW3" s="363"/>
      <c r="AX3" s="363"/>
      <c r="AY3" s="363"/>
      <c r="AZ3" s="363"/>
      <c r="BA3" s="363"/>
      <c r="BB3" s="363"/>
      <c r="BC3" s="344" t="s">
        <v>55</v>
      </c>
      <c r="BD3" s="347" t="s">
        <v>54</v>
      </c>
    </row>
    <row r="4" spans="1:56" s="26" customFormat="1" ht="36" customHeight="1" thickBot="1">
      <c r="A4" s="375"/>
      <c r="B4" s="378"/>
      <c r="C4" s="378"/>
      <c r="D4" s="378"/>
      <c r="E4" s="369" t="s">
        <v>9</v>
      </c>
      <c r="F4" s="369"/>
      <c r="G4" s="369" t="s">
        <v>10</v>
      </c>
      <c r="H4" s="369"/>
      <c r="I4" s="369" t="s">
        <v>11</v>
      </c>
      <c r="J4" s="369"/>
      <c r="K4" s="369" t="s">
        <v>12</v>
      </c>
      <c r="L4" s="369"/>
      <c r="M4" s="369" t="s">
        <v>13</v>
      </c>
      <c r="N4" s="369"/>
      <c r="O4" s="369" t="s">
        <v>14</v>
      </c>
      <c r="P4" s="369"/>
      <c r="Q4" s="369" t="s">
        <v>15</v>
      </c>
      <c r="R4" s="369"/>
      <c r="S4" s="369"/>
      <c r="T4" s="369"/>
      <c r="U4" s="372"/>
      <c r="V4" s="372"/>
      <c r="W4" s="372"/>
      <c r="X4" s="372"/>
      <c r="Y4" s="372"/>
      <c r="Z4" s="372"/>
      <c r="AA4" s="372"/>
      <c r="AB4" s="372"/>
      <c r="AC4" s="365"/>
      <c r="AD4" s="365"/>
      <c r="AE4" s="365"/>
      <c r="AF4" s="52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45"/>
      <c r="BD4" s="348"/>
    </row>
    <row r="5" spans="1:56" s="26" customFormat="1" ht="29.25" customHeight="1" thickBot="1">
      <c r="A5" s="375"/>
      <c r="B5" s="378"/>
      <c r="C5" s="378"/>
      <c r="D5" s="378"/>
      <c r="E5" s="367" t="s">
        <v>16</v>
      </c>
      <c r="F5" s="367" t="s">
        <v>17</v>
      </c>
      <c r="G5" s="367" t="s">
        <v>16</v>
      </c>
      <c r="H5" s="367" t="s">
        <v>17</v>
      </c>
      <c r="I5" s="367" t="s">
        <v>16</v>
      </c>
      <c r="J5" s="367" t="s">
        <v>17</v>
      </c>
      <c r="K5" s="367" t="s">
        <v>16</v>
      </c>
      <c r="L5" s="367" t="s">
        <v>17</v>
      </c>
      <c r="M5" s="367" t="s">
        <v>16</v>
      </c>
      <c r="N5" s="367" t="s">
        <v>17</v>
      </c>
      <c r="O5" s="367" t="s">
        <v>16</v>
      </c>
      <c r="P5" s="367" t="s">
        <v>17</v>
      </c>
      <c r="Q5" s="367" t="s">
        <v>16</v>
      </c>
      <c r="R5" s="367" t="s">
        <v>17</v>
      </c>
      <c r="S5" s="367" t="s">
        <v>16</v>
      </c>
      <c r="T5" s="367" t="s">
        <v>17</v>
      </c>
      <c r="U5" s="365" t="s">
        <v>18</v>
      </c>
      <c r="V5" s="365" t="s">
        <v>19</v>
      </c>
      <c r="W5" s="365" t="s">
        <v>20</v>
      </c>
      <c r="X5" s="365" t="s">
        <v>21</v>
      </c>
      <c r="Y5" s="365" t="s">
        <v>22</v>
      </c>
      <c r="Z5" s="365" t="s">
        <v>23</v>
      </c>
      <c r="AA5" s="365" t="s">
        <v>24</v>
      </c>
      <c r="AB5" s="365" t="s">
        <v>25</v>
      </c>
      <c r="AC5" s="365"/>
      <c r="AD5" s="365"/>
      <c r="AE5" s="365"/>
      <c r="AF5" s="52"/>
      <c r="AG5" s="353" t="s">
        <v>28</v>
      </c>
      <c r="AH5" s="353" t="s">
        <v>29</v>
      </c>
      <c r="AI5" s="353" t="s">
        <v>30</v>
      </c>
      <c r="AJ5" s="353" t="s">
        <v>31</v>
      </c>
      <c r="AK5" s="353" t="s">
        <v>32</v>
      </c>
      <c r="AL5" s="353" t="s">
        <v>31</v>
      </c>
      <c r="AM5" s="353" t="s">
        <v>33</v>
      </c>
      <c r="AN5" s="353" t="s">
        <v>31</v>
      </c>
      <c r="AO5" s="353" t="s">
        <v>34</v>
      </c>
      <c r="AP5" s="353" t="s">
        <v>31</v>
      </c>
      <c r="AQ5" s="361" t="s">
        <v>70</v>
      </c>
      <c r="AR5" s="355" t="s">
        <v>31</v>
      </c>
      <c r="AS5" s="357" t="s">
        <v>79</v>
      </c>
      <c r="AT5" s="359" t="s">
        <v>80</v>
      </c>
      <c r="AU5" s="359" t="s">
        <v>31</v>
      </c>
      <c r="AV5" s="350" t="s">
        <v>72</v>
      </c>
      <c r="AW5" s="351"/>
      <c r="AX5" s="352"/>
      <c r="AY5" s="353" t="s">
        <v>15</v>
      </c>
      <c r="AZ5" s="353" t="s">
        <v>36</v>
      </c>
      <c r="BA5" s="353" t="s">
        <v>31</v>
      </c>
      <c r="BB5" s="353" t="s">
        <v>37</v>
      </c>
      <c r="BC5" s="345"/>
      <c r="BD5" s="348"/>
    </row>
    <row r="6" spans="1:56" s="26" customFormat="1" ht="54" customHeight="1" thickBot="1">
      <c r="A6" s="376"/>
      <c r="B6" s="379"/>
      <c r="C6" s="379"/>
      <c r="D6" s="379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53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62"/>
      <c r="AR6" s="356"/>
      <c r="AS6" s="358"/>
      <c r="AT6" s="360"/>
      <c r="AU6" s="360"/>
      <c r="AV6" s="57" t="s">
        <v>73</v>
      </c>
      <c r="AW6" s="57" t="s">
        <v>74</v>
      </c>
      <c r="AX6" s="57" t="s">
        <v>75</v>
      </c>
      <c r="AY6" s="354"/>
      <c r="AZ6" s="354"/>
      <c r="BA6" s="354"/>
      <c r="BB6" s="354"/>
      <c r="BC6" s="346"/>
      <c r="BD6" s="349"/>
    </row>
    <row r="7" spans="1:56" s="26" customFormat="1" ht="12.75">
      <c r="A7" s="15">
        <v>1</v>
      </c>
      <c r="B7" s="16">
        <v>2</v>
      </c>
      <c r="C7" s="15">
        <v>3</v>
      </c>
      <c r="D7" s="16">
        <v>4</v>
      </c>
      <c r="E7" s="15">
        <v>5</v>
      </c>
      <c r="F7" s="16">
        <v>6</v>
      </c>
      <c r="G7" s="15">
        <v>7</v>
      </c>
      <c r="H7" s="16">
        <v>8</v>
      </c>
      <c r="I7" s="15">
        <v>9</v>
      </c>
      <c r="J7" s="16">
        <v>10</v>
      </c>
      <c r="K7" s="15">
        <v>11</v>
      </c>
      <c r="L7" s="16">
        <v>12</v>
      </c>
      <c r="M7" s="15">
        <v>13</v>
      </c>
      <c r="N7" s="16">
        <v>14</v>
      </c>
      <c r="O7" s="15">
        <v>15</v>
      </c>
      <c r="P7" s="16">
        <v>16</v>
      </c>
      <c r="Q7" s="15">
        <v>17</v>
      </c>
      <c r="R7" s="16">
        <v>18</v>
      </c>
      <c r="S7" s="15">
        <v>19</v>
      </c>
      <c r="T7" s="16">
        <v>20</v>
      </c>
      <c r="U7" s="15">
        <v>21</v>
      </c>
      <c r="V7" s="16">
        <v>22</v>
      </c>
      <c r="W7" s="15">
        <v>23</v>
      </c>
      <c r="X7" s="16">
        <v>24</v>
      </c>
      <c r="Y7" s="15">
        <v>25</v>
      </c>
      <c r="Z7" s="16">
        <v>26</v>
      </c>
      <c r="AA7" s="15">
        <v>27</v>
      </c>
      <c r="AB7" s="16">
        <v>28</v>
      </c>
      <c r="AC7" s="15">
        <v>29</v>
      </c>
      <c r="AD7" s="16">
        <v>30</v>
      </c>
      <c r="AE7" s="15">
        <v>31</v>
      </c>
      <c r="AF7" s="16">
        <v>32</v>
      </c>
      <c r="AG7" s="15">
        <v>33</v>
      </c>
      <c r="AH7" s="16">
        <v>34</v>
      </c>
      <c r="AI7" s="15">
        <v>35</v>
      </c>
      <c r="AJ7" s="16">
        <v>36</v>
      </c>
      <c r="AK7" s="15">
        <v>37</v>
      </c>
      <c r="AL7" s="16">
        <v>38</v>
      </c>
      <c r="AM7" s="15">
        <v>39</v>
      </c>
      <c r="AN7" s="16">
        <v>40</v>
      </c>
      <c r="AO7" s="15">
        <v>41</v>
      </c>
      <c r="AP7" s="16">
        <v>42</v>
      </c>
      <c r="AQ7" s="15">
        <v>43</v>
      </c>
      <c r="AR7" s="16">
        <v>44</v>
      </c>
      <c r="AS7" s="15">
        <v>45</v>
      </c>
      <c r="AT7" s="16">
        <v>46</v>
      </c>
      <c r="AU7" s="15">
        <v>47</v>
      </c>
      <c r="AV7" s="16">
        <v>48</v>
      </c>
      <c r="AW7" s="15">
        <v>49</v>
      </c>
      <c r="AX7" s="16">
        <v>50</v>
      </c>
      <c r="AY7" s="15">
        <v>51</v>
      </c>
      <c r="AZ7" s="16">
        <v>52</v>
      </c>
      <c r="BA7" s="15">
        <v>53</v>
      </c>
      <c r="BB7" s="16">
        <v>54</v>
      </c>
      <c r="BC7" s="15">
        <v>55</v>
      </c>
      <c r="BD7" s="16">
        <v>56</v>
      </c>
    </row>
    <row r="8" spans="1:56" s="26" customFormat="1" ht="12.75" hidden="1">
      <c r="A8" s="10" t="s">
        <v>51</v>
      </c>
      <c r="B8" s="5"/>
      <c r="C8" s="5"/>
      <c r="D8" s="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35"/>
      <c r="AT8" s="35"/>
      <c r="AU8" s="35"/>
      <c r="AV8" s="5"/>
      <c r="AW8" s="5"/>
      <c r="AX8" s="5"/>
      <c r="AY8" s="5"/>
      <c r="AZ8" s="5"/>
      <c r="BA8" s="5"/>
      <c r="BB8" s="5"/>
      <c r="BC8" s="5"/>
      <c r="BD8" s="58"/>
    </row>
    <row r="9" spans="1:56" s="26" customFormat="1" ht="12.75" hidden="1">
      <c r="A9" s="62" t="s">
        <v>47</v>
      </c>
      <c r="B9" s="130">
        <v>350.5</v>
      </c>
      <c r="C9" s="131">
        <f>B9*8.65</f>
        <v>3031.8250000000003</v>
      </c>
      <c r="D9" s="32">
        <f>C9*0.24088</f>
        <v>730.3060060000001</v>
      </c>
      <c r="E9" s="41">
        <v>258.64</v>
      </c>
      <c r="F9" s="41">
        <v>29.92</v>
      </c>
      <c r="G9" s="41">
        <v>0</v>
      </c>
      <c r="H9" s="41">
        <v>0</v>
      </c>
      <c r="I9" s="41">
        <v>423.22</v>
      </c>
      <c r="J9" s="41">
        <v>48.99</v>
      </c>
      <c r="K9" s="41">
        <v>291.17</v>
      </c>
      <c r="L9" s="41">
        <v>33.66</v>
      </c>
      <c r="M9" s="41">
        <v>206.91</v>
      </c>
      <c r="N9" s="41">
        <v>23.94</v>
      </c>
      <c r="O9" s="41">
        <v>0</v>
      </c>
      <c r="P9" s="41">
        <v>0</v>
      </c>
      <c r="Q9" s="41">
        <v>0</v>
      </c>
      <c r="R9" s="41">
        <v>0</v>
      </c>
      <c r="S9" s="43">
        <f>E9+G9+I9+K9+M9+O9+Q9</f>
        <v>1179.94</v>
      </c>
      <c r="T9" s="79">
        <f>P9+N9+L9+J9+H9+F9+R9</f>
        <v>136.51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5">
        <v>0</v>
      </c>
      <c r="AA9" s="45">
        <v>0</v>
      </c>
      <c r="AB9" s="44">
        <f>SUM(U9:AA9)</f>
        <v>0</v>
      </c>
      <c r="AC9" s="132">
        <f>D9+T9+AB9</f>
        <v>866.8160060000001</v>
      </c>
      <c r="AD9" s="133">
        <f>P9+Z9</f>
        <v>0</v>
      </c>
      <c r="AE9" s="134">
        <f>R9+AA9</f>
        <v>0</v>
      </c>
      <c r="AF9" s="134"/>
      <c r="AG9" s="31">
        <f>0.6*B9</f>
        <v>210.29999999999998</v>
      </c>
      <c r="AH9" s="31">
        <f>B9*0.2*1.05826</f>
        <v>74.184026</v>
      </c>
      <c r="AI9" s="31">
        <f>0.8518*B9</f>
        <v>298.5559</v>
      </c>
      <c r="AJ9" s="31">
        <f>AI9*0.18</f>
        <v>53.740062</v>
      </c>
      <c r="AK9" s="31">
        <f>1.04*B9*0.9531</f>
        <v>347.424012</v>
      </c>
      <c r="AL9" s="31">
        <f>AK9*0.18</f>
        <v>62.53632216</v>
      </c>
      <c r="AM9" s="31">
        <f>(1.91)*B9*0.9531</f>
        <v>638.0575604999999</v>
      </c>
      <c r="AN9" s="31">
        <f>AM9*0.18</f>
        <v>114.85036088999998</v>
      </c>
      <c r="AO9" s="31"/>
      <c r="AP9" s="31">
        <f>AO9*0.18</f>
        <v>0</v>
      </c>
      <c r="AQ9" s="36"/>
      <c r="AR9" s="36"/>
      <c r="AS9" s="40">
        <v>3071.19</v>
      </c>
      <c r="AT9" s="40"/>
      <c r="AU9" s="73">
        <f>(AS9+AT9)*0.18</f>
        <v>552.8142</v>
      </c>
      <c r="AV9" s="80"/>
      <c r="AW9" s="135"/>
      <c r="AX9" s="31">
        <f>AW9*1.12*1.18</f>
        <v>0</v>
      </c>
      <c r="AY9" s="31"/>
      <c r="AZ9" s="136"/>
      <c r="BA9" s="136">
        <f>AZ9*0.18</f>
        <v>0</v>
      </c>
      <c r="BB9" s="66">
        <f>SUM(AG9:BA9)-AV9-AW9</f>
        <v>5423.65244355</v>
      </c>
      <c r="BC9" s="137">
        <f>AC9-BB9</f>
        <v>-4556.83643755</v>
      </c>
      <c r="BD9" s="139">
        <f>AB9-S9</f>
        <v>-1179.94</v>
      </c>
    </row>
    <row r="10" spans="1:56" s="26" customFormat="1" ht="12.75" hidden="1">
      <c r="A10" s="62" t="s">
        <v>48</v>
      </c>
      <c r="B10" s="130">
        <v>350.5</v>
      </c>
      <c r="C10" s="131">
        <f>B10*8.65</f>
        <v>3031.8250000000003</v>
      </c>
      <c r="D10" s="32">
        <f>C10*0.24088</f>
        <v>730.3060060000001</v>
      </c>
      <c r="E10" s="41">
        <v>258.64</v>
      </c>
      <c r="F10" s="41">
        <v>29.92</v>
      </c>
      <c r="G10" s="41">
        <v>349.15</v>
      </c>
      <c r="H10" s="41">
        <v>40.39</v>
      </c>
      <c r="I10" s="41">
        <v>423.22</v>
      </c>
      <c r="J10" s="41">
        <v>48.99</v>
      </c>
      <c r="K10" s="41">
        <v>291.17</v>
      </c>
      <c r="L10" s="41">
        <v>33.66</v>
      </c>
      <c r="M10" s="41">
        <v>206.91</v>
      </c>
      <c r="N10" s="41">
        <v>23.94</v>
      </c>
      <c r="O10" s="41">
        <v>0</v>
      </c>
      <c r="P10" s="41">
        <v>0</v>
      </c>
      <c r="Q10" s="41">
        <v>0</v>
      </c>
      <c r="R10" s="41">
        <v>0</v>
      </c>
      <c r="S10" s="43">
        <f>E10+G10+I10+K10+M10+O10+Q10</f>
        <v>1529.0900000000001</v>
      </c>
      <c r="T10" s="79">
        <f>P10+N10+L10+J10+H10+F10+R10</f>
        <v>176.90000000000003</v>
      </c>
      <c r="U10" s="43">
        <v>168.22</v>
      </c>
      <c r="V10" s="43">
        <v>0</v>
      </c>
      <c r="W10" s="43">
        <v>275.27</v>
      </c>
      <c r="X10" s="43">
        <v>189.37</v>
      </c>
      <c r="Y10" s="43">
        <v>134.58</v>
      </c>
      <c r="Z10" s="44">
        <v>0</v>
      </c>
      <c r="AA10" s="44">
        <v>0</v>
      </c>
      <c r="AB10" s="167">
        <f>SUM(U10:AA10)</f>
        <v>767.44</v>
      </c>
      <c r="AC10" s="168">
        <f>D10+T10+AB10</f>
        <v>1674.6460060000002</v>
      </c>
      <c r="AD10" s="134">
        <f>P10+Z10</f>
        <v>0</v>
      </c>
      <c r="AE10" s="134">
        <f>R10+AA10</f>
        <v>0</v>
      </c>
      <c r="AF10" s="134"/>
      <c r="AG10" s="31">
        <f>0.6*B10</f>
        <v>210.29999999999998</v>
      </c>
      <c r="AH10" s="31">
        <f>B10*0.201</f>
        <v>70.4505</v>
      </c>
      <c r="AI10" s="31">
        <f>0.8518*B10</f>
        <v>298.5559</v>
      </c>
      <c r="AJ10" s="31">
        <f>AI10*0.18</f>
        <v>53.740062</v>
      </c>
      <c r="AK10" s="31">
        <f>1.04*B10*0.9531</f>
        <v>347.424012</v>
      </c>
      <c r="AL10" s="31">
        <f>AK10*0.18</f>
        <v>62.53632216</v>
      </c>
      <c r="AM10" s="31">
        <f>(1.91)*B10*0.9531</f>
        <v>638.0575604999999</v>
      </c>
      <c r="AN10" s="31">
        <f>AM10*0.18</f>
        <v>114.85036088999998</v>
      </c>
      <c r="AO10" s="31"/>
      <c r="AP10" s="31">
        <f>AO10*0.18</f>
        <v>0</v>
      </c>
      <c r="AQ10" s="36"/>
      <c r="AR10" s="36"/>
      <c r="AS10" s="40"/>
      <c r="AT10" s="40"/>
      <c r="AU10" s="73">
        <f>(AS10+AT10)*0.18</f>
        <v>0</v>
      </c>
      <c r="AV10" s="80"/>
      <c r="AW10" s="135"/>
      <c r="AX10" s="31">
        <f>AW10*1.12*1.18</f>
        <v>0</v>
      </c>
      <c r="AY10" s="31"/>
      <c r="AZ10" s="136"/>
      <c r="BA10" s="136">
        <f>AZ10*0.18</f>
        <v>0</v>
      </c>
      <c r="BB10" s="66">
        <f>SUM(AG10:BA10)-AV10-AW10</f>
        <v>1795.91471755</v>
      </c>
      <c r="BC10" s="137">
        <f>AC10-BB10</f>
        <v>-121.26871154999981</v>
      </c>
      <c r="BD10" s="139">
        <f>AB10-S10</f>
        <v>-761.6500000000001</v>
      </c>
    </row>
    <row r="11" spans="1:56" s="26" customFormat="1" ht="12.75" hidden="1">
      <c r="A11" s="62" t="s">
        <v>49</v>
      </c>
      <c r="B11" s="130">
        <v>350.5</v>
      </c>
      <c r="C11" s="131">
        <f>B11*8.65</f>
        <v>3031.8250000000003</v>
      </c>
      <c r="D11" s="29">
        <f>C11*0.24035</f>
        <v>728.6991387500001</v>
      </c>
      <c r="E11" s="41">
        <v>238.72</v>
      </c>
      <c r="F11" s="41">
        <v>29.92</v>
      </c>
      <c r="G11" s="41">
        <v>129.07</v>
      </c>
      <c r="H11" s="41">
        <v>10.85</v>
      </c>
      <c r="I11" s="41">
        <v>668.66</v>
      </c>
      <c r="J11" s="41">
        <v>81.16</v>
      </c>
      <c r="K11" s="41">
        <v>462.46</v>
      </c>
      <c r="L11" s="41">
        <v>56.1</v>
      </c>
      <c r="M11" s="41">
        <v>190.96</v>
      </c>
      <c r="N11" s="41">
        <v>23.94</v>
      </c>
      <c r="O11" s="41">
        <v>0</v>
      </c>
      <c r="P11" s="42">
        <v>0</v>
      </c>
      <c r="Q11" s="41">
        <v>0</v>
      </c>
      <c r="R11" s="42">
        <v>0</v>
      </c>
      <c r="S11" s="43">
        <f>E11+G11+I11+K11+M11+O11+Q11</f>
        <v>1689.87</v>
      </c>
      <c r="T11" s="79">
        <f>P11+N11+L11+J11+H11+F11+R11</f>
        <v>201.96999999999997</v>
      </c>
      <c r="U11" s="43">
        <v>183.64</v>
      </c>
      <c r="V11" s="43">
        <v>247.75</v>
      </c>
      <c r="W11" s="43">
        <v>300.11</v>
      </c>
      <c r="X11" s="43">
        <v>207.01</v>
      </c>
      <c r="Y11" s="43">
        <v>146.9</v>
      </c>
      <c r="Z11" s="44">
        <v>0</v>
      </c>
      <c r="AA11" s="44">
        <v>0</v>
      </c>
      <c r="AB11" s="167">
        <f>SUM(U11:AA11)</f>
        <v>1085.41</v>
      </c>
      <c r="AC11" s="168">
        <f>D11+T11+AB11</f>
        <v>2016.07913875</v>
      </c>
      <c r="AD11" s="134">
        <f>P11+Z11</f>
        <v>0</v>
      </c>
      <c r="AE11" s="134">
        <f>R11+AA11</f>
        <v>0</v>
      </c>
      <c r="AF11" s="134"/>
      <c r="AG11" s="31">
        <f>0.6*B11</f>
        <v>210.29999999999998</v>
      </c>
      <c r="AH11" s="31">
        <f>B11*0.2*1.02524</f>
        <v>71.869324</v>
      </c>
      <c r="AI11" s="31">
        <f>0.84932*B11</f>
        <v>297.68665999999996</v>
      </c>
      <c r="AJ11" s="31">
        <f>AI11*0.18</f>
        <v>53.58359879999999</v>
      </c>
      <c r="AK11" s="31">
        <f>1.04*B11*0.95033</f>
        <v>346.4142916</v>
      </c>
      <c r="AL11" s="31">
        <f>AK11*0.18</f>
        <v>62.354572488</v>
      </c>
      <c r="AM11" s="31">
        <f>(1.91)*B11*0.95033</f>
        <v>636.2031701499999</v>
      </c>
      <c r="AN11" s="31">
        <f>AM11*0.18</f>
        <v>114.51657062699998</v>
      </c>
      <c r="AO11" s="31"/>
      <c r="AP11" s="31">
        <f>AO11*0.18</f>
        <v>0</v>
      </c>
      <c r="AQ11" s="36"/>
      <c r="AR11" s="36"/>
      <c r="AS11" s="40"/>
      <c r="AT11" s="40"/>
      <c r="AU11" s="73">
        <f>(AS11+AT11)*0.18</f>
        <v>0</v>
      </c>
      <c r="AV11" s="80"/>
      <c r="AW11" s="135"/>
      <c r="AX11" s="31">
        <f>AW11*1.12*1.18</f>
        <v>0</v>
      </c>
      <c r="AY11" s="31"/>
      <c r="AZ11" s="136"/>
      <c r="BA11" s="136">
        <f>AZ11*0.18</f>
        <v>0</v>
      </c>
      <c r="BB11" s="66">
        <f>SUM(AG11:BA11)-AV11-AW11</f>
        <v>1792.9281876649998</v>
      </c>
      <c r="BC11" s="137">
        <f>AC11-BB11</f>
        <v>223.15095108500032</v>
      </c>
      <c r="BD11" s="139">
        <f>AB11-S11</f>
        <v>-604.4599999999998</v>
      </c>
    </row>
    <row r="12" spans="1:56" s="9" customFormat="1" ht="15" customHeight="1" hidden="1">
      <c r="A12" s="11" t="s">
        <v>5</v>
      </c>
      <c r="B12" s="84"/>
      <c r="C12" s="84">
        <f>SUM(C9:C11)+C26</f>
        <v>45447.965000000004</v>
      </c>
      <c r="D12" s="84">
        <f aca="true" t="shared" si="0" ref="D12:BD12">SUM(D9:D11)</f>
        <v>2189.3111507500003</v>
      </c>
      <c r="E12" s="84">
        <f t="shared" si="0"/>
        <v>756</v>
      </c>
      <c r="F12" s="84">
        <f t="shared" si="0"/>
        <v>89.76</v>
      </c>
      <c r="G12" s="84">
        <f t="shared" si="0"/>
        <v>478.21999999999997</v>
      </c>
      <c r="H12" s="84">
        <f t="shared" si="0"/>
        <v>51.24</v>
      </c>
      <c r="I12" s="84">
        <f t="shared" si="0"/>
        <v>1515.1</v>
      </c>
      <c r="J12" s="84">
        <f t="shared" si="0"/>
        <v>179.14</v>
      </c>
      <c r="K12" s="84">
        <f t="shared" si="0"/>
        <v>1044.8</v>
      </c>
      <c r="L12" s="84">
        <f t="shared" si="0"/>
        <v>123.41999999999999</v>
      </c>
      <c r="M12" s="84">
        <f t="shared" si="0"/>
        <v>604.78</v>
      </c>
      <c r="N12" s="84">
        <f t="shared" si="0"/>
        <v>71.82000000000001</v>
      </c>
      <c r="O12" s="84">
        <f t="shared" si="0"/>
        <v>0</v>
      </c>
      <c r="P12" s="84">
        <f t="shared" si="0"/>
        <v>0</v>
      </c>
      <c r="Q12" s="84">
        <f t="shared" si="0"/>
        <v>0</v>
      </c>
      <c r="R12" s="84">
        <f t="shared" si="0"/>
        <v>0</v>
      </c>
      <c r="S12" s="85">
        <f t="shared" si="0"/>
        <v>4398.9</v>
      </c>
      <c r="T12" s="85">
        <f t="shared" si="0"/>
        <v>515.38</v>
      </c>
      <c r="U12" s="86">
        <f t="shared" si="0"/>
        <v>351.86</v>
      </c>
      <c r="V12" s="86">
        <f t="shared" si="0"/>
        <v>247.75</v>
      </c>
      <c r="W12" s="86">
        <f t="shared" si="0"/>
        <v>575.38</v>
      </c>
      <c r="X12" s="86">
        <f t="shared" si="0"/>
        <v>396.38</v>
      </c>
      <c r="Y12" s="86">
        <f t="shared" si="0"/>
        <v>281.48</v>
      </c>
      <c r="Z12" s="86">
        <f t="shared" si="0"/>
        <v>0</v>
      </c>
      <c r="AA12" s="86">
        <f t="shared" si="0"/>
        <v>0</v>
      </c>
      <c r="AB12" s="86">
        <f t="shared" si="0"/>
        <v>1852.8500000000001</v>
      </c>
      <c r="AC12" s="86">
        <f t="shared" si="0"/>
        <v>4557.54115075</v>
      </c>
      <c r="AD12" s="34">
        <f t="shared" si="0"/>
        <v>0</v>
      </c>
      <c r="AE12" s="34">
        <f t="shared" si="0"/>
        <v>0</v>
      </c>
      <c r="AF12" s="34"/>
      <c r="AG12" s="7">
        <f t="shared" si="0"/>
        <v>630.9</v>
      </c>
      <c r="AH12" s="7">
        <f t="shared" si="0"/>
        <v>216.50385</v>
      </c>
      <c r="AI12" s="7">
        <f t="shared" si="0"/>
        <v>894.79846</v>
      </c>
      <c r="AJ12" s="7">
        <f t="shared" si="0"/>
        <v>161.0637228</v>
      </c>
      <c r="AK12" s="7">
        <f t="shared" si="0"/>
        <v>1041.2623156</v>
      </c>
      <c r="AL12" s="7">
        <f t="shared" si="0"/>
        <v>187.427216808</v>
      </c>
      <c r="AM12" s="7">
        <f>SUM(AM9:AM11)</f>
        <v>1912.3182911499998</v>
      </c>
      <c r="AN12" s="7">
        <f>SUM(AN9:AN11)</f>
        <v>344.21729240699995</v>
      </c>
      <c r="AO12" s="7">
        <f t="shared" si="0"/>
        <v>0</v>
      </c>
      <c r="AP12" s="7">
        <f t="shared" si="0"/>
        <v>0</v>
      </c>
      <c r="AQ12" s="7"/>
      <c r="AR12" s="7"/>
      <c r="AS12" s="87">
        <f t="shared" si="0"/>
        <v>3071.19</v>
      </c>
      <c r="AT12" s="87">
        <f t="shared" si="0"/>
        <v>0</v>
      </c>
      <c r="AU12" s="87">
        <f t="shared" si="0"/>
        <v>552.8142</v>
      </c>
      <c r="AV12" s="7"/>
      <c r="AW12" s="7"/>
      <c r="AX12" s="7">
        <f t="shared" si="0"/>
        <v>0</v>
      </c>
      <c r="AY12" s="7">
        <f t="shared" si="0"/>
        <v>0</v>
      </c>
      <c r="AZ12" s="7">
        <f t="shared" si="0"/>
        <v>0</v>
      </c>
      <c r="BA12" s="7">
        <f t="shared" si="0"/>
        <v>0</v>
      </c>
      <c r="BB12" s="7">
        <f t="shared" si="0"/>
        <v>9012.495348765</v>
      </c>
      <c r="BC12" s="7">
        <f>SUM(BC9:BC11)</f>
        <v>-4454.954198015</v>
      </c>
      <c r="BD12" s="12">
        <f t="shared" si="0"/>
        <v>-2546.05</v>
      </c>
    </row>
    <row r="13" spans="1:56" s="26" customFormat="1" ht="15" customHeight="1" hidden="1">
      <c r="A13" s="10" t="s">
        <v>52</v>
      </c>
      <c r="B13" s="103"/>
      <c r="C13" s="142"/>
      <c r="D13" s="142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4"/>
      <c r="P13" s="145"/>
      <c r="Q13" s="71"/>
      <c r="R13" s="71"/>
      <c r="S13" s="71"/>
      <c r="T13" s="71"/>
      <c r="U13" s="146"/>
      <c r="V13" s="146"/>
      <c r="W13" s="146"/>
      <c r="X13" s="146"/>
      <c r="Y13" s="146"/>
      <c r="Z13" s="146"/>
      <c r="AA13" s="147"/>
      <c r="AB13" s="147"/>
      <c r="AC13" s="148"/>
      <c r="AD13" s="149"/>
      <c r="AE13" s="149"/>
      <c r="AF13" s="149"/>
      <c r="AG13" s="8"/>
      <c r="AH13" s="8"/>
      <c r="AI13" s="8"/>
      <c r="AJ13" s="8"/>
      <c r="AK13" s="8"/>
      <c r="AL13" s="8"/>
      <c r="AM13" s="8"/>
      <c r="AN13" s="8"/>
      <c r="AO13" s="108"/>
      <c r="AP13" s="108"/>
      <c r="AQ13" s="108"/>
      <c r="AR13" s="108"/>
      <c r="AS13" s="150"/>
      <c r="AT13" s="150"/>
      <c r="AU13" s="141"/>
      <c r="AV13" s="8"/>
      <c r="AW13" s="8"/>
      <c r="AX13" s="108"/>
      <c r="AY13" s="108"/>
      <c r="AZ13" s="108"/>
      <c r="BA13" s="8"/>
      <c r="BB13" s="8"/>
      <c r="BC13" s="8"/>
      <c r="BD13" s="139"/>
    </row>
    <row r="14" spans="1:56" s="26" customFormat="1" ht="12.75" hidden="1">
      <c r="A14" s="62" t="s">
        <v>38</v>
      </c>
      <c r="B14" s="151">
        <v>350.5</v>
      </c>
      <c r="C14" s="82">
        <f aca="true" t="shared" si="1" ref="C14:C25">B14*8.65</f>
        <v>3031.8250000000003</v>
      </c>
      <c r="D14" s="29">
        <f>C14*0.125+2325.6</f>
        <v>2704.578125</v>
      </c>
      <c r="E14" s="60">
        <v>258.64</v>
      </c>
      <c r="F14" s="60">
        <v>29.92</v>
      </c>
      <c r="G14" s="60">
        <v>94.07</v>
      </c>
      <c r="H14" s="60">
        <v>10.85</v>
      </c>
      <c r="I14" s="60">
        <v>701.47</v>
      </c>
      <c r="J14" s="60">
        <v>81.16</v>
      </c>
      <c r="K14" s="60">
        <v>484.75</v>
      </c>
      <c r="L14" s="60">
        <v>56.1</v>
      </c>
      <c r="M14" s="60">
        <v>206.91</v>
      </c>
      <c r="N14" s="60">
        <v>23.94</v>
      </c>
      <c r="O14" s="60">
        <v>3772.15</v>
      </c>
      <c r="P14" s="76">
        <v>282.12</v>
      </c>
      <c r="Q14" s="60">
        <v>0</v>
      </c>
      <c r="R14" s="76">
        <v>0</v>
      </c>
      <c r="S14" s="6">
        <f aca="true" t="shared" si="2" ref="S14:S25">E14+G14+I14+K14+M14+O14+Q14</f>
        <v>5517.99</v>
      </c>
      <c r="T14" s="61">
        <f aca="true" t="shared" si="3" ref="T14:T25">P14+N14+L14+J14+H14+F14+R14</f>
        <v>484.0900000000001</v>
      </c>
      <c r="U14" s="6">
        <v>126.06</v>
      </c>
      <c r="V14" s="6">
        <v>46.01</v>
      </c>
      <c r="W14" s="6">
        <v>341.87</v>
      </c>
      <c r="X14" s="6">
        <v>236.17</v>
      </c>
      <c r="Y14" s="6">
        <v>100.84</v>
      </c>
      <c r="Z14" s="45">
        <v>1855.64</v>
      </c>
      <c r="AA14" s="45">
        <v>0</v>
      </c>
      <c r="AB14" s="140">
        <f aca="true" t="shared" si="4" ref="AB14:AB22">SUM(U14:AA14)</f>
        <v>2706.59</v>
      </c>
      <c r="AC14" s="63">
        <f aca="true" t="shared" si="5" ref="AC14:AC22">D14+T14+AB14</f>
        <v>5895.258125</v>
      </c>
      <c r="AD14" s="83">
        <f aca="true" t="shared" si="6" ref="AD14:AD25">P14+Z14</f>
        <v>2137.76</v>
      </c>
      <c r="AE14" s="83">
        <f aca="true" t="shared" si="7" ref="AE14:AE25">R14+AA14</f>
        <v>0</v>
      </c>
      <c r="AF14" s="83"/>
      <c r="AG14" s="64">
        <f>0.6*B14*0.9</f>
        <v>189.26999999999998</v>
      </c>
      <c r="AH14" s="64">
        <f>B14*0.2*0.891</f>
        <v>62.45910000000001</v>
      </c>
      <c r="AI14" s="64">
        <f>0.85*B14*0.867-0.02</f>
        <v>258.280975</v>
      </c>
      <c r="AJ14" s="64">
        <f aca="true" t="shared" si="8" ref="AJ14:AJ25">AI14*0.18</f>
        <v>46.4905755</v>
      </c>
      <c r="AK14" s="64">
        <f>0.83*B14*0.8685</f>
        <v>252.6596775</v>
      </c>
      <c r="AL14" s="64">
        <f aca="true" t="shared" si="9" ref="AL14:AL25">AK14*0.18</f>
        <v>45.47874194999999</v>
      </c>
      <c r="AM14" s="64">
        <f>1.91*B14*0.8686</f>
        <v>581.488613</v>
      </c>
      <c r="AN14" s="64">
        <f aca="true" t="shared" si="10" ref="AN14:AN25">AM14*0.18</f>
        <v>104.66795033999999</v>
      </c>
      <c r="AO14" s="64"/>
      <c r="AP14" s="64">
        <f aca="true" t="shared" si="11" ref="AP14:AR25">AO14*0.18</f>
        <v>0</v>
      </c>
      <c r="AQ14" s="169"/>
      <c r="AR14" s="39">
        <f>AQ14*0.18</f>
        <v>0</v>
      </c>
      <c r="AS14" s="73"/>
      <c r="AT14" s="170"/>
      <c r="AU14" s="73">
        <f>(AS14+AT14)*0.18</f>
        <v>0</v>
      </c>
      <c r="AV14" s="75"/>
      <c r="AW14" s="65">
        <v>28950</v>
      </c>
      <c r="AX14" s="64"/>
      <c r="AY14" s="64"/>
      <c r="AZ14" s="66"/>
      <c r="BA14" s="66">
        <f>AZ14*0.18</f>
        <v>0</v>
      </c>
      <c r="BB14" s="66">
        <f>SUM(AG14:AU14)</f>
        <v>1540.7956332899998</v>
      </c>
      <c r="BC14" s="171">
        <f>AC14-BB14</f>
        <v>4354.462491710001</v>
      </c>
      <c r="BD14" s="139">
        <f aca="true" t="shared" si="12" ref="BD14:BD25">AB14-S14</f>
        <v>-2811.3999999999996</v>
      </c>
    </row>
    <row r="15" spans="1:56" s="26" customFormat="1" ht="12.75" hidden="1">
      <c r="A15" s="62" t="s">
        <v>39</v>
      </c>
      <c r="B15" s="151">
        <v>350.5</v>
      </c>
      <c r="C15" s="82">
        <f t="shared" si="1"/>
        <v>3031.8250000000003</v>
      </c>
      <c r="D15" s="29">
        <f>C15*0.125+2311.12</f>
        <v>2690.098125</v>
      </c>
      <c r="E15" s="60">
        <v>258.64</v>
      </c>
      <c r="F15" s="60">
        <v>29.92</v>
      </c>
      <c r="G15" s="60">
        <v>94.07</v>
      </c>
      <c r="H15" s="60">
        <v>10.85</v>
      </c>
      <c r="I15" s="60">
        <v>701.47</v>
      </c>
      <c r="J15" s="60">
        <v>81.16</v>
      </c>
      <c r="K15" s="60">
        <v>484.75</v>
      </c>
      <c r="L15" s="60">
        <v>56.1</v>
      </c>
      <c r="M15" s="60">
        <v>206.91</v>
      </c>
      <c r="N15" s="60">
        <v>23.94</v>
      </c>
      <c r="O15" s="60">
        <v>3772.15</v>
      </c>
      <c r="P15" s="76">
        <v>282.12</v>
      </c>
      <c r="Q15" s="60">
        <v>0</v>
      </c>
      <c r="R15" s="76">
        <v>0</v>
      </c>
      <c r="S15" s="6">
        <f t="shared" si="2"/>
        <v>5517.99</v>
      </c>
      <c r="T15" s="61">
        <f t="shared" si="3"/>
        <v>484.0900000000001</v>
      </c>
      <c r="U15" s="6">
        <v>365.05</v>
      </c>
      <c r="V15" s="6">
        <v>187.97</v>
      </c>
      <c r="W15" s="6">
        <v>924.15</v>
      </c>
      <c r="X15" s="6">
        <v>638.26</v>
      </c>
      <c r="Y15" s="6">
        <v>292.01</v>
      </c>
      <c r="Z15" s="45">
        <v>5614.82</v>
      </c>
      <c r="AA15" s="45">
        <v>0</v>
      </c>
      <c r="AB15" s="140">
        <f t="shared" si="4"/>
        <v>8022.26</v>
      </c>
      <c r="AC15" s="63">
        <f t="shared" si="5"/>
        <v>11196.448125</v>
      </c>
      <c r="AD15" s="83">
        <f t="shared" si="6"/>
        <v>5896.94</v>
      </c>
      <c r="AE15" s="83">
        <f t="shared" si="7"/>
        <v>0</v>
      </c>
      <c r="AF15" s="134"/>
      <c r="AG15" s="64">
        <f>0.6*B15*0.9</f>
        <v>189.26999999999998</v>
      </c>
      <c r="AH15" s="64">
        <f>B15*0.2*0.9153</f>
        <v>64.16253</v>
      </c>
      <c r="AI15" s="64">
        <f>0.85*B15*0.866</f>
        <v>258.00305000000003</v>
      </c>
      <c r="AJ15" s="64">
        <f t="shared" si="8"/>
        <v>46.440549000000004</v>
      </c>
      <c r="AK15" s="64">
        <f>0.83*B15*0.8684</f>
        <v>252.63058599999997</v>
      </c>
      <c r="AL15" s="64">
        <f t="shared" si="9"/>
        <v>45.47350547999999</v>
      </c>
      <c r="AM15" s="64">
        <f>(1.91)*B15*0.8684</f>
        <v>581.3547219999999</v>
      </c>
      <c r="AN15" s="64">
        <f t="shared" si="10"/>
        <v>104.64384995999998</v>
      </c>
      <c r="AO15" s="64"/>
      <c r="AP15" s="64">
        <f t="shared" si="11"/>
        <v>0</v>
      </c>
      <c r="AQ15" s="169"/>
      <c r="AR15" s="39">
        <f>AQ15*0.18</f>
        <v>0</v>
      </c>
      <c r="AS15" s="73"/>
      <c r="AT15" s="170"/>
      <c r="AU15" s="73">
        <f aca="true" t="shared" si="13" ref="AU15:AU21">(AS15+AT15)*0.18</f>
        <v>0</v>
      </c>
      <c r="AV15" s="75"/>
      <c r="AW15" s="65">
        <v>21000</v>
      </c>
      <c r="AX15" s="64"/>
      <c r="AY15" s="64"/>
      <c r="AZ15" s="66"/>
      <c r="BA15" s="66">
        <f>AZ15*0.18</f>
        <v>0</v>
      </c>
      <c r="BB15" s="66">
        <f>SUM(AG15:AU15)+AY15</f>
        <v>1541.9787924399998</v>
      </c>
      <c r="BC15" s="171">
        <f aca="true" t="shared" si="14" ref="BC15:BC24">AC15-BB15</f>
        <v>9654.469332560002</v>
      </c>
      <c r="BD15" s="139">
        <f t="shared" si="12"/>
        <v>2504.2700000000004</v>
      </c>
    </row>
    <row r="16" spans="1:56" s="26" customFormat="1" ht="12.75" hidden="1">
      <c r="A16" s="62" t="s">
        <v>40</v>
      </c>
      <c r="B16" s="155">
        <v>350.5</v>
      </c>
      <c r="C16" s="82">
        <f t="shared" si="1"/>
        <v>3031.8250000000003</v>
      </c>
      <c r="D16" s="29">
        <f>C16*0.125+3154.47</f>
        <v>3533.448125</v>
      </c>
      <c r="E16" s="77">
        <v>266.64</v>
      </c>
      <c r="F16" s="77">
        <v>21.92</v>
      </c>
      <c r="G16" s="77">
        <v>96.97</v>
      </c>
      <c r="H16" s="77">
        <v>7.95</v>
      </c>
      <c r="I16" s="77">
        <v>723.17</v>
      </c>
      <c r="J16" s="77">
        <v>59.46</v>
      </c>
      <c r="K16" s="77">
        <v>499.75</v>
      </c>
      <c r="L16" s="77">
        <v>41.1</v>
      </c>
      <c r="M16" s="77">
        <v>213.31</v>
      </c>
      <c r="N16" s="77">
        <v>17.54</v>
      </c>
      <c r="O16" s="77">
        <v>3829.48</v>
      </c>
      <c r="P16" s="156">
        <v>224.8</v>
      </c>
      <c r="Q16" s="77">
        <v>0</v>
      </c>
      <c r="R16" s="156">
        <v>0</v>
      </c>
      <c r="S16" s="153">
        <f t="shared" si="2"/>
        <v>5629.32</v>
      </c>
      <c r="T16" s="173">
        <f t="shared" si="3"/>
        <v>372.77</v>
      </c>
      <c r="U16" s="153">
        <v>223.85</v>
      </c>
      <c r="V16" s="153">
        <v>85.84</v>
      </c>
      <c r="W16" s="153">
        <v>592.76</v>
      </c>
      <c r="X16" s="153">
        <v>409.72</v>
      </c>
      <c r="Y16" s="153">
        <v>179.08</v>
      </c>
      <c r="Z16" s="154">
        <v>5211.99</v>
      </c>
      <c r="AA16" s="154">
        <v>0</v>
      </c>
      <c r="AB16" s="152">
        <f t="shared" si="4"/>
        <v>6703.24</v>
      </c>
      <c r="AC16" s="174">
        <f t="shared" si="5"/>
        <v>10609.458125</v>
      </c>
      <c r="AD16" s="175">
        <f t="shared" si="6"/>
        <v>5436.79</v>
      </c>
      <c r="AE16" s="175">
        <f t="shared" si="7"/>
        <v>0</v>
      </c>
      <c r="AF16" s="134"/>
      <c r="AG16" s="64">
        <f>0.6*B16*0.9</f>
        <v>189.26999999999998</v>
      </c>
      <c r="AH16" s="30">
        <f>B16*0.2*0.9082-0.01</f>
        <v>63.65482000000001</v>
      </c>
      <c r="AI16" s="64">
        <f>0.85*B16*0.8675</f>
        <v>258.44993750000003</v>
      </c>
      <c r="AJ16" s="30">
        <f t="shared" si="8"/>
        <v>46.52098875</v>
      </c>
      <c r="AK16" s="30">
        <f>0.83*B16*0.838</f>
        <v>243.78676999999996</v>
      </c>
      <c r="AL16" s="30">
        <f t="shared" si="9"/>
        <v>43.88161859999999</v>
      </c>
      <c r="AM16" s="64">
        <f>1.91*B16*0.8381</f>
        <v>561.0702354999999</v>
      </c>
      <c r="AN16" s="30">
        <f t="shared" si="10"/>
        <v>100.99264238999997</v>
      </c>
      <c r="AO16" s="30"/>
      <c r="AP16" s="30">
        <f t="shared" si="11"/>
        <v>0</v>
      </c>
      <c r="AQ16" s="169"/>
      <c r="AR16" s="39">
        <f>AQ16*0.18</f>
        <v>0</v>
      </c>
      <c r="AS16" s="170">
        <v>1273</v>
      </c>
      <c r="AT16" s="170"/>
      <c r="AU16" s="73">
        <f t="shared" si="13"/>
        <v>229.14</v>
      </c>
      <c r="AV16" s="81"/>
      <c r="AW16" s="176">
        <v>20310</v>
      </c>
      <c r="AX16" s="30"/>
      <c r="AY16" s="30"/>
      <c r="AZ16" s="177"/>
      <c r="BA16" s="177">
        <f>AZ16*0.18</f>
        <v>0</v>
      </c>
      <c r="BB16" s="66">
        <f>SUM(AG16:AU16)</f>
        <v>3009.7670127399992</v>
      </c>
      <c r="BC16" s="171">
        <f t="shared" si="14"/>
        <v>7599.6911122599995</v>
      </c>
      <c r="BD16" s="139">
        <f t="shared" si="12"/>
        <v>1073.92</v>
      </c>
    </row>
    <row r="17" spans="1:56" s="26" customFormat="1" ht="12.75" hidden="1">
      <c r="A17" s="62" t="s">
        <v>41</v>
      </c>
      <c r="B17" s="178">
        <v>350.5</v>
      </c>
      <c r="C17" s="131">
        <f t="shared" si="1"/>
        <v>3031.8250000000003</v>
      </c>
      <c r="D17" s="32">
        <f>C17*0.125+3187.16</f>
        <v>3566.138125</v>
      </c>
      <c r="E17" s="41">
        <v>266.64</v>
      </c>
      <c r="F17" s="41">
        <v>21.92</v>
      </c>
      <c r="G17" s="41">
        <v>96.97</v>
      </c>
      <c r="H17" s="41">
        <v>7.95</v>
      </c>
      <c r="I17" s="41">
        <v>723.17</v>
      </c>
      <c r="J17" s="41">
        <v>59.46</v>
      </c>
      <c r="K17" s="41">
        <v>499.75</v>
      </c>
      <c r="L17" s="41">
        <v>41.1</v>
      </c>
      <c r="M17" s="41">
        <v>213.31</v>
      </c>
      <c r="N17" s="41">
        <v>17.54</v>
      </c>
      <c r="O17" s="41">
        <v>4694.63</v>
      </c>
      <c r="P17" s="42">
        <v>275.6</v>
      </c>
      <c r="Q17" s="41">
        <v>0</v>
      </c>
      <c r="R17" s="42">
        <v>0</v>
      </c>
      <c r="S17" s="43">
        <f t="shared" si="2"/>
        <v>6494.47</v>
      </c>
      <c r="T17" s="79">
        <f t="shared" si="3"/>
        <v>423.57000000000005</v>
      </c>
      <c r="U17" s="43">
        <v>183.47</v>
      </c>
      <c r="V17" s="43">
        <v>66.8</v>
      </c>
      <c r="W17" s="43">
        <v>497.57</v>
      </c>
      <c r="X17" s="43">
        <v>343.79</v>
      </c>
      <c r="Y17" s="43">
        <v>146.77</v>
      </c>
      <c r="Z17" s="43">
        <v>2714.33</v>
      </c>
      <c r="AA17" s="43">
        <v>0</v>
      </c>
      <c r="AB17" s="167">
        <f t="shared" si="4"/>
        <v>3952.7299999999996</v>
      </c>
      <c r="AC17" s="168">
        <f t="shared" si="5"/>
        <v>7942.438125</v>
      </c>
      <c r="AD17" s="134">
        <f t="shared" si="6"/>
        <v>2989.93</v>
      </c>
      <c r="AE17" s="134">
        <f t="shared" si="7"/>
        <v>0</v>
      </c>
      <c r="AF17" s="134"/>
      <c r="AG17" s="31">
        <f>0.6*B17*0.9</f>
        <v>189.26999999999998</v>
      </c>
      <c r="AH17" s="31">
        <f>B17*0.2*0.9234</f>
        <v>64.73034000000001</v>
      </c>
      <c r="AI17" s="31">
        <f>0.85*B17*0.8934</f>
        <v>266.166195</v>
      </c>
      <c r="AJ17" s="31">
        <f t="shared" si="8"/>
        <v>47.9099151</v>
      </c>
      <c r="AK17" s="31">
        <f>0.83*B17*0.8498</f>
        <v>247.21956699999996</v>
      </c>
      <c r="AL17" s="31">
        <f t="shared" si="9"/>
        <v>44.49952205999999</v>
      </c>
      <c r="AM17" s="31">
        <f>(1.91)*B17*0.8498</f>
        <v>568.9028589999999</v>
      </c>
      <c r="AN17" s="31">
        <f t="shared" si="10"/>
        <v>102.40251461999998</v>
      </c>
      <c r="AO17" s="179">
        <v>6920.1</v>
      </c>
      <c r="AP17" s="179">
        <f t="shared" si="11"/>
        <v>1245.618</v>
      </c>
      <c r="AQ17" s="36">
        <v>448</v>
      </c>
      <c r="AR17" s="36">
        <f t="shared" si="11"/>
        <v>80.64</v>
      </c>
      <c r="AS17" s="40">
        <v>510</v>
      </c>
      <c r="AT17" s="40"/>
      <c r="AU17" s="73">
        <f t="shared" si="13"/>
        <v>91.8</v>
      </c>
      <c r="AV17" s="80"/>
      <c r="AW17" s="180">
        <v>19560</v>
      </c>
      <c r="AX17" s="31">
        <v>118706.11</v>
      </c>
      <c r="AY17" s="31"/>
      <c r="AZ17" s="136"/>
      <c r="BA17" s="136">
        <f>AZ17*0.18</f>
        <v>0</v>
      </c>
      <c r="BB17" s="136">
        <f aca="true" t="shared" si="15" ref="BB17:BB22">SUM(AG17:BA17)-AV17-AW17</f>
        <v>129533.36891278002</v>
      </c>
      <c r="BC17" s="171">
        <f t="shared" si="14"/>
        <v>-121590.93078778002</v>
      </c>
      <c r="BD17" s="139">
        <f t="shared" si="12"/>
        <v>-2541.7400000000007</v>
      </c>
    </row>
    <row r="18" spans="1:56" s="26" customFormat="1" ht="12.75" hidden="1">
      <c r="A18" s="62" t="s">
        <v>42</v>
      </c>
      <c r="B18" s="178">
        <v>350.5</v>
      </c>
      <c r="C18" s="131">
        <f t="shared" si="1"/>
        <v>3031.8250000000003</v>
      </c>
      <c r="D18" s="38">
        <f>C18-E18-F18-G18-H18-I18-J18-K18-L18-M18-N18+1510.74</f>
        <v>2260.2750000000005</v>
      </c>
      <c r="E18" s="41">
        <v>294.87</v>
      </c>
      <c r="F18" s="41">
        <v>24.66</v>
      </c>
      <c r="G18" s="41">
        <v>111.08</v>
      </c>
      <c r="H18" s="41">
        <v>9.32</v>
      </c>
      <c r="I18" s="41">
        <v>864.81</v>
      </c>
      <c r="J18" s="41">
        <v>72.34</v>
      </c>
      <c r="K18" s="41">
        <v>599.43</v>
      </c>
      <c r="L18" s="41">
        <v>50.14</v>
      </c>
      <c r="M18" s="41">
        <v>235.91</v>
      </c>
      <c r="N18" s="41">
        <v>19.73</v>
      </c>
      <c r="O18" s="41">
        <v>5257.1</v>
      </c>
      <c r="P18" s="42">
        <v>308.6</v>
      </c>
      <c r="Q18" s="41">
        <v>0</v>
      </c>
      <c r="R18" s="42">
        <v>0</v>
      </c>
      <c r="S18" s="43">
        <f t="shared" si="2"/>
        <v>7363.200000000001</v>
      </c>
      <c r="T18" s="79">
        <f t="shared" si="3"/>
        <v>484.7900000000001</v>
      </c>
      <c r="U18" s="43">
        <v>188.93</v>
      </c>
      <c r="V18" s="43">
        <v>68.81</v>
      </c>
      <c r="W18" s="43">
        <v>512.37</v>
      </c>
      <c r="X18" s="43">
        <v>354.07</v>
      </c>
      <c r="Y18" s="43">
        <v>151.16</v>
      </c>
      <c r="Z18" s="44">
        <v>3255.87</v>
      </c>
      <c r="AA18" s="44">
        <v>0</v>
      </c>
      <c r="AB18" s="167">
        <f t="shared" si="4"/>
        <v>4531.21</v>
      </c>
      <c r="AC18" s="168">
        <f t="shared" si="5"/>
        <v>7276.275000000001</v>
      </c>
      <c r="AD18" s="134">
        <f t="shared" si="6"/>
        <v>3564.47</v>
      </c>
      <c r="AE18" s="134">
        <f t="shared" si="7"/>
        <v>0</v>
      </c>
      <c r="AF18" s="134"/>
      <c r="AG18" s="31">
        <f aca="true" t="shared" si="16" ref="AG18:AG25">0.6*B18</f>
        <v>210.29999999999998</v>
      </c>
      <c r="AH18" s="31">
        <f>B18*0.2*1.01</f>
        <v>70.80100000000002</v>
      </c>
      <c r="AI18" s="31">
        <f>0.85*B18</f>
        <v>297.925</v>
      </c>
      <c r="AJ18" s="31">
        <f t="shared" si="8"/>
        <v>53.6265</v>
      </c>
      <c r="AK18" s="31">
        <f>0.83*B18</f>
        <v>290.91499999999996</v>
      </c>
      <c r="AL18" s="31">
        <f t="shared" si="9"/>
        <v>52.36469999999999</v>
      </c>
      <c r="AM18" s="31">
        <f>(1.91)*B18</f>
        <v>669.4549999999999</v>
      </c>
      <c r="AN18" s="31">
        <f t="shared" si="10"/>
        <v>120.50189999999998</v>
      </c>
      <c r="AO18" s="31"/>
      <c r="AP18" s="31">
        <f t="shared" si="11"/>
        <v>0</v>
      </c>
      <c r="AQ18" s="36"/>
      <c r="AR18" s="36">
        <f t="shared" si="11"/>
        <v>0</v>
      </c>
      <c r="AS18" s="40"/>
      <c r="AT18" s="40"/>
      <c r="AU18" s="40">
        <f t="shared" si="13"/>
        <v>0</v>
      </c>
      <c r="AV18" s="80"/>
      <c r="AW18" s="181">
        <v>9390</v>
      </c>
      <c r="AX18" s="31">
        <f aca="true" t="shared" si="17" ref="AX18:AX25">AW18*1.12*1.18</f>
        <v>12409.824</v>
      </c>
      <c r="AY18" s="31"/>
      <c r="AZ18" s="136"/>
      <c r="BA18" s="136">
        <f aca="true" t="shared" si="18" ref="BA18:BA25">AZ18*0.18</f>
        <v>0</v>
      </c>
      <c r="BB18" s="136">
        <f t="shared" si="15"/>
        <v>14175.7131</v>
      </c>
      <c r="BC18" s="171">
        <f t="shared" si="14"/>
        <v>-6899.4381</v>
      </c>
      <c r="BD18" s="139">
        <f t="shared" si="12"/>
        <v>-2831.9900000000007</v>
      </c>
    </row>
    <row r="19" spans="1:56" s="26" customFormat="1" ht="12.75" hidden="1">
      <c r="A19" s="62" t="s">
        <v>43</v>
      </c>
      <c r="B19" s="155">
        <v>350.5</v>
      </c>
      <c r="C19" s="82">
        <f t="shared" si="1"/>
        <v>3031.8250000000003</v>
      </c>
      <c r="D19" s="37">
        <f>C19-E19-F19-G19-H19-I19-J19-K19-L19-M19-N19+6230.97</f>
        <v>6980.505000000001</v>
      </c>
      <c r="E19" s="77">
        <v>294.87</v>
      </c>
      <c r="F19" s="77">
        <f>0+24.66</f>
        <v>24.66</v>
      </c>
      <c r="G19" s="77">
        <v>111.08</v>
      </c>
      <c r="H19" s="77">
        <f>0+9.32</f>
        <v>9.32</v>
      </c>
      <c r="I19" s="77">
        <v>864.81</v>
      </c>
      <c r="J19" s="77">
        <f>0+72.34</f>
        <v>72.34</v>
      </c>
      <c r="K19" s="77">
        <v>599.43</v>
      </c>
      <c r="L19" s="77">
        <f>0+50.14</f>
        <v>50.14</v>
      </c>
      <c r="M19" s="77">
        <v>235.91</v>
      </c>
      <c r="N19" s="77">
        <f>0+19.73</f>
        <v>19.73</v>
      </c>
      <c r="O19" s="77">
        <v>5257.1</v>
      </c>
      <c r="P19" s="156">
        <v>308.6</v>
      </c>
      <c r="Q19" s="77">
        <v>0</v>
      </c>
      <c r="R19" s="156">
        <v>0</v>
      </c>
      <c r="S19" s="153">
        <f t="shared" si="2"/>
        <v>7363.200000000001</v>
      </c>
      <c r="T19" s="173">
        <f t="shared" si="3"/>
        <v>484.7900000000001</v>
      </c>
      <c r="U19" s="153">
        <v>102.26</v>
      </c>
      <c r="V19" s="153">
        <v>38.31</v>
      </c>
      <c r="W19" s="153">
        <v>299.79</v>
      </c>
      <c r="X19" s="153">
        <v>207.75</v>
      </c>
      <c r="Y19" s="153">
        <v>81.8</v>
      </c>
      <c r="Z19" s="154">
        <v>1955.07</v>
      </c>
      <c r="AA19" s="154">
        <v>0</v>
      </c>
      <c r="AB19" s="152">
        <f t="shared" si="4"/>
        <v>2684.98</v>
      </c>
      <c r="AC19" s="174">
        <f t="shared" si="5"/>
        <v>10150.275000000001</v>
      </c>
      <c r="AD19" s="175">
        <f t="shared" si="6"/>
        <v>2263.67</v>
      </c>
      <c r="AE19" s="175">
        <f t="shared" si="7"/>
        <v>0</v>
      </c>
      <c r="AF19" s="134"/>
      <c r="AG19" s="30">
        <f t="shared" si="16"/>
        <v>210.29999999999998</v>
      </c>
      <c r="AH19" s="64">
        <f>B19*0.2*1.01045</f>
        <v>70.83254500000001</v>
      </c>
      <c r="AI19" s="30">
        <f>0.85*B19</f>
        <v>297.925</v>
      </c>
      <c r="AJ19" s="30">
        <f t="shared" si="8"/>
        <v>53.6265</v>
      </c>
      <c r="AK19" s="182">
        <v>0</v>
      </c>
      <c r="AL19" s="182">
        <f t="shared" si="9"/>
        <v>0</v>
      </c>
      <c r="AM19" s="64">
        <f>(1.91)*B19</f>
        <v>669.4549999999999</v>
      </c>
      <c r="AN19" s="30">
        <f t="shared" si="10"/>
        <v>120.50189999999998</v>
      </c>
      <c r="AO19" s="30"/>
      <c r="AP19" s="30">
        <f t="shared" si="11"/>
        <v>0</v>
      </c>
      <c r="AQ19" s="39"/>
      <c r="AR19" s="36">
        <f t="shared" si="11"/>
        <v>0</v>
      </c>
      <c r="AS19" s="170"/>
      <c r="AT19" s="170"/>
      <c r="AU19" s="73">
        <f t="shared" si="13"/>
        <v>0</v>
      </c>
      <c r="AV19" s="81"/>
      <c r="AW19" s="183">
        <v>0</v>
      </c>
      <c r="AX19" s="30">
        <f t="shared" si="17"/>
        <v>0</v>
      </c>
      <c r="AY19" s="30"/>
      <c r="AZ19" s="177"/>
      <c r="BA19" s="177">
        <f t="shared" si="18"/>
        <v>0</v>
      </c>
      <c r="BB19" s="177">
        <f t="shared" si="15"/>
        <v>1422.6409449999999</v>
      </c>
      <c r="BC19" s="171">
        <f t="shared" si="14"/>
        <v>8727.634055000002</v>
      </c>
      <c r="BD19" s="139">
        <f t="shared" si="12"/>
        <v>-4678.220000000001</v>
      </c>
    </row>
    <row r="20" spans="1:56" s="26" customFormat="1" ht="12.75" hidden="1">
      <c r="A20" s="62" t="s">
        <v>44</v>
      </c>
      <c r="B20" s="184">
        <v>350.5</v>
      </c>
      <c r="C20" s="131">
        <f t="shared" si="1"/>
        <v>3031.8250000000003</v>
      </c>
      <c r="D20" s="38">
        <f>C20-E20-F20-G20-H20-I20-J20-K20-L20-M20-N20+2618.8</f>
        <v>3368.335000000001</v>
      </c>
      <c r="E20" s="77">
        <v>294.87</v>
      </c>
      <c r="F20" s="77">
        <f>0+24.66</f>
        <v>24.66</v>
      </c>
      <c r="G20" s="77">
        <v>111.08</v>
      </c>
      <c r="H20" s="77">
        <f>0+9.32</f>
        <v>9.32</v>
      </c>
      <c r="I20" s="77">
        <v>864.81</v>
      </c>
      <c r="J20" s="77">
        <f>0+72.34</f>
        <v>72.34</v>
      </c>
      <c r="K20" s="77">
        <v>599.43</v>
      </c>
      <c r="L20" s="77">
        <f>0+50.14</f>
        <v>50.14</v>
      </c>
      <c r="M20" s="77">
        <v>235.91</v>
      </c>
      <c r="N20" s="77">
        <f>0+19.73</f>
        <v>19.73</v>
      </c>
      <c r="O20" s="77">
        <v>5257.1</v>
      </c>
      <c r="P20" s="156">
        <v>308.6</v>
      </c>
      <c r="Q20" s="77">
        <v>0</v>
      </c>
      <c r="R20" s="156">
        <v>0</v>
      </c>
      <c r="S20" s="6">
        <f t="shared" si="2"/>
        <v>7363.200000000001</v>
      </c>
      <c r="T20" s="79">
        <f t="shared" si="3"/>
        <v>484.7900000000001</v>
      </c>
      <c r="U20" s="153">
        <v>737.13</v>
      </c>
      <c r="V20" s="153">
        <v>292.52</v>
      </c>
      <c r="W20" s="153">
        <v>2034.46</v>
      </c>
      <c r="X20" s="153">
        <v>1408.34</v>
      </c>
      <c r="Y20" s="153">
        <v>589.72</v>
      </c>
      <c r="Z20" s="154">
        <v>20854.42</v>
      </c>
      <c r="AA20" s="154">
        <v>0</v>
      </c>
      <c r="AB20" s="152">
        <f t="shared" si="4"/>
        <v>25916.589999999997</v>
      </c>
      <c r="AC20" s="168">
        <f t="shared" si="5"/>
        <v>29769.714999999997</v>
      </c>
      <c r="AD20" s="134">
        <f t="shared" si="6"/>
        <v>21163.019999999997</v>
      </c>
      <c r="AE20" s="134">
        <f t="shared" si="7"/>
        <v>0</v>
      </c>
      <c r="AF20" s="134"/>
      <c r="AG20" s="31">
        <f t="shared" si="16"/>
        <v>210.29999999999998</v>
      </c>
      <c r="AH20" s="64">
        <f>B20*0.2*0.99425</f>
        <v>69.69692500000001</v>
      </c>
      <c r="AI20" s="64">
        <f>0.85*B20*0.9857</f>
        <v>293.6646725</v>
      </c>
      <c r="AJ20" s="31">
        <f t="shared" si="8"/>
        <v>52.85964105</v>
      </c>
      <c r="AK20" s="172">
        <v>0</v>
      </c>
      <c r="AL20" s="172">
        <f t="shared" si="9"/>
        <v>0</v>
      </c>
      <c r="AM20" s="64">
        <f>(1.91)*B20*0.9904</f>
        <v>663.0282319999999</v>
      </c>
      <c r="AN20" s="31">
        <f t="shared" si="10"/>
        <v>119.34508175999997</v>
      </c>
      <c r="AO20" s="31"/>
      <c r="AP20" s="31">
        <f t="shared" si="11"/>
        <v>0</v>
      </c>
      <c r="AQ20" s="36"/>
      <c r="AR20" s="36">
        <f t="shared" si="11"/>
        <v>0</v>
      </c>
      <c r="AS20" s="40"/>
      <c r="AT20" s="73"/>
      <c r="AU20" s="73">
        <f t="shared" si="13"/>
        <v>0</v>
      </c>
      <c r="AV20" s="75"/>
      <c r="AW20" s="181">
        <v>0</v>
      </c>
      <c r="AX20" s="31">
        <f t="shared" si="17"/>
        <v>0</v>
      </c>
      <c r="AY20" s="31"/>
      <c r="AZ20" s="136"/>
      <c r="BA20" s="136">
        <f t="shared" si="18"/>
        <v>0</v>
      </c>
      <c r="BB20" s="136">
        <f t="shared" si="15"/>
        <v>1408.89455231</v>
      </c>
      <c r="BC20" s="171">
        <f t="shared" si="14"/>
        <v>28360.820447689995</v>
      </c>
      <c r="BD20" s="139">
        <f t="shared" si="12"/>
        <v>18553.389999999996</v>
      </c>
    </row>
    <row r="21" spans="1:56" s="26" customFormat="1" ht="12.75" hidden="1">
      <c r="A21" s="62" t="s">
        <v>45</v>
      </c>
      <c r="B21" s="130">
        <v>350.5</v>
      </c>
      <c r="C21" s="131">
        <f t="shared" si="1"/>
        <v>3031.8250000000003</v>
      </c>
      <c r="D21" s="38">
        <f>C21-E21-F21-G21-H21-I21-J21-K21-L21-M21-N21+1691.87</f>
        <v>2441.4050000000007</v>
      </c>
      <c r="E21" s="41">
        <v>294.87</v>
      </c>
      <c r="F21" s="41">
        <v>24.66</v>
      </c>
      <c r="G21" s="41">
        <v>111.08</v>
      </c>
      <c r="H21" s="41">
        <v>9.32</v>
      </c>
      <c r="I21" s="41">
        <v>864.81</v>
      </c>
      <c r="J21" s="41">
        <v>72.34</v>
      </c>
      <c r="K21" s="41">
        <v>599.43</v>
      </c>
      <c r="L21" s="41">
        <v>50.14</v>
      </c>
      <c r="M21" s="41">
        <v>235.91</v>
      </c>
      <c r="N21" s="41">
        <v>19.73</v>
      </c>
      <c r="O21" s="41">
        <v>5257.1</v>
      </c>
      <c r="P21" s="42">
        <v>308.6</v>
      </c>
      <c r="Q21" s="43">
        <v>0</v>
      </c>
      <c r="R21" s="43">
        <v>0</v>
      </c>
      <c r="S21" s="43">
        <f t="shared" si="2"/>
        <v>7363.200000000001</v>
      </c>
      <c r="T21" s="79">
        <f t="shared" si="3"/>
        <v>484.7900000000001</v>
      </c>
      <c r="U21" s="43">
        <v>221.92</v>
      </c>
      <c r="V21" s="43">
        <v>87.94</v>
      </c>
      <c r="W21" s="43">
        <v>622.92</v>
      </c>
      <c r="X21" s="43">
        <v>431.44</v>
      </c>
      <c r="Y21" s="43">
        <v>177.55</v>
      </c>
      <c r="Z21" s="44">
        <v>6029.62</v>
      </c>
      <c r="AA21" s="44">
        <v>0</v>
      </c>
      <c r="AB21" s="167">
        <f t="shared" si="4"/>
        <v>7571.389999999999</v>
      </c>
      <c r="AC21" s="168">
        <f t="shared" si="5"/>
        <v>10497.585</v>
      </c>
      <c r="AD21" s="134">
        <f t="shared" si="6"/>
        <v>6338.22</v>
      </c>
      <c r="AE21" s="134">
        <f t="shared" si="7"/>
        <v>0</v>
      </c>
      <c r="AF21" s="134"/>
      <c r="AG21" s="31">
        <f t="shared" si="16"/>
        <v>210.29999999999998</v>
      </c>
      <c r="AH21" s="64">
        <f>B21*0.2*0.99875</f>
        <v>70.012375</v>
      </c>
      <c r="AI21" s="64">
        <f>0.85*B21*0.98526</f>
        <v>293.5335855</v>
      </c>
      <c r="AJ21" s="31">
        <f t="shared" si="8"/>
        <v>52.83604539</v>
      </c>
      <c r="AK21" s="172">
        <v>0</v>
      </c>
      <c r="AL21" s="172">
        <f t="shared" si="9"/>
        <v>0</v>
      </c>
      <c r="AM21" s="64">
        <f>(1.91)*B21*0.99</f>
        <v>662.7604499999999</v>
      </c>
      <c r="AN21" s="31">
        <f t="shared" si="10"/>
        <v>119.29688099999997</v>
      </c>
      <c r="AO21" s="31"/>
      <c r="AP21" s="31">
        <f t="shared" si="11"/>
        <v>0</v>
      </c>
      <c r="AQ21" s="36">
        <v>5586</v>
      </c>
      <c r="AR21" s="39">
        <f t="shared" si="11"/>
        <v>1005.48</v>
      </c>
      <c r="AS21" s="40">
        <v>6494.12</v>
      </c>
      <c r="AT21" s="40"/>
      <c r="AU21" s="73">
        <f t="shared" si="13"/>
        <v>1168.9415999999999</v>
      </c>
      <c r="AV21" s="80"/>
      <c r="AW21" s="181">
        <v>0</v>
      </c>
      <c r="AX21" s="31">
        <f t="shared" si="17"/>
        <v>0</v>
      </c>
      <c r="AY21" s="31"/>
      <c r="AZ21" s="136"/>
      <c r="BA21" s="136">
        <f t="shared" si="18"/>
        <v>0</v>
      </c>
      <c r="BB21" s="136">
        <f t="shared" si="15"/>
        <v>15663.28093689</v>
      </c>
      <c r="BC21" s="171">
        <f t="shared" si="14"/>
        <v>-5165.695936890001</v>
      </c>
      <c r="BD21" s="139">
        <f t="shared" si="12"/>
        <v>208.1899999999987</v>
      </c>
    </row>
    <row r="22" spans="1:56" s="26" customFormat="1" ht="12.75" hidden="1">
      <c r="A22" s="62" t="s">
        <v>46</v>
      </c>
      <c r="B22" s="130">
        <v>350.5</v>
      </c>
      <c r="C22" s="131">
        <f t="shared" si="1"/>
        <v>3031.8250000000003</v>
      </c>
      <c r="D22" s="38">
        <f>C22-E22-F22-G22-H22-I22-J22-K22-L22-M22-N22+4271.75</f>
        <v>5021.285000000001</v>
      </c>
      <c r="E22" s="41">
        <v>294.87</v>
      </c>
      <c r="F22" s="41">
        <v>24.66</v>
      </c>
      <c r="G22" s="41">
        <v>111.08</v>
      </c>
      <c r="H22" s="41">
        <v>9.32</v>
      </c>
      <c r="I22" s="41">
        <v>864.81</v>
      </c>
      <c r="J22" s="41">
        <v>72.34</v>
      </c>
      <c r="K22" s="41">
        <v>599.43</v>
      </c>
      <c r="L22" s="41">
        <v>50.14</v>
      </c>
      <c r="M22" s="41">
        <v>235.91</v>
      </c>
      <c r="N22" s="41">
        <v>19.73</v>
      </c>
      <c r="O22" s="41">
        <v>5257.1</v>
      </c>
      <c r="P22" s="42">
        <v>308.6</v>
      </c>
      <c r="Q22" s="41">
        <v>0</v>
      </c>
      <c r="R22" s="42">
        <v>0</v>
      </c>
      <c r="S22" s="43">
        <f t="shared" si="2"/>
        <v>7363.200000000001</v>
      </c>
      <c r="T22" s="79">
        <f t="shared" si="3"/>
        <v>484.7900000000001</v>
      </c>
      <c r="U22" s="43">
        <v>172</v>
      </c>
      <c r="V22" s="43">
        <v>64.65</v>
      </c>
      <c r="W22" s="43">
        <v>504.38</v>
      </c>
      <c r="X22" s="43">
        <v>349.57</v>
      </c>
      <c r="Y22" s="43">
        <v>137.61</v>
      </c>
      <c r="Z22" s="44">
        <v>3150.92</v>
      </c>
      <c r="AA22" s="44">
        <v>0</v>
      </c>
      <c r="AB22" s="167">
        <f t="shared" si="4"/>
        <v>4379.13</v>
      </c>
      <c r="AC22" s="168">
        <f t="shared" si="5"/>
        <v>9885.205000000002</v>
      </c>
      <c r="AD22" s="134">
        <f t="shared" si="6"/>
        <v>3459.52</v>
      </c>
      <c r="AE22" s="134">
        <f t="shared" si="7"/>
        <v>0</v>
      </c>
      <c r="AF22" s="134"/>
      <c r="AG22" s="31">
        <f t="shared" si="16"/>
        <v>210.29999999999998</v>
      </c>
      <c r="AH22" s="64">
        <f>B22*0.2*0.9997</f>
        <v>70.07897000000001</v>
      </c>
      <c r="AI22" s="64">
        <f>0.85*B22*0.98509</f>
        <v>293.48293825</v>
      </c>
      <c r="AJ22" s="31">
        <f t="shared" si="8"/>
        <v>52.826928885</v>
      </c>
      <c r="AK22" s="64">
        <v>0</v>
      </c>
      <c r="AL22" s="172">
        <f t="shared" si="9"/>
        <v>0</v>
      </c>
      <c r="AM22" s="64">
        <f>(1.91)*B22*0.98981</f>
        <v>662.63325355</v>
      </c>
      <c r="AN22" s="31">
        <f t="shared" si="10"/>
        <v>119.27398563899999</v>
      </c>
      <c r="AO22" s="31"/>
      <c r="AP22" s="31">
        <f t="shared" si="11"/>
        <v>0</v>
      </c>
      <c r="AQ22" s="36">
        <v>266</v>
      </c>
      <c r="AR22" s="39">
        <f t="shared" si="11"/>
        <v>47.879999999999995</v>
      </c>
      <c r="AS22" s="40">
        <f>926.7+6566.95+5367.46</f>
        <v>12861.11</v>
      </c>
      <c r="AT22" s="40"/>
      <c r="AU22" s="73">
        <f>(AS22+AT22)*0.18</f>
        <v>2314.9998</v>
      </c>
      <c r="AV22" s="80"/>
      <c r="AW22" s="181">
        <v>0</v>
      </c>
      <c r="AX22" s="31">
        <f t="shared" si="17"/>
        <v>0</v>
      </c>
      <c r="AY22" s="31"/>
      <c r="AZ22" s="136"/>
      <c r="BA22" s="136">
        <f t="shared" si="18"/>
        <v>0</v>
      </c>
      <c r="BB22" s="136">
        <f t="shared" si="15"/>
        <v>16898.585876324003</v>
      </c>
      <c r="BC22" s="171">
        <f t="shared" si="14"/>
        <v>-7013.380876324001</v>
      </c>
      <c r="BD22" s="139">
        <f t="shared" si="12"/>
        <v>-2984.0700000000006</v>
      </c>
    </row>
    <row r="23" spans="1:56" s="26" customFormat="1" ht="12.75" hidden="1">
      <c r="A23" s="27" t="s">
        <v>47</v>
      </c>
      <c r="B23" s="130">
        <v>350.5</v>
      </c>
      <c r="C23" s="185">
        <f t="shared" si="1"/>
        <v>3031.8250000000003</v>
      </c>
      <c r="D23" s="38">
        <f>C23-E23-F23-G23-H23-I23-J23-K23-L23-M23-N23+3038.52</f>
        <v>3788.0550000000003</v>
      </c>
      <c r="E23" s="78">
        <f>161.22+133.65</f>
        <v>294.87</v>
      </c>
      <c r="F23" s="43">
        <f>0+24.66</f>
        <v>24.66</v>
      </c>
      <c r="G23" s="43">
        <f>60.6+50.48</f>
        <v>111.08</v>
      </c>
      <c r="H23" s="43">
        <f>0+9.32</f>
        <v>9.32</v>
      </c>
      <c r="I23" s="43">
        <f>472.78+392.03</f>
        <v>864.81</v>
      </c>
      <c r="J23" s="43">
        <f>0+72.34</f>
        <v>72.34</v>
      </c>
      <c r="K23" s="43">
        <f>327.68+271.75</f>
        <v>599.4300000000001</v>
      </c>
      <c r="L23" s="43">
        <f>0+50.14</f>
        <v>50.14</v>
      </c>
      <c r="M23" s="43">
        <f>128.98+106.93</f>
        <v>235.91</v>
      </c>
      <c r="N23" s="43">
        <f>0+19.73</f>
        <v>19.73</v>
      </c>
      <c r="O23" s="43">
        <v>19889.14</v>
      </c>
      <c r="P23" s="44">
        <v>1203.6</v>
      </c>
      <c r="Q23" s="43">
        <v>0</v>
      </c>
      <c r="R23" s="43">
        <v>0</v>
      </c>
      <c r="S23" s="43">
        <f t="shared" si="2"/>
        <v>21995.239999999998</v>
      </c>
      <c r="T23" s="79">
        <f t="shared" si="3"/>
        <v>1379.79</v>
      </c>
      <c r="U23" s="186">
        <v>158.08</v>
      </c>
      <c r="V23" s="43">
        <v>59.71</v>
      </c>
      <c r="W23" s="43">
        <v>463.68</v>
      </c>
      <c r="X23" s="43">
        <v>321.42</v>
      </c>
      <c r="Y23" s="43">
        <v>126.46</v>
      </c>
      <c r="Z23" s="44">
        <v>2824.31</v>
      </c>
      <c r="AA23" s="44">
        <v>0</v>
      </c>
      <c r="AB23" s="44">
        <f>SUM(U23:AA23)</f>
        <v>3953.66</v>
      </c>
      <c r="AC23" s="168">
        <f>AB23+T23+D23</f>
        <v>9121.505000000001</v>
      </c>
      <c r="AD23" s="134">
        <f t="shared" si="6"/>
        <v>4027.91</v>
      </c>
      <c r="AE23" s="134">
        <f t="shared" si="7"/>
        <v>0</v>
      </c>
      <c r="AF23" s="134"/>
      <c r="AG23" s="31">
        <f t="shared" si="16"/>
        <v>210.29999999999998</v>
      </c>
      <c r="AH23" s="31">
        <f>B23*0.2</f>
        <v>70.10000000000001</v>
      </c>
      <c r="AI23" s="31">
        <f>0.847*B23</f>
        <v>296.8735</v>
      </c>
      <c r="AJ23" s="31">
        <f t="shared" si="8"/>
        <v>53.43722999999999</v>
      </c>
      <c r="AK23" s="31">
        <f>0*B23</f>
        <v>0</v>
      </c>
      <c r="AL23" s="31">
        <f t="shared" si="9"/>
        <v>0</v>
      </c>
      <c r="AM23" s="31">
        <f>(2.25/1.18)*B23</f>
        <v>668.3262711864406</v>
      </c>
      <c r="AN23" s="31">
        <f t="shared" si="10"/>
        <v>120.29872881355931</v>
      </c>
      <c r="AO23" s="31"/>
      <c r="AP23" s="64">
        <f t="shared" si="11"/>
        <v>0</v>
      </c>
      <c r="AQ23" s="36"/>
      <c r="AR23" s="36">
        <f t="shared" si="11"/>
        <v>0</v>
      </c>
      <c r="AS23" s="73">
        <v>0</v>
      </c>
      <c r="AT23" s="170">
        <f>600+90.8+15.6+10.4</f>
        <v>716.8</v>
      </c>
      <c r="AU23" s="73">
        <f>(AS23+AT23)*0.18</f>
        <v>129.024</v>
      </c>
      <c r="AV23" s="75"/>
      <c r="AW23" s="65">
        <v>15960</v>
      </c>
      <c r="AX23" s="31">
        <f t="shared" si="17"/>
        <v>21092.736</v>
      </c>
      <c r="AY23" s="31"/>
      <c r="AZ23" s="136"/>
      <c r="BA23" s="66">
        <f t="shared" si="18"/>
        <v>0</v>
      </c>
      <c r="BB23" s="66">
        <f>SUM(AG23:AU23)+AX23+AY23+AZ23+BA23</f>
        <v>23357.89573</v>
      </c>
      <c r="BC23" s="171">
        <f t="shared" si="14"/>
        <v>-14236.39073</v>
      </c>
      <c r="BD23" s="139">
        <f t="shared" si="12"/>
        <v>-18041.579999999998</v>
      </c>
    </row>
    <row r="24" spans="1:56" s="26" customFormat="1" ht="12.75" hidden="1">
      <c r="A24" s="62" t="s">
        <v>48</v>
      </c>
      <c r="B24" s="130">
        <v>348.8</v>
      </c>
      <c r="C24" s="185">
        <f t="shared" si="1"/>
        <v>3017.1200000000003</v>
      </c>
      <c r="D24" s="38">
        <f>C24-E24-F24-G24-H24-I24-J24-K24-L24-M24-N24+3874.59+0.01</f>
        <v>4620.360000000001</v>
      </c>
      <c r="E24" s="41">
        <v>293.34</v>
      </c>
      <c r="F24" s="41">
        <f>0+24.66</f>
        <v>24.66</v>
      </c>
      <c r="G24" s="41">
        <v>110.5</v>
      </c>
      <c r="H24" s="41">
        <f>0+9.32</f>
        <v>9.32</v>
      </c>
      <c r="I24" s="41">
        <v>860.32</v>
      </c>
      <c r="J24" s="41">
        <f>0+72.34</f>
        <v>72.34</v>
      </c>
      <c r="K24" s="41">
        <v>596.32</v>
      </c>
      <c r="L24" s="41">
        <f>0+50.14</f>
        <v>50.14</v>
      </c>
      <c r="M24" s="41">
        <v>234.69</v>
      </c>
      <c r="N24" s="41">
        <f>0+19.73</f>
        <v>19.73</v>
      </c>
      <c r="O24" s="41">
        <v>20145.58</v>
      </c>
      <c r="P24" s="42">
        <v>1224.69</v>
      </c>
      <c r="Q24" s="42">
        <v>0</v>
      </c>
      <c r="R24" s="42">
        <v>0</v>
      </c>
      <c r="S24" s="43">
        <f t="shared" si="2"/>
        <v>22240.75</v>
      </c>
      <c r="T24" s="79">
        <f t="shared" si="3"/>
        <v>1400.88</v>
      </c>
      <c r="U24" s="43">
        <f>32.59+246.68</f>
        <v>279.27</v>
      </c>
      <c r="V24" s="43">
        <f>12.06+92.2</f>
        <v>104.26</v>
      </c>
      <c r="W24" s="43">
        <f>95.48+709.4</f>
        <v>804.88</v>
      </c>
      <c r="X24" s="43">
        <f>66.15+491.39</f>
        <v>557.54</v>
      </c>
      <c r="Y24" s="43">
        <f>26.07+197.36</f>
        <v>223.43</v>
      </c>
      <c r="Z24" s="44">
        <f>20145.58+1224.69</f>
        <v>21370.27</v>
      </c>
      <c r="AA24" s="44">
        <v>0</v>
      </c>
      <c r="AB24" s="44">
        <f>SUM(U24:AA24)</f>
        <v>23339.65</v>
      </c>
      <c r="AC24" s="63">
        <f>D24+T24+AB24</f>
        <v>29360.890000000003</v>
      </c>
      <c r="AD24" s="134">
        <f t="shared" si="6"/>
        <v>22594.96</v>
      </c>
      <c r="AE24" s="134">
        <f t="shared" si="7"/>
        <v>0</v>
      </c>
      <c r="AF24" s="134"/>
      <c r="AG24" s="31">
        <f t="shared" si="16"/>
        <v>209.28</v>
      </c>
      <c r="AH24" s="31">
        <f>B24*0.2</f>
        <v>69.76</v>
      </c>
      <c r="AI24" s="64">
        <f>0.85*B24</f>
        <v>296.48</v>
      </c>
      <c r="AJ24" s="31">
        <f t="shared" si="8"/>
        <v>53.3664</v>
      </c>
      <c r="AK24" s="31">
        <f>0*B24</f>
        <v>0</v>
      </c>
      <c r="AL24" s="31">
        <f t="shared" si="9"/>
        <v>0</v>
      </c>
      <c r="AM24" s="64">
        <f>(1.91)*B24</f>
        <v>666.208</v>
      </c>
      <c r="AN24" s="31">
        <f t="shared" si="10"/>
        <v>119.91743999999998</v>
      </c>
      <c r="AO24" s="31"/>
      <c r="AP24" s="64">
        <f t="shared" si="11"/>
        <v>0</v>
      </c>
      <c r="AQ24" s="36"/>
      <c r="AR24" s="36">
        <f t="shared" si="11"/>
        <v>0</v>
      </c>
      <c r="AS24" s="73">
        <v>0</v>
      </c>
      <c r="AT24" s="170"/>
      <c r="AU24" s="73">
        <f>(AS24+AT24)*0.18</f>
        <v>0</v>
      </c>
      <c r="AV24" s="75"/>
      <c r="AW24" s="65">
        <v>16170</v>
      </c>
      <c r="AX24" s="31">
        <f t="shared" si="17"/>
        <v>21370.272</v>
      </c>
      <c r="AY24" s="31"/>
      <c r="AZ24" s="66"/>
      <c r="BA24" s="66">
        <f t="shared" si="18"/>
        <v>0</v>
      </c>
      <c r="BB24" s="66">
        <f>SUM(AG24:AU24)+AX24+AY24+AZ24+BA24</f>
        <v>22785.28384</v>
      </c>
      <c r="BC24" s="171">
        <f t="shared" si="14"/>
        <v>6575.606160000003</v>
      </c>
      <c r="BD24" s="139">
        <f t="shared" si="12"/>
        <v>1098.9000000000015</v>
      </c>
    </row>
    <row r="25" spans="1:56" s="26" customFormat="1" ht="12.75" hidden="1">
      <c r="A25" s="62" t="s">
        <v>49</v>
      </c>
      <c r="B25" s="138">
        <v>348.8</v>
      </c>
      <c r="C25" s="185">
        <f t="shared" si="1"/>
        <v>3017.1200000000003</v>
      </c>
      <c r="D25" s="38">
        <f>C25-E25-F25-G25-H25-I25-J25-K25-L25-M25-N25+2453.66</f>
        <v>3199.4300000000003</v>
      </c>
      <c r="E25" s="41">
        <v>293.34</v>
      </c>
      <c r="F25" s="41">
        <v>24.66</v>
      </c>
      <c r="G25" s="41">
        <v>110.5</v>
      </c>
      <c r="H25" s="41">
        <v>9.32</v>
      </c>
      <c r="I25" s="41">
        <v>860.32</v>
      </c>
      <c r="J25" s="41">
        <v>72.34</v>
      </c>
      <c r="K25" s="41">
        <v>596.31</v>
      </c>
      <c r="L25" s="41">
        <v>50.14</v>
      </c>
      <c r="M25" s="41">
        <v>234.69</v>
      </c>
      <c r="N25" s="41">
        <v>19.73</v>
      </c>
      <c r="O25" s="41">
        <v>27020.76</v>
      </c>
      <c r="P25" s="42">
        <v>1644.74</v>
      </c>
      <c r="Q25" s="42"/>
      <c r="R25" s="42"/>
      <c r="S25" s="43">
        <f t="shared" si="2"/>
        <v>29115.92</v>
      </c>
      <c r="T25" s="79">
        <f t="shared" si="3"/>
        <v>1820.93</v>
      </c>
      <c r="U25" s="43">
        <v>369.81</v>
      </c>
      <c r="V25" s="43">
        <v>139.23</v>
      </c>
      <c r="W25" s="43">
        <v>1096.57</v>
      </c>
      <c r="X25" s="43">
        <v>760.24</v>
      </c>
      <c r="Y25" s="43">
        <v>295.87</v>
      </c>
      <c r="Z25" s="44">
        <v>17298.9</v>
      </c>
      <c r="AA25" s="44">
        <v>0</v>
      </c>
      <c r="AB25" s="44">
        <f>SUM(U25:AA25)</f>
        <v>19960.620000000003</v>
      </c>
      <c r="AC25" s="63">
        <f>D25+T25+AB25</f>
        <v>24980.980000000003</v>
      </c>
      <c r="AD25" s="134">
        <f t="shared" si="6"/>
        <v>18943.640000000003</v>
      </c>
      <c r="AE25" s="134">
        <f t="shared" si="7"/>
        <v>0</v>
      </c>
      <c r="AF25" s="134"/>
      <c r="AG25" s="31">
        <f t="shared" si="16"/>
        <v>209.28</v>
      </c>
      <c r="AH25" s="31">
        <f>B25*0.2</f>
        <v>69.76</v>
      </c>
      <c r="AI25" s="31">
        <f>0.85*B25</f>
        <v>296.48</v>
      </c>
      <c r="AJ25" s="31">
        <f t="shared" si="8"/>
        <v>53.3664</v>
      </c>
      <c r="AK25" s="31">
        <f>0*B25</f>
        <v>0</v>
      </c>
      <c r="AL25" s="31">
        <f t="shared" si="9"/>
        <v>0</v>
      </c>
      <c r="AM25" s="31">
        <f>(1.91)*B25</f>
        <v>666.208</v>
      </c>
      <c r="AN25" s="31">
        <f t="shared" si="10"/>
        <v>119.91743999999998</v>
      </c>
      <c r="AO25" s="31"/>
      <c r="AP25" s="64">
        <f t="shared" si="11"/>
        <v>0</v>
      </c>
      <c r="AQ25" s="36"/>
      <c r="AR25" s="36">
        <f t="shared" si="11"/>
        <v>0</v>
      </c>
      <c r="AS25" s="73">
        <v>1253</v>
      </c>
      <c r="AT25" s="40">
        <f>2*389+322.8+2267</f>
        <v>3367.8</v>
      </c>
      <c r="AU25" s="73">
        <f>(AS25+AT25)*0.18</f>
        <v>831.744</v>
      </c>
      <c r="AV25" s="75"/>
      <c r="AW25" s="65">
        <v>21690</v>
      </c>
      <c r="AX25" s="31">
        <f t="shared" si="17"/>
        <v>28665.504</v>
      </c>
      <c r="AY25" s="31"/>
      <c r="AZ25" s="66"/>
      <c r="BA25" s="66">
        <f t="shared" si="18"/>
        <v>0</v>
      </c>
      <c r="BB25" s="66">
        <f>SUM(AG25:BA25)-AV25-AW25</f>
        <v>35533.05984</v>
      </c>
      <c r="BC25" s="171">
        <f>AC25-BB25</f>
        <v>-10552.079839999999</v>
      </c>
      <c r="BD25" s="139">
        <f t="shared" si="12"/>
        <v>-9155.299999999996</v>
      </c>
    </row>
    <row r="26" spans="1:56" s="9" customFormat="1" ht="12.75" hidden="1">
      <c r="A26" s="11" t="s">
        <v>5</v>
      </c>
      <c r="B26" s="84"/>
      <c r="C26" s="84">
        <f aca="true" t="shared" si="19" ref="C26:BB26">SUM(C14:C25)</f>
        <v>36352.490000000005</v>
      </c>
      <c r="D26" s="84">
        <f t="shared" si="19"/>
        <v>44173.9125</v>
      </c>
      <c r="E26" s="85">
        <f t="shared" si="19"/>
        <v>3406.4599999999996</v>
      </c>
      <c r="F26" s="85">
        <f t="shared" si="19"/>
        <v>300.96000000000004</v>
      </c>
      <c r="G26" s="85">
        <f t="shared" si="19"/>
        <v>1269.5600000000002</v>
      </c>
      <c r="H26" s="85">
        <f t="shared" si="19"/>
        <v>112.15999999999997</v>
      </c>
      <c r="I26" s="85">
        <f t="shared" si="19"/>
        <v>9758.779999999997</v>
      </c>
      <c r="J26" s="85">
        <f t="shared" si="19"/>
        <v>859.9600000000003</v>
      </c>
      <c r="K26" s="85">
        <f t="shared" si="19"/>
        <v>6758.209999999999</v>
      </c>
      <c r="L26" s="85">
        <f t="shared" si="19"/>
        <v>595.52</v>
      </c>
      <c r="M26" s="85">
        <f t="shared" si="19"/>
        <v>2725.2800000000007</v>
      </c>
      <c r="N26" s="85">
        <f t="shared" si="19"/>
        <v>240.79999999999995</v>
      </c>
      <c r="O26" s="85">
        <f t="shared" si="19"/>
        <v>109409.39</v>
      </c>
      <c r="P26" s="85">
        <f t="shared" si="19"/>
        <v>6680.669999999999</v>
      </c>
      <c r="Q26" s="85">
        <f t="shared" si="19"/>
        <v>0</v>
      </c>
      <c r="R26" s="85">
        <f t="shared" si="19"/>
        <v>0</v>
      </c>
      <c r="S26" s="85">
        <f t="shared" si="19"/>
        <v>133327.68</v>
      </c>
      <c r="T26" s="85">
        <f t="shared" si="19"/>
        <v>8790.07</v>
      </c>
      <c r="U26" s="86">
        <f t="shared" si="19"/>
        <v>3127.83</v>
      </c>
      <c r="V26" s="86">
        <f t="shared" si="19"/>
        <v>1242.0500000000002</v>
      </c>
      <c r="W26" s="86">
        <f t="shared" si="19"/>
        <v>8695.4</v>
      </c>
      <c r="X26" s="86">
        <f t="shared" si="19"/>
        <v>6018.31</v>
      </c>
      <c r="Y26" s="86">
        <f t="shared" si="19"/>
        <v>2502.2999999999997</v>
      </c>
      <c r="Z26" s="86">
        <f t="shared" si="19"/>
        <v>92136.16</v>
      </c>
      <c r="AA26" s="86">
        <f t="shared" si="19"/>
        <v>0</v>
      </c>
      <c r="AB26" s="86">
        <f t="shared" si="19"/>
        <v>113722.04999999999</v>
      </c>
      <c r="AC26" s="86">
        <f t="shared" si="19"/>
        <v>166686.0325</v>
      </c>
      <c r="AD26" s="34">
        <f t="shared" si="19"/>
        <v>98816.83</v>
      </c>
      <c r="AE26" s="34">
        <f t="shared" si="19"/>
        <v>0</v>
      </c>
      <c r="AF26" s="34"/>
      <c r="AG26" s="7">
        <f t="shared" si="19"/>
        <v>2437.44</v>
      </c>
      <c r="AH26" s="7">
        <f t="shared" si="19"/>
        <v>816.0486050000001</v>
      </c>
      <c r="AI26" s="7">
        <f t="shared" si="19"/>
        <v>3407.2648537500004</v>
      </c>
      <c r="AJ26" s="7">
        <f t="shared" si="19"/>
        <v>613.307673675</v>
      </c>
      <c r="AK26" s="7">
        <f t="shared" si="19"/>
        <v>1287.2116004999998</v>
      </c>
      <c r="AL26" s="7">
        <f t="shared" si="19"/>
        <v>231.69808808999997</v>
      </c>
      <c r="AM26" s="7">
        <f t="shared" si="19"/>
        <v>7620.890636236439</v>
      </c>
      <c r="AN26" s="7">
        <f t="shared" si="19"/>
        <v>1371.760314522559</v>
      </c>
      <c r="AO26" s="7">
        <f t="shared" si="19"/>
        <v>6920.1</v>
      </c>
      <c r="AP26" s="7">
        <f t="shared" si="19"/>
        <v>1245.618</v>
      </c>
      <c r="AQ26" s="7">
        <f>SUM(AQ14:AQ25)</f>
        <v>6300</v>
      </c>
      <c r="AR26" s="7">
        <f>SUM(AR14:AR25)</f>
        <v>1134</v>
      </c>
      <c r="AS26" s="87">
        <f t="shared" si="19"/>
        <v>22391.23</v>
      </c>
      <c r="AT26" s="87">
        <f t="shared" si="19"/>
        <v>4084.6000000000004</v>
      </c>
      <c r="AU26" s="87">
        <f t="shared" si="19"/>
        <v>4765.6494</v>
      </c>
      <c r="AV26" s="7"/>
      <c r="AW26" s="7"/>
      <c r="AX26" s="7">
        <f t="shared" si="19"/>
        <v>202244.446</v>
      </c>
      <c r="AY26" s="7">
        <f t="shared" si="19"/>
        <v>0</v>
      </c>
      <c r="AZ26" s="7">
        <f t="shared" si="19"/>
        <v>0</v>
      </c>
      <c r="BA26" s="7">
        <f t="shared" si="19"/>
        <v>0</v>
      </c>
      <c r="BB26" s="7">
        <f t="shared" si="19"/>
        <v>266871.26517177396</v>
      </c>
      <c r="BC26" s="7">
        <f>SUM(BC14:BC25)</f>
        <v>-100185.23267177399</v>
      </c>
      <c r="BD26" s="12">
        <f>SUM(BD14:BD25)</f>
        <v>-19605.63</v>
      </c>
    </row>
    <row r="27" spans="1:56" ht="12.75" hidden="1">
      <c r="A27" s="157"/>
      <c r="B27" s="158"/>
      <c r="C27" s="159">
        <f>C12+C26</f>
        <v>81800.45500000002</v>
      </c>
      <c r="D27" s="159">
        <f aca="true" t="shared" si="20" ref="D27:BD27">D12+D26</f>
        <v>46363.22365075</v>
      </c>
      <c r="E27" s="159">
        <f t="shared" si="20"/>
        <v>4162.459999999999</v>
      </c>
      <c r="F27" s="159">
        <f t="shared" si="20"/>
        <v>390.72</v>
      </c>
      <c r="G27" s="159">
        <f t="shared" si="20"/>
        <v>1747.7800000000002</v>
      </c>
      <c r="H27" s="159">
        <f t="shared" si="20"/>
        <v>163.39999999999998</v>
      </c>
      <c r="I27" s="159">
        <f t="shared" si="20"/>
        <v>11273.879999999997</v>
      </c>
      <c r="J27" s="159">
        <f t="shared" si="20"/>
        <v>1039.1000000000004</v>
      </c>
      <c r="K27" s="159">
        <f t="shared" si="20"/>
        <v>7803.009999999999</v>
      </c>
      <c r="L27" s="159">
        <f t="shared" si="20"/>
        <v>718.9399999999999</v>
      </c>
      <c r="M27" s="159">
        <f t="shared" si="20"/>
        <v>3330.0600000000004</v>
      </c>
      <c r="N27" s="159">
        <f t="shared" si="20"/>
        <v>312.61999999999995</v>
      </c>
      <c r="O27" s="159">
        <f t="shared" si="20"/>
        <v>109409.39</v>
      </c>
      <c r="P27" s="159">
        <f t="shared" si="20"/>
        <v>6680.669999999999</v>
      </c>
      <c r="Q27" s="159">
        <f t="shared" si="20"/>
        <v>0</v>
      </c>
      <c r="R27" s="159">
        <f t="shared" si="20"/>
        <v>0</v>
      </c>
      <c r="S27" s="159">
        <f t="shared" si="20"/>
        <v>137726.58</v>
      </c>
      <c r="T27" s="159">
        <f t="shared" si="20"/>
        <v>9305.449999999999</v>
      </c>
      <c r="U27" s="159">
        <f t="shared" si="20"/>
        <v>3479.69</v>
      </c>
      <c r="V27" s="159">
        <f t="shared" si="20"/>
        <v>1489.8000000000002</v>
      </c>
      <c r="W27" s="159">
        <f t="shared" si="20"/>
        <v>9270.779999999999</v>
      </c>
      <c r="X27" s="159">
        <f t="shared" si="20"/>
        <v>6414.6900000000005</v>
      </c>
      <c r="Y27" s="159">
        <f t="shared" si="20"/>
        <v>2783.7799999999997</v>
      </c>
      <c r="Z27" s="159">
        <f t="shared" si="20"/>
        <v>92136.16</v>
      </c>
      <c r="AA27" s="159">
        <f t="shared" si="20"/>
        <v>0</v>
      </c>
      <c r="AB27" s="159">
        <f t="shared" si="20"/>
        <v>115574.9</v>
      </c>
      <c r="AC27" s="159">
        <f t="shared" si="20"/>
        <v>171243.57365075</v>
      </c>
      <c r="AD27" s="159">
        <f t="shared" si="20"/>
        <v>98816.83</v>
      </c>
      <c r="AE27" s="159">
        <f t="shared" si="20"/>
        <v>0</v>
      </c>
      <c r="AF27" s="159">
        <f t="shared" si="20"/>
        <v>0</v>
      </c>
      <c r="AG27" s="159">
        <f t="shared" si="20"/>
        <v>3068.34</v>
      </c>
      <c r="AH27" s="159">
        <f t="shared" si="20"/>
        <v>1032.552455</v>
      </c>
      <c r="AI27" s="159">
        <f t="shared" si="20"/>
        <v>4302.063313750001</v>
      </c>
      <c r="AJ27" s="159">
        <f t="shared" si="20"/>
        <v>774.371396475</v>
      </c>
      <c r="AK27" s="159">
        <f t="shared" si="20"/>
        <v>2328.4739160999998</v>
      </c>
      <c r="AL27" s="159">
        <f t="shared" si="20"/>
        <v>419.12530489799997</v>
      </c>
      <c r="AM27" s="159">
        <f t="shared" si="20"/>
        <v>9533.208927386439</v>
      </c>
      <c r="AN27" s="159">
        <f t="shared" si="20"/>
        <v>1715.977606929559</v>
      </c>
      <c r="AO27" s="159">
        <f t="shared" si="20"/>
        <v>6920.1</v>
      </c>
      <c r="AP27" s="159">
        <f t="shared" si="20"/>
        <v>1245.618</v>
      </c>
      <c r="AQ27" s="159">
        <f t="shared" si="20"/>
        <v>6300</v>
      </c>
      <c r="AR27" s="159">
        <f t="shared" si="20"/>
        <v>1134</v>
      </c>
      <c r="AS27" s="159">
        <f t="shared" si="20"/>
        <v>25462.42</v>
      </c>
      <c r="AT27" s="159">
        <f t="shared" si="20"/>
        <v>4084.6000000000004</v>
      </c>
      <c r="AU27" s="159">
        <f t="shared" si="20"/>
        <v>5318.4636</v>
      </c>
      <c r="AV27" s="159">
        <f t="shared" si="20"/>
        <v>0</v>
      </c>
      <c r="AW27" s="159">
        <f t="shared" si="20"/>
        <v>0</v>
      </c>
      <c r="AX27" s="159">
        <f t="shared" si="20"/>
        <v>202244.446</v>
      </c>
      <c r="AY27" s="159">
        <f t="shared" si="20"/>
        <v>0</v>
      </c>
      <c r="AZ27" s="159">
        <f t="shared" si="20"/>
        <v>0</v>
      </c>
      <c r="BA27" s="159">
        <f t="shared" si="20"/>
        <v>0</v>
      </c>
      <c r="BB27" s="159">
        <f t="shared" si="20"/>
        <v>275883.76052053896</v>
      </c>
      <c r="BC27" s="159">
        <f t="shared" si="20"/>
        <v>-104640.18686978899</v>
      </c>
      <c r="BD27" s="159">
        <f t="shared" si="20"/>
        <v>-22151.68</v>
      </c>
    </row>
    <row r="28" spans="1:56" ht="12.75" hidden="1">
      <c r="A28" s="10" t="s">
        <v>71</v>
      </c>
      <c r="B28" s="103"/>
      <c r="C28" s="142"/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  <c r="P28" s="145"/>
      <c r="Q28" s="71"/>
      <c r="R28" s="71"/>
      <c r="S28" s="71"/>
      <c r="T28" s="71"/>
      <c r="U28" s="146"/>
      <c r="V28" s="146"/>
      <c r="W28" s="146"/>
      <c r="X28" s="146"/>
      <c r="Y28" s="146"/>
      <c r="Z28" s="146"/>
      <c r="AA28" s="147"/>
      <c r="AB28" s="147"/>
      <c r="AC28" s="148"/>
      <c r="AD28" s="149"/>
      <c r="AE28" s="149"/>
      <c r="AF28" s="149"/>
      <c r="AG28" s="8"/>
      <c r="AH28" s="8"/>
      <c r="AI28" s="8"/>
      <c r="AJ28" s="8"/>
      <c r="AK28" s="8"/>
      <c r="AL28" s="8"/>
      <c r="AM28" s="8"/>
      <c r="AN28" s="8"/>
      <c r="AO28" s="108"/>
      <c r="AP28" s="108"/>
      <c r="AQ28" s="108"/>
      <c r="AR28" s="108"/>
      <c r="AS28" s="150"/>
      <c r="AT28" s="150"/>
      <c r="AU28" s="141"/>
      <c r="AV28" s="8"/>
      <c r="AW28" s="8"/>
      <c r="AX28" s="108"/>
      <c r="AY28" s="108"/>
      <c r="AZ28" s="108"/>
      <c r="BA28" s="8"/>
      <c r="BB28" s="8"/>
      <c r="BC28" s="8"/>
      <c r="BD28" s="139"/>
    </row>
    <row r="29" spans="1:56" s="26" customFormat="1" ht="12.75" hidden="1">
      <c r="A29" s="62" t="s">
        <v>38</v>
      </c>
      <c r="B29" s="130">
        <v>348.8</v>
      </c>
      <c r="C29" s="185">
        <f aca="true" t="shared" si="21" ref="C29:C40">B29*8.65</f>
        <v>3017.1200000000003</v>
      </c>
      <c r="D29" s="38">
        <f>C29-E29-F29-G29-H29-I29-J29-K29-L29-M29-N29+3079.02+2074.8</f>
        <v>5899.59</v>
      </c>
      <c r="E29" s="41">
        <v>293.34</v>
      </c>
      <c r="F29" s="41">
        <v>24.66</v>
      </c>
      <c r="G29" s="41">
        <v>110.5</v>
      </c>
      <c r="H29" s="41">
        <v>9.32</v>
      </c>
      <c r="I29" s="41">
        <v>860.32</v>
      </c>
      <c r="J29" s="41">
        <v>72.34</v>
      </c>
      <c r="K29" s="41">
        <v>596.31</v>
      </c>
      <c r="L29" s="41">
        <v>50.14</v>
      </c>
      <c r="M29" s="41">
        <v>234.69</v>
      </c>
      <c r="N29" s="41">
        <v>19.73</v>
      </c>
      <c r="O29" s="41">
        <v>19557</v>
      </c>
      <c r="P29" s="42">
        <v>1189.6</v>
      </c>
      <c r="Q29" s="42"/>
      <c r="R29" s="42"/>
      <c r="S29" s="43">
        <f>E29+G29+I29+K29+M29+O29+Q29</f>
        <v>21652.16</v>
      </c>
      <c r="T29" s="79">
        <f aca="true" t="shared" si="22" ref="T29:T40">P29+N29+L29+J29+H29+F29+R29</f>
        <v>1365.79</v>
      </c>
      <c r="U29" s="43">
        <v>122.22</v>
      </c>
      <c r="V29" s="43">
        <v>46.17</v>
      </c>
      <c r="W29" s="43">
        <v>358.52</v>
      </c>
      <c r="X29" s="43">
        <v>248.53</v>
      </c>
      <c r="Y29" s="43">
        <v>97.79</v>
      </c>
      <c r="Z29" s="44">
        <v>6783.39</v>
      </c>
      <c r="AA29" s="44">
        <v>0</v>
      </c>
      <c r="AB29" s="44">
        <f>SUM(U29:AA29)</f>
        <v>7656.62</v>
      </c>
      <c r="AC29" s="168">
        <f aca="true" t="shared" si="23" ref="AC29:AC40">D29+T29+AB29</f>
        <v>14922</v>
      </c>
      <c r="AD29" s="134">
        <f aca="true" t="shared" si="24" ref="AD29:AD40">P29+Z29</f>
        <v>7972.99</v>
      </c>
      <c r="AE29" s="134">
        <f aca="true" t="shared" si="25" ref="AE29:AE40">R29+AA29</f>
        <v>0</v>
      </c>
      <c r="AF29" s="134"/>
      <c r="AG29" s="31">
        <f aca="true" t="shared" si="26" ref="AG29:AG40">0.6*B29</f>
        <v>209.28</v>
      </c>
      <c r="AH29" s="31">
        <f aca="true" t="shared" si="27" ref="AH29:AH40">B29*0.2</f>
        <v>69.76</v>
      </c>
      <c r="AI29" s="31">
        <f aca="true" t="shared" si="28" ref="AI29:AI40">1*B29</f>
        <v>348.8</v>
      </c>
      <c r="AJ29" s="31">
        <v>0</v>
      </c>
      <c r="AK29" s="31">
        <v>0</v>
      </c>
      <c r="AL29" s="31">
        <v>0</v>
      </c>
      <c r="AM29" s="31">
        <f aca="true" t="shared" si="29" ref="AM29:AM40">2.25*B29</f>
        <v>784.8000000000001</v>
      </c>
      <c r="AN29" s="31">
        <v>0</v>
      </c>
      <c r="AO29" s="31"/>
      <c r="AP29" s="31">
        <v>0</v>
      </c>
      <c r="AQ29" s="36"/>
      <c r="AR29" s="36"/>
      <c r="AS29" s="40">
        <v>0</v>
      </c>
      <c r="AT29" s="40"/>
      <c r="AU29" s="40">
        <f aca="true" t="shared" si="30" ref="AU29:AU39">AT29*0.18</f>
        <v>0</v>
      </c>
      <c r="AV29" s="80"/>
      <c r="AW29" s="135">
        <v>14820</v>
      </c>
      <c r="AX29" s="31">
        <f aca="true" t="shared" si="31" ref="AX29:AX40">AW29*1.4</f>
        <v>20748</v>
      </c>
      <c r="AY29" s="31"/>
      <c r="AZ29" s="136"/>
      <c r="BA29" s="136">
        <f aca="true" t="shared" si="32" ref="BA29:BA40">AZ29*0.18</f>
        <v>0</v>
      </c>
      <c r="BB29" s="66">
        <f aca="true" t="shared" si="33" ref="BB29:BB40">SUM(AG29:BA29)-AV29-AW29</f>
        <v>22160.64</v>
      </c>
      <c r="BC29" s="137">
        <f>AC29-BB29</f>
        <v>-7238.639999999999</v>
      </c>
      <c r="BD29" s="139">
        <f aca="true" t="shared" si="34" ref="BD29:BD40">AB29-S29</f>
        <v>-13995.54</v>
      </c>
    </row>
    <row r="30" spans="1:56" s="26" customFormat="1" ht="12.75" hidden="1">
      <c r="A30" s="62" t="s">
        <v>39</v>
      </c>
      <c r="B30" s="138">
        <v>348.8</v>
      </c>
      <c r="C30" s="185">
        <f t="shared" si="21"/>
        <v>3017.1200000000003</v>
      </c>
      <c r="D30" s="38">
        <f>C30-E30-F30-G30-H30-I30-J30-K30-L30-M30-N30+4176.75+2826.6</f>
        <v>7749.120000000001</v>
      </c>
      <c r="E30" s="59">
        <v>293.34</v>
      </c>
      <c r="F30" s="60">
        <v>24.66</v>
      </c>
      <c r="G30" s="60">
        <v>110.5</v>
      </c>
      <c r="H30" s="60">
        <v>9.32</v>
      </c>
      <c r="I30" s="60">
        <v>860.32</v>
      </c>
      <c r="J30" s="60">
        <v>72.34</v>
      </c>
      <c r="K30" s="60">
        <v>596.31</v>
      </c>
      <c r="L30" s="60">
        <v>50.14</v>
      </c>
      <c r="M30" s="60">
        <v>234.69</v>
      </c>
      <c r="N30" s="60">
        <v>19.73</v>
      </c>
      <c r="O30" s="60">
        <v>26645.95</v>
      </c>
      <c r="P30" s="76">
        <v>1620.8</v>
      </c>
      <c r="Q30" s="45">
        <v>0</v>
      </c>
      <c r="R30" s="45">
        <v>0</v>
      </c>
      <c r="S30" s="43">
        <f>E30+G30+I30+K30+M30+O30+Q30</f>
        <v>28741.11</v>
      </c>
      <c r="T30" s="79">
        <f t="shared" si="22"/>
        <v>1796.99</v>
      </c>
      <c r="U30" s="6">
        <v>157.66</v>
      </c>
      <c r="V30" s="6">
        <v>59.57</v>
      </c>
      <c r="W30" s="6">
        <v>462.5</v>
      </c>
      <c r="X30" s="6">
        <v>320.58</v>
      </c>
      <c r="Y30" s="6">
        <v>126.14</v>
      </c>
      <c r="Z30" s="45">
        <v>12047.37</v>
      </c>
      <c r="AA30" s="45">
        <v>0</v>
      </c>
      <c r="AB30" s="44">
        <f>SUM(U30:AA30)</f>
        <v>13173.820000000002</v>
      </c>
      <c r="AC30" s="63">
        <f t="shared" si="23"/>
        <v>22719.93</v>
      </c>
      <c r="AD30" s="134">
        <f t="shared" si="24"/>
        <v>13668.17</v>
      </c>
      <c r="AE30" s="134">
        <f t="shared" si="25"/>
        <v>0</v>
      </c>
      <c r="AF30" s="134"/>
      <c r="AG30" s="64">
        <f t="shared" si="26"/>
        <v>209.28</v>
      </c>
      <c r="AH30" s="64">
        <f t="shared" si="27"/>
        <v>69.76</v>
      </c>
      <c r="AI30" s="64">
        <f t="shared" si="28"/>
        <v>348.8</v>
      </c>
      <c r="AJ30" s="64">
        <v>0</v>
      </c>
      <c r="AK30" s="31">
        <v>0</v>
      </c>
      <c r="AL30" s="64">
        <v>0</v>
      </c>
      <c r="AM30" s="64">
        <f t="shared" si="29"/>
        <v>784.8000000000001</v>
      </c>
      <c r="AN30" s="64">
        <v>0</v>
      </c>
      <c r="AO30" s="31"/>
      <c r="AP30" s="64"/>
      <c r="AQ30" s="39"/>
      <c r="AR30" s="39"/>
      <c r="AS30" s="40"/>
      <c r="AT30" s="73"/>
      <c r="AU30" s="73">
        <f t="shared" si="30"/>
        <v>0</v>
      </c>
      <c r="AV30" s="75"/>
      <c r="AW30" s="65">
        <v>20190</v>
      </c>
      <c r="AX30" s="31">
        <f t="shared" si="31"/>
        <v>28266</v>
      </c>
      <c r="AY30" s="31"/>
      <c r="AZ30" s="66"/>
      <c r="BA30" s="66">
        <f t="shared" si="32"/>
        <v>0</v>
      </c>
      <c r="BB30" s="66">
        <f t="shared" si="33"/>
        <v>29678.64</v>
      </c>
      <c r="BC30" s="137">
        <f aca="true" t="shared" si="35" ref="BC30:BC40">AC30-BB30</f>
        <v>-6958.709999999999</v>
      </c>
      <c r="BD30" s="139">
        <f t="shared" si="34"/>
        <v>-15567.289999999999</v>
      </c>
    </row>
    <row r="31" spans="1:56" s="26" customFormat="1" ht="12.75" hidden="1">
      <c r="A31" s="62" t="s">
        <v>40</v>
      </c>
      <c r="B31" s="138">
        <v>348.8</v>
      </c>
      <c r="C31" s="185">
        <f t="shared" si="21"/>
        <v>3017.1200000000003</v>
      </c>
      <c r="D31" s="38">
        <f>C31-E31-F31-G31-H31-I31-J31-K31-L31-M31-N31+2229+2444.4</f>
        <v>5419.17</v>
      </c>
      <c r="E31" s="60">
        <v>293.34</v>
      </c>
      <c r="F31" s="60">
        <v>24.66</v>
      </c>
      <c r="G31" s="60">
        <v>110.5</v>
      </c>
      <c r="H31" s="60">
        <v>9.32</v>
      </c>
      <c r="I31" s="60">
        <v>860.32</v>
      </c>
      <c r="J31" s="60">
        <v>72.34</v>
      </c>
      <c r="K31" s="60">
        <v>596.31</v>
      </c>
      <c r="L31" s="60">
        <v>50.14</v>
      </c>
      <c r="M31" s="60">
        <v>234.69</v>
      </c>
      <c r="N31" s="60">
        <v>19.73</v>
      </c>
      <c r="O31" s="60">
        <v>16117.8</v>
      </c>
      <c r="P31" s="76">
        <v>1261.4</v>
      </c>
      <c r="Q31" s="76">
        <v>0</v>
      </c>
      <c r="R31" s="76">
        <v>0</v>
      </c>
      <c r="S31" s="43">
        <f>E31+G31+I31+K31+M31+O31+Q31</f>
        <v>18212.96</v>
      </c>
      <c r="T31" s="79">
        <f t="shared" si="22"/>
        <v>1437.5900000000001</v>
      </c>
      <c r="U31" s="6">
        <v>258.24</v>
      </c>
      <c r="V31" s="6">
        <v>97.09</v>
      </c>
      <c r="W31" s="6">
        <v>757.27</v>
      </c>
      <c r="X31" s="6">
        <v>524.82</v>
      </c>
      <c r="Y31" s="6">
        <v>206.59</v>
      </c>
      <c r="Z31" s="45">
        <v>25300.1</v>
      </c>
      <c r="AA31" s="45">
        <v>0</v>
      </c>
      <c r="AB31" s="44">
        <f>SUM(U31:AA31)</f>
        <v>27144.109999999997</v>
      </c>
      <c r="AC31" s="63">
        <f t="shared" si="23"/>
        <v>34000.869999999995</v>
      </c>
      <c r="AD31" s="134">
        <f t="shared" si="24"/>
        <v>26561.5</v>
      </c>
      <c r="AE31" s="134">
        <f t="shared" si="25"/>
        <v>0</v>
      </c>
      <c r="AF31" s="134"/>
      <c r="AG31" s="64">
        <f t="shared" si="26"/>
        <v>209.28</v>
      </c>
      <c r="AH31" s="64">
        <f t="shared" si="27"/>
        <v>69.76</v>
      </c>
      <c r="AI31" s="64">
        <f t="shared" si="28"/>
        <v>348.8</v>
      </c>
      <c r="AJ31" s="64">
        <v>0</v>
      </c>
      <c r="AK31" s="31">
        <v>0</v>
      </c>
      <c r="AL31" s="64">
        <v>0</v>
      </c>
      <c r="AM31" s="64">
        <f t="shared" si="29"/>
        <v>784.8000000000001</v>
      </c>
      <c r="AN31" s="64">
        <v>0</v>
      </c>
      <c r="AO31" s="31"/>
      <c r="AP31" s="64"/>
      <c r="AQ31" s="48">
        <v>4857</v>
      </c>
      <c r="AR31" s="39"/>
      <c r="AS31" s="40"/>
      <c r="AT31" s="73"/>
      <c r="AU31" s="73">
        <f t="shared" si="30"/>
        <v>0</v>
      </c>
      <c r="AV31" s="75"/>
      <c r="AW31" s="65">
        <v>17460</v>
      </c>
      <c r="AX31" s="31">
        <f t="shared" si="31"/>
        <v>24444</v>
      </c>
      <c r="AY31" s="31"/>
      <c r="AZ31" s="66"/>
      <c r="BA31" s="66">
        <f t="shared" si="32"/>
        <v>0</v>
      </c>
      <c r="BB31" s="66">
        <f t="shared" si="33"/>
        <v>30713.64</v>
      </c>
      <c r="BC31" s="137">
        <f t="shared" si="35"/>
        <v>3287.229999999996</v>
      </c>
      <c r="BD31" s="139">
        <f t="shared" si="34"/>
        <v>8931.149999999998</v>
      </c>
    </row>
    <row r="32" spans="1:56" s="26" customFormat="1" ht="12.75" hidden="1">
      <c r="A32" s="62" t="s">
        <v>41</v>
      </c>
      <c r="B32" s="130">
        <v>348.8</v>
      </c>
      <c r="C32" s="185">
        <f t="shared" si="21"/>
        <v>3017.1200000000003</v>
      </c>
      <c r="D32" s="38">
        <f>C32-E32-F32-G32-H32-I32-J32-K32-L32-M32-N32+3358.25+1713.6</f>
        <v>5817.620000000001</v>
      </c>
      <c r="E32" s="60">
        <v>293.34</v>
      </c>
      <c r="F32" s="60">
        <v>24.66</v>
      </c>
      <c r="G32" s="60">
        <v>110.5</v>
      </c>
      <c r="H32" s="60">
        <v>9.32</v>
      </c>
      <c r="I32" s="60">
        <v>860.32</v>
      </c>
      <c r="J32" s="60">
        <v>72.34</v>
      </c>
      <c r="K32" s="60">
        <v>596.31</v>
      </c>
      <c r="L32" s="60">
        <v>50.14</v>
      </c>
      <c r="M32" s="60">
        <v>234.69</v>
      </c>
      <c r="N32" s="60">
        <v>19.73</v>
      </c>
      <c r="O32" s="60">
        <v>14539.56</v>
      </c>
      <c r="P32" s="76">
        <v>884.4</v>
      </c>
      <c r="Q32" s="76"/>
      <c r="R32" s="76"/>
      <c r="S32" s="43">
        <f>E32+G32+I32+K32+M32+O32+Q32</f>
        <v>16634.72</v>
      </c>
      <c r="T32" s="79">
        <f t="shared" si="22"/>
        <v>1060.59</v>
      </c>
      <c r="U32" s="6">
        <v>183.47</v>
      </c>
      <c r="V32" s="6">
        <v>66.8</v>
      </c>
      <c r="W32" s="6">
        <v>497.57</v>
      </c>
      <c r="X32" s="6">
        <v>343.79</v>
      </c>
      <c r="Y32" s="6">
        <v>146.77</v>
      </c>
      <c r="Z32" s="45">
        <v>2714.33</v>
      </c>
      <c r="AA32" s="45">
        <v>0</v>
      </c>
      <c r="AB32" s="44">
        <f>SUM(U32:AA32)</f>
        <v>3952.7299999999996</v>
      </c>
      <c r="AC32" s="168">
        <f t="shared" si="23"/>
        <v>10830.94</v>
      </c>
      <c r="AD32" s="134">
        <f t="shared" si="24"/>
        <v>3598.73</v>
      </c>
      <c r="AE32" s="134">
        <f t="shared" si="25"/>
        <v>0</v>
      </c>
      <c r="AF32" s="134"/>
      <c r="AG32" s="31">
        <f t="shared" si="26"/>
        <v>209.28</v>
      </c>
      <c r="AH32" s="31">
        <f t="shared" si="27"/>
        <v>69.76</v>
      </c>
      <c r="AI32" s="31">
        <f t="shared" si="28"/>
        <v>348.8</v>
      </c>
      <c r="AJ32" s="31">
        <v>0</v>
      </c>
      <c r="AK32" s="31">
        <v>0</v>
      </c>
      <c r="AL32" s="31">
        <v>0</v>
      </c>
      <c r="AM32" s="31">
        <f t="shared" si="29"/>
        <v>784.8000000000001</v>
      </c>
      <c r="AN32" s="31">
        <v>0</v>
      </c>
      <c r="AO32" s="31"/>
      <c r="AP32" s="31"/>
      <c r="AQ32" s="36"/>
      <c r="AR32" s="36"/>
      <c r="AS32" s="73">
        <v>390</v>
      </c>
      <c r="AT32" s="40"/>
      <c r="AU32" s="40">
        <f t="shared" si="30"/>
        <v>0</v>
      </c>
      <c r="AV32" s="80"/>
      <c r="AW32" s="135">
        <v>12240</v>
      </c>
      <c r="AX32" s="31">
        <f t="shared" si="31"/>
        <v>17136</v>
      </c>
      <c r="AY32" s="31"/>
      <c r="AZ32" s="136"/>
      <c r="BA32" s="136">
        <f t="shared" si="32"/>
        <v>0</v>
      </c>
      <c r="BB32" s="136">
        <f t="shared" si="33"/>
        <v>18938.64</v>
      </c>
      <c r="BC32" s="137">
        <f t="shared" si="35"/>
        <v>-8107.699999999999</v>
      </c>
      <c r="BD32" s="139">
        <f t="shared" si="34"/>
        <v>-12681.990000000002</v>
      </c>
    </row>
    <row r="33" spans="1:56" s="26" customFormat="1" ht="12.75" hidden="1">
      <c r="A33" s="62" t="s">
        <v>42</v>
      </c>
      <c r="B33" s="130">
        <v>348.8</v>
      </c>
      <c r="C33" s="185">
        <f t="shared" si="21"/>
        <v>3017.1200000000003</v>
      </c>
      <c r="D33" s="38">
        <f>C33-E33-F33-G33-H33-I33-J33-K33-L33-M33-N33+3956.35+940.8</f>
        <v>5642.92</v>
      </c>
      <c r="E33" s="41">
        <v>293.34</v>
      </c>
      <c r="F33" s="41">
        <v>24.66</v>
      </c>
      <c r="G33" s="41">
        <v>110.5</v>
      </c>
      <c r="H33" s="41">
        <v>9.32</v>
      </c>
      <c r="I33" s="41">
        <v>860.32</v>
      </c>
      <c r="J33" s="41">
        <v>72.34</v>
      </c>
      <c r="K33" s="41">
        <v>596.31</v>
      </c>
      <c r="L33" s="41">
        <v>50.14</v>
      </c>
      <c r="M33" s="41">
        <v>234.69</v>
      </c>
      <c r="N33" s="41">
        <v>19.73</v>
      </c>
      <c r="O33" s="41">
        <v>7983.24</v>
      </c>
      <c r="P33" s="42">
        <v>485.6</v>
      </c>
      <c r="Q33" s="42"/>
      <c r="R33" s="42"/>
      <c r="S33" s="43">
        <f aca="true" t="shared" si="36" ref="S33:S40">E33+G33+I33+K33+M33+O33+Q33</f>
        <v>10078.4</v>
      </c>
      <c r="T33" s="79">
        <f t="shared" si="22"/>
        <v>661.7900000000001</v>
      </c>
      <c r="U33" s="46">
        <v>93.15</v>
      </c>
      <c r="V33" s="46">
        <v>34.87</v>
      </c>
      <c r="W33" s="46">
        <v>273.11</v>
      </c>
      <c r="X33" s="46">
        <v>189.27</v>
      </c>
      <c r="Y33" s="46">
        <v>74.53</v>
      </c>
      <c r="Z33" s="47">
        <v>5607.8</v>
      </c>
      <c r="AA33" s="47">
        <v>0</v>
      </c>
      <c r="AB33" s="44">
        <f aca="true" t="shared" si="37" ref="AB33:AB40">SUM(U33:AA33)</f>
        <v>6272.7300000000005</v>
      </c>
      <c r="AC33" s="168">
        <f t="shared" si="23"/>
        <v>12577.44</v>
      </c>
      <c r="AD33" s="134">
        <f t="shared" si="24"/>
        <v>6093.400000000001</v>
      </c>
      <c r="AE33" s="134">
        <f t="shared" si="25"/>
        <v>0</v>
      </c>
      <c r="AF33" s="134"/>
      <c r="AG33" s="31">
        <f t="shared" si="26"/>
        <v>209.28</v>
      </c>
      <c r="AH33" s="31">
        <f t="shared" si="27"/>
        <v>69.76</v>
      </c>
      <c r="AI33" s="31">
        <f t="shared" si="28"/>
        <v>348.8</v>
      </c>
      <c r="AJ33" s="31">
        <v>0</v>
      </c>
      <c r="AK33" s="31">
        <v>0</v>
      </c>
      <c r="AL33" s="31">
        <v>0</v>
      </c>
      <c r="AM33" s="31">
        <f t="shared" si="29"/>
        <v>784.8000000000001</v>
      </c>
      <c r="AN33" s="31">
        <v>0</v>
      </c>
      <c r="AO33" s="31"/>
      <c r="AP33" s="31"/>
      <c r="AQ33" s="36"/>
      <c r="AR33" s="36"/>
      <c r="AS33" s="40"/>
      <c r="AT33" s="40"/>
      <c r="AU33" s="40">
        <f t="shared" si="30"/>
        <v>0</v>
      </c>
      <c r="AV33" s="80"/>
      <c r="AW33" s="135">
        <v>6720</v>
      </c>
      <c r="AX33" s="31">
        <f t="shared" si="31"/>
        <v>9408</v>
      </c>
      <c r="AY33" s="31"/>
      <c r="AZ33" s="136"/>
      <c r="BA33" s="136">
        <f t="shared" si="32"/>
        <v>0</v>
      </c>
      <c r="BB33" s="136">
        <f t="shared" si="33"/>
        <v>10820.64</v>
      </c>
      <c r="BC33" s="137">
        <f t="shared" si="35"/>
        <v>1756.800000000001</v>
      </c>
      <c r="BD33" s="139">
        <f t="shared" si="34"/>
        <v>-3805.669999999999</v>
      </c>
    </row>
    <row r="34" spans="1:56" s="26" customFormat="1" ht="12.75" hidden="1">
      <c r="A34" s="62" t="s">
        <v>43</v>
      </c>
      <c r="B34" s="130">
        <v>348.8</v>
      </c>
      <c r="C34" s="185">
        <f t="shared" si="21"/>
        <v>3017.1200000000003</v>
      </c>
      <c r="D34" s="38">
        <f>C34-E34-F34-G34-H34-I34-J34-K34-L34-M34-N34</f>
        <v>745.7900000000004</v>
      </c>
      <c r="E34" s="41">
        <v>293.34</v>
      </c>
      <c r="F34" s="41">
        <v>24.66</v>
      </c>
      <c r="G34" s="41">
        <v>110.49</v>
      </c>
      <c r="H34" s="41">
        <v>9.32</v>
      </c>
      <c r="I34" s="41">
        <v>860.32</v>
      </c>
      <c r="J34" s="41">
        <v>72.34</v>
      </c>
      <c r="K34" s="41">
        <v>596.3</v>
      </c>
      <c r="L34" s="41">
        <v>50.14</v>
      </c>
      <c r="M34" s="41">
        <v>234.69</v>
      </c>
      <c r="N34" s="41">
        <v>19.73</v>
      </c>
      <c r="O34" s="41">
        <v>0</v>
      </c>
      <c r="P34" s="42">
        <v>0</v>
      </c>
      <c r="Q34" s="41">
        <v>0</v>
      </c>
      <c r="R34" s="42">
        <v>0</v>
      </c>
      <c r="S34" s="43">
        <f t="shared" si="36"/>
        <v>2095.14</v>
      </c>
      <c r="T34" s="79">
        <f t="shared" si="22"/>
        <v>176.19</v>
      </c>
      <c r="U34" s="43">
        <v>106.05</v>
      </c>
      <c r="V34" s="43">
        <v>39.43</v>
      </c>
      <c r="W34" s="43">
        <v>310.78</v>
      </c>
      <c r="X34" s="43">
        <v>215.34</v>
      </c>
      <c r="Y34" s="43">
        <v>84.83</v>
      </c>
      <c r="Z34" s="44">
        <v>3621.71</v>
      </c>
      <c r="AA34" s="44">
        <v>0</v>
      </c>
      <c r="AB34" s="44">
        <f t="shared" si="37"/>
        <v>4378.14</v>
      </c>
      <c r="AC34" s="168">
        <f t="shared" si="23"/>
        <v>5300.120000000001</v>
      </c>
      <c r="AD34" s="134">
        <f t="shared" si="24"/>
        <v>3621.71</v>
      </c>
      <c r="AE34" s="134">
        <f t="shared" si="25"/>
        <v>0</v>
      </c>
      <c r="AF34" s="134"/>
      <c r="AG34" s="31">
        <f t="shared" si="26"/>
        <v>209.28</v>
      </c>
      <c r="AH34" s="31">
        <f t="shared" si="27"/>
        <v>69.76</v>
      </c>
      <c r="AI34" s="31">
        <f t="shared" si="28"/>
        <v>348.8</v>
      </c>
      <c r="AJ34" s="31">
        <v>0</v>
      </c>
      <c r="AK34" s="31">
        <v>0</v>
      </c>
      <c r="AL34" s="31">
        <v>0</v>
      </c>
      <c r="AM34" s="31">
        <f t="shared" si="29"/>
        <v>784.8000000000001</v>
      </c>
      <c r="AN34" s="31">
        <v>0</v>
      </c>
      <c r="AO34" s="31"/>
      <c r="AP34" s="31"/>
      <c r="AQ34" s="36"/>
      <c r="AR34" s="36"/>
      <c r="AS34" s="40"/>
      <c r="AT34" s="40"/>
      <c r="AU34" s="40">
        <f t="shared" si="30"/>
        <v>0</v>
      </c>
      <c r="AV34" s="80"/>
      <c r="AW34" s="135">
        <v>0</v>
      </c>
      <c r="AX34" s="31">
        <f t="shared" si="31"/>
        <v>0</v>
      </c>
      <c r="AY34" s="31"/>
      <c r="AZ34" s="136"/>
      <c r="BA34" s="136">
        <f t="shared" si="32"/>
        <v>0</v>
      </c>
      <c r="BB34" s="136">
        <f t="shared" si="33"/>
        <v>1412.64</v>
      </c>
      <c r="BC34" s="137">
        <f t="shared" si="35"/>
        <v>3887.4800000000005</v>
      </c>
      <c r="BD34" s="139">
        <f t="shared" si="34"/>
        <v>2283.0000000000005</v>
      </c>
    </row>
    <row r="35" spans="1:56" s="9" customFormat="1" ht="12.75" hidden="1">
      <c r="A35" s="162" t="s">
        <v>44</v>
      </c>
      <c r="B35" s="138">
        <v>348.8</v>
      </c>
      <c r="C35" s="72">
        <f t="shared" si="21"/>
        <v>3017.1200000000003</v>
      </c>
      <c r="D35" s="37">
        <f>C35-E35-F35-G35-H35-I35-J35-K35-L35-M35-N35</f>
        <v>745.7700000000003</v>
      </c>
      <c r="E35" s="59">
        <v>318</v>
      </c>
      <c r="F35" s="60">
        <v>0</v>
      </c>
      <c r="G35" s="60">
        <v>119.82</v>
      </c>
      <c r="H35" s="60">
        <v>0</v>
      </c>
      <c r="I35" s="60">
        <v>932.66</v>
      </c>
      <c r="J35" s="60">
        <v>0</v>
      </c>
      <c r="K35" s="60">
        <v>646.45</v>
      </c>
      <c r="L35" s="60">
        <v>0</v>
      </c>
      <c r="M35" s="60">
        <v>254.42</v>
      </c>
      <c r="N35" s="60">
        <v>0</v>
      </c>
      <c r="O35" s="60">
        <v>0</v>
      </c>
      <c r="P35" s="76">
        <v>0</v>
      </c>
      <c r="Q35" s="76"/>
      <c r="R35" s="76"/>
      <c r="S35" s="6">
        <f t="shared" si="36"/>
        <v>2271.35</v>
      </c>
      <c r="T35" s="61">
        <f t="shared" si="22"/>
        <v>0</v>
      </c>
      <c r="U35" s="74">
        <v>110.9</v>
      </c>
      <c r="V35" s="6">
        <v>41.53</v>
      </c>
      <c r="W35" s="6">
        <v>325.11</v>
      </c>
      <c r="X35" s="6">
        <v>225.29</v>
      </c>
      <c r="Y35" s="6">
        <v>88.72</v>
      </c>
      <c r="Z35" s="45">
        <v>3527.57</v>
      </c>
      <c r="AA35" s="45">
        <v>0</v>
      </c>
      <c r="AB35" s="45">
        <f t="shared" si="37"/>
        <v>4319.12</v>
      </c>
      <c r="AC35" s="63">
        <f t="shared" si="23"/>
        <v>5064.89</v>
      </c>
      <c r="AD35" s="83">
        <f t="shared" si="24"/>
        <v>3527.57</v>
      </c>
      <c r="AE35" s="83">
        <f t="shared" si="25"/>
        <v>0</v>
      </c>
      <c r="AF35" s="83"/>
      <c r="AG35" s="64">
        <f t="shared" si="26"/>
        <v>209.28</v>
      </c>
      <c r="AH35" s="64">
        <f t="shared" si="27"/>
        <v>69.76</v>
      </c>
      <c r="AI35" s="64">
        <f t="shared" si="28"/>
        <v>348.8</v>
      </c>
      <c r="AJ35" s="64">
        <v>0</v>
      </c>
      <c r="AK35" s="64">
        <v>0</v>
      </c>
      <c r="AL35" s="64">
        <v>0</v>
      </c>
      <c r="AM35" s="64">
        <f t="shared" si="29"/>
        <v>784.8000000000001</v>
      </c>
      <c r="AN35" s="64">
        <v>0</v>
      </c>
      <c r="AO35" s="64"/>
      <c r="AP35" s="64"/>
      <c r="AQ35" s="39"/>
      <c r="AR35" s="39"/>
      <c r="AS35" s="73"/>
      <c r="AT35" s="73"/>
      <c r="AU35" s="73">
        <f t="shared" si="30"/>
        <v>0</v>
      </c>
      <c r="AV35" s="75"/>
      <c r="AW35" s="65">
        <v>0</v>
      </c>
      <c r="AX35" s="64">
        <f t="shared" si="31"/>
        <v>0</v>
      </c>
      <c r="AY35" s="64"/>
      <c r="AZ35" s="66"/>
      <c r="BA35" s="66">
        <f t="shared" si="32"/>
        <v>0</v>
      </c>
      <c r="BB35" s="66">
        <f t="shared" si="33"/>
        <v>1412.64</v>
      </c>
      <c r="BC35" s="137">
        <f t="shared" si="35"/>
        <v>3652.25</v>
      </c>
      <c r="BD35" s="139">
        <f t="shared" si="34"/>
        <v>2047.77</v>
      </c>
    </row>
    <row r="36" spans="1:56" s="9" customFormat="1" ht="12.75" hidden="1">
      <c r="A36" s="162" t="s">
        <v>45</v>
      </c>
      <c r="B36" s="138">
        <v>348.8</v>
      </c>
      <c r="C36" s="72">
        <f t="shared" si="21"/>
        <v>3017.1200000000003</v>
      </c>
      <c r="D36" s="37">
        <f>C36-E36-F36-G36-H36-I36-J36-K36-L36-M36-N36</f>
        <v>745.7700000000003</v>
      </c>
      <c r="E36" s="59">
        <v>318</v>
      </c>
      <c r="F36" s="60">
        <v>0</v>
      </c>
      <c r="G36" s="60">
        <v>119.82</v>
      </c>
      <c r="H36" s="60">
        <v>0</v>
      </c>
      <c r="I36" s="60">
        <v>932.66</v>
      </c>
      <c r="J36" s="60">
        <v>0</v>
      </c>
      <c r="K36" s="60">
        <v>646.45</v>
      </c>
      <c r="L36" s="60">
        <v>0</v>
      </c>
      <c r="M36" s="60">
        <v>254.42</v>
      </c>
      <c r="N36" s="60">
        <v>0</v>
      </c>
      <c r="O36" s="60">
        <v>0</v>
      </c>
      <c r="P36" s="76">
        <v>0</v>
      </c>
      <c r="Q36" s="76"/>
      <c r="R36" s="76"/>
      <c r="S36" s="6">
        <f t="shared" si="36"/>
        <v>2271.35</v>
      </c>
      <c r="T36" s="61">
        <f t="shared" si="22"/>
        <v>0</v>
      </c>
      <c r="U36" s="160">
        <v>215.13</v>
      </c>
      <c r="V36" s="160">
        <v>80.66</v>
      </c>
      <c r="W36" s="160">
        <v>630.98</v>
      </c>
      <c r="X36" s="160">
        <v>437.3</v>
      </c>
      <c r="Y36" s="160">
        <v>172.17</v>
      </c>
      <c r="Z36" s="161">
        <v>914.83</v>
      </c>
      <c r="AA36" s="161">
        <v>0</v>
      </c>
      <c r="AB36" s="45">
        <f t="shared" si="37"/>
        <v>2451.07</v>
      </c>
      <c r="AC36" s="63">
        <f t="shared" si="23"/>
        <v>3196.8400000000006</v>
      </c>
      <c r="AD36" s="83">
        <f t="shared" si="24"/>
        <v>914.83</v>
      </c>
      <c r="AE36" s="83">
        <f t="shared" si="25"/>
        <v>0</v>
      </c>
      <c r="AF36" s="83"/>
      <c r="AG36" s="64">
        <f t="shared" si="26"/>
        <v>209.28</v>
      </c>
      <c r="AH36" s="64">
        <f t="shared" si="27"/>
        <v>69.76</v>
      </c>
      <c r="AI36" s="64">
        <f t="shared" si="28"/>
        <v>348.8</v>
      </c>
      <c r="AJ36" s="64">
        <v>0</v>
      </c>
      <c r="AK36" s="64">
        <v>0</v>
      </c>
      <c r="AL36" s="64">
        <v>0</v>
      </c>
      <c r="AM36" s="64">
        <f t="shared" si="29"/>
        <v>784.8000000000001</v>
      </c>
      <c r="AN36" s="64">
        <v>0</v>
      </c>
      <c r="AO36" s="64"/>
      <c r="AP36" s="64"/>
      <c r="AQ36" s="39"/>
      <c r="AR36" s="39"/>
      <c r="AS36" s="73"/>
      <c r="AT36" s="73">
        <f>47.8</f>
        <v>47.8</v>
      </c>
      <c r="AU36" s="73"/>
      <c r="AV36" s="75"/>
      <c r="AW36" s="65">
        <v>0</v>
      </c>
      <c r="AX36" s="64">
        <f t="shared" si="31"/>
        <v>0</v>
      </c>
      <c r="AY36" s="64"/>
      <c r="AZ36" s="66"/>
      <c r="BA36" s="66">
        <f t="shared" si="32"/>
        <v>0</v>
      </c>
      <c r="BB36" s="66">
        <f t="shared" si="33"/>
        <v>1460.44</v>
      </c>
      <c r="BC36" s="137">
        <f t="shared" si="35"/>
        <v>1736.4000000000005</v>
      </c>
      <c r="BD36" s="139">
        <f t="shared" si="34"/>
        <v>179.72000000000025</v>
      </c>
    </row>
    <row r="37" spans="1:56" s="9" customFormat="1" ht="12.75" hidden="1">
      <c r="A37" s="163" t="s">
        <v>46</v>
      </c>
      <c r="B37" s="138">
        <v>348.8</v>
      </c>
      <c r="C37" s="72">
        <f t="shared" si="21"/>
        <v>3017.1200000000003</v>
      </c>
      <c r="D37" s="37">
        <f>C37-E37-F37-G37-H37-I37-J37-K37-L37-M37-N37+357</f>
        <v>1102.7700000000004</v>
      </c>
      <c r="E37" s="60">
        <v>318</v>
      </c>
      <c r="F37" s="60">
        <v>0</v>
      </c>
      <c r="G37" s="60">
        <v>119.82</v>
      </c>
      <c r="H37" s="60">
        <v>0</v>
      </c>
      <c r="I37" s="60">
        <v>932.66</v>
      </c>
      <c r="J37" s="60">
        <v>0</v>
      </c>
      <c r="K37" s="60">
        <v>646.45</v>
      </c>
      <c r="L37" s="60">
        <v>0</v>
      </c>
      <c r="M37" s="60">
        <v>254.42</v>
      </c>
      <c r="N37" s="60">
        <v>0</v>
      </c>
      <c r="O37" s="60">
        <v>3212.45</v>
      </c>
      <c r="P37" s="76">
        <v>0</v>
      </c>
      <c r="Q37" s="76"/>
      <c r="R37" s="76"/>
      <c r="S37" s="6">
        <f t="shared" si="36"/>
        <v>5483.799999999999</v>
      </c>
      <c r="T37" s="61">
        <f t="shared" si="22"/>
        <v>0</v>
      </c>
      <c r="U37" s="6">
        <v>166.2</v>
      </c>
      <c r="V37" s="6">
        <v>62.79</v>
      </c>
      <c r="W37" s="6">
        <v>487.53</v>
      </c>
      <c r="X37" s="6">
        <v>337.93</v>
      </c>
      <c r="Y37" s="6">
        <v>132.97</v>
      </c>
      <c r="Z37" s="45">
        <v>0.01</v>
      </c>
      <c r="AA37" s="45">
        <v>0</v>
      </c>
      <c r="AB37" s="45">
        <f t="shared" si="37"/>
        <v>1187.43</v>
      </c>
      <c r="AC37" s="63">
        <f t="shared" si="23"/>
        <v>2290.2000000000007</v>
      </c>
      <c r="AD37" s="83">
        <f t="shared" si="24"/>
        <v>0.01</v>
      </c>
      <c r="AE37" s="83">
        <f t="shared" si="25"/>
        <v>0</v>
      </c>
      <c r="AF37" s="83"/>
      <c r="AG37" s="64">
        <f t="shared" si="26"/>
        <v>209.28</v>
      </c>
      <c r="AH37" s="64">
        <f t="shared" si="27"/>
        <v>69.76</v>
      </c>
      <c r="AI37" s="64">
        <f t="shared" si="28"/>
        <v>348.8</v>
      </c>
      <c r="AJ37" s="64">
        <v>0</v>
      </c>
      <c r="AK37" s="64">
        <v>0</v>
      </c>
      <c r="AL37" s="64">
        <v>0</v>
      </c>
      <c r="AM37" s="64">
        <f t="shared" si="29"/>
        <v>784.8000000000001</v>
      </c>
      <c r="AN37" s="64">
        <v>0</v>
      </c>
      <c r="AO37" s="64"/>
      <c r="AP37" s="64"/>
      <c r="AQ37" s="39"/>
      <c r="AR37" s="39"/>
      <c r="AS37" s="73"/>
      <c r="AT37" s="73"/>
      <c r="AU37" s="187">
        <f t="shared" si="30"/>
        <v>0</v>
      </c>
      <c r="AV37" s="75"/>
      <c r="AW37" s="65">
        <v>2550</v>
      </c>
      <c r="AX37" s="64">
        <f t="shared" si="31"/>
        <v>3570</v>
      </c>
      <c r="AY37" s="64"/>
      <c r="AZ37" s="66"/>
      <c r="BA37" s="66">
        <f t="shared" si="32"/>
        <v>0</v>
      </c>
      <c r="BB37" s="66">
        <f t="shared" si="33"/>
        <v>4982.64</v>
      </c>
      <c r="BC37" s="137">
        <f t="shared" si="35"/>
        <v>-2692.4399999999996</v>
      </c>
      <c r="BD37" s="139">
        <f t="shared" si="34"/>
        <v>-4296.369999999999</v>
      </c>
    </row>
    <row r="38" spans="1:56" s="26" customFormat="1" ht="12.75" hidden="1">
      <c r="A38" s="162" t="s">
        <v>47</v>
      </c>
      <c r="B38" s="138">
        <v>348.8</v>
      </c>
      <c r="C38" s="72">
        <f t="shared" si="21"/>
        <v>3017.1200000000003</v>
      </c>
      <c r="D38" s="37">
        <f>C38-E38-F38-G38-H38-I38-J38-K38-L38-M38-N38+1008</f>
        <v>1753.7700000000004</v>
      </c>
      <c r="E38" s="77">
        <v>318</v>
      </c>
      <c r="F38" s="77">
        <v>0</v>
      </c>
      <c r="G38" s="77">
        <v>119.82</v>
      </c>
      <c r="H38" s="77">
        <v>0</v>
      </c>
      <c r="I38" s="77">
        <v>932.66</v>
      </c>
      <c r="J38" s="77">
        <v>0</v>
      </c>
      <c r="K38" s="77">
        <v>646.45</v>
      </c>
      <c r="L38" s="77">
        <v>0</v>
      </c>
      <c r="M38" s="77">
        <v>254.42</v>
      </c>
      <c r="N38" s="77">
        <v>0</v>
      </c>
      <c r="O38" s="77">
        <v>9072.29</v>
      </c>
      <c r="P38" s="156">
        <v>0</v>
      </c>
      <c r="Q38" s="156"/>
      <c r="R38" s="156"/>
      <c r="S38" s="6">
        <f t="shared" si="36"/>
        <v>11343.640000000001</v>
      </c>
      <c r="T38" s="61">
        <f t="shared" si="22"/>
        <v>0</v>
      </c>
      <c r="U38" s="6">
        <v>135.01</v>
      </c>
      <c r="V38" s="6">
        <v>51.02</v>
      </c>
      <c r="W38" s="6">
        <v>396.05</v>
      </c>
      <c r="X38" s="6">
        <v>274.56</v>
      </c>
      <c r="Y38" s="6">
        <v>108.03</v>
      </c>
      <c r="Z38" s="45">
        <v>3704.87</v>
      </c>
      <c r="AA38" s="45">
        <v>0</v>
      </c>
      <c r="AB38" s="45">
        <f t="shared" si="37"/>
        <v>4669.54</v>
      </c>
      <c r="AC38" s="63">
        <f t="shared" si="23"/>
        <v>6423.31</v>
      </c>
      <c r="AD38" s="83">
        <f t="shared" si="24"/>
        <v>3704.87</v>
      </c>
      <c r="AE38" s="83">
        <f t="shared" si="25"/>
        <v>0</v>
      </c>
      <c r="AF38" s="83"/>
      <c r="AG38" s="64">
        <f t="shared" si="26"/>
        <v>209.28</v>
      </c>
      <c r="AH38" s="64">
        <f t="shared" si="27"/>
        <v>69.76</v>
      </c>
      <c r="AI38" s="64">
        <f t="shared" si="28"/>
        <v>348.8</v>
      </c>
      <c r="AJ38" s="64">
        <v>0</v>
      </c>
      <c r="AK38" s="64">
        <v>0</v>
      </c>
      <c r="AL38" s="64">
        <v>0</v>
      </c>
      <c r="AM38" s="64">
        <f t="shared" si="29"/>
        <v>784.8000000000001</v>
      </c>
      <c r="AN38" s="64">
        <v>0</v>
      </c>
      <c r="AO38" s="64"/>
      <c r="AP38" s="64"/>
      <c r="AQ38" s="39"/>
      <c r="AR38" s="39"/>
      <c r="AS38" s="73"/>
      <c r="AT38" s="73"/>
      <c r="AU38" s="73">
        <f t="shared" si="30"/>
        <v>0</v>
      </c>
      <c r="AV38" s="75"/>
      <c r="AW38" s="65">
        <v>7200</v>
      </c>
      <c r="AX38" s="64">
        <f t="shared" si="31"/>
        <v>10080</v>
      </c>
      <c r="AY38" s="64"/>
      <c r="AZ38" s="66"/>
      <c r="BA38" s="66">
        <f t="shared" si="32"/>
        <v>0</v>
      </c>
      <c r="BB38" s="66">
        <f t="shared" si="33"/>
        <v>11492.64</v>
      </c>
      <c r="BC38" s="137">
        <f t="shared" si="35"/>
        <v>-5069.329999999999</v>
      </c>
      <c r="BD38" s="139">
        <f t="shared" si="34"/>
        <v>-6674.100000000001</v>
      </c>
    </row>
    <row r="39" spans="1:56" s="26" customFormat="1" ht="12.75" hidden="1">
      <c r="A39" s="162" t="s">
        <v>48</v>
      </c>
      <c r="B39" s="138">
        <v>348.8</v>
      </c>
      <c r="C39" s="72">
        <f t="shared" si="21"/>
        <v>3017.1200000000003</v>
      </c>
      <c r="D39" s="188">
        <f>C39-E39-F39-G39-H39-I39-J39-K39-L39-M39-N39+1646.4</f>
        <v>2392.1700000000005</v>
      </c>
      <c r="E39" s="60">
        <v>318</v>
      </c>
      <c r="F39" s="60">
        <v>0</v>
      </c>
      <c r="G39" s="60">
        <v>119.82</v>
      </c>
      <c r="H39" s="60">
        <v>0</v>
      </c>
      <c r="I39" s="60">
        <v>932.66</v>
      </c>
      <c r="J39" s="60">
        <v>0</v>
      </c>
      <c r="K39" s="60">
        <v>646.45</v>
      </c>
      <c r="L39" s="60">
        <v>0</v>
      </c>
      <c r="M39" s="60">
        <v>254.42</v>
      </c>
      <c r="N39" s="60">
        <v>0</v>
      </c>
      <c r="O39" s="60">
        <v>14817</v>
      </c>
      <c r="P39" s="76">
        <v>0</v>
      </c>
      <c r="Q39" s="76"/>
      <c r="R39" s="76"/>
      <c r="S39" s="6">
        <f t="shared" si="36"/>
        <v>17088.35</v>
      </c>
      <c r="T39" s="61">
        <f t="shared" si="22"/>
        <v>0</v>
      </c>
      <c r="U39" s="74">
        <v>72.14</v>
      </c>
      <c r="V39" s="6">
        <v>27.26</v>
      </c>
      <c r="W39" s="6">
        <v>211.61</v>
      </c>
      <c r="X39" s="6">
        <v>146.66</v>
      </c>
      <c r="Y39" s="6">
        <v>57.72</v>
      </c>
      <c r="Z39" s="45">
        <v>2128.7</v>
      </c>
      <c r="AA39" s="45">
        <v>0</v>
      </c>
      <c r="AB39" s="45">
        <f t="shared" si="37"/>
        <v>2644.0899999999997</v>
      </c>
      <c r="AC39" s="63">
        <f t="shared" si="23"/>
        <v>5036.26</v>
      </c>
      <c r="AD39" s="83">
        <f t="shared" si="24"/>
        <v>2128.7</v>
      </c>
      <c r="AE39" s="83">
        <f t="shared" si="25"/>
        <v>0</v>
      </c>
      <c r="AF39" s="83"/>
      <c r="AG39" s="64">
        <f t="shared" si="26"/>
        <v>209.28</v>
      </c>
      <c r="AH39" s="64">
        <f t="shared" si="27"/>
        <v>69.76</v>
      </c>
      <c r="AI39" s="64">
        <f t="shared" si="28"/>
        <v>348.8</v>
      </c>
      <c r="AJ39" s="64">
        <v>0</v>
      </c>
      <c r="AK39" s="64">
        <v>0</v>
      </c>
      <c r="AL39" s="64">
        <v>0</v>
      </c>
      <c r="AM39" s="64">
        <f t="shared" si="29"/>
        <v>784.8000000000001</v>
      </c>
      <c r="AN39" s="64">
        <v>0</v>
      </c>
      <c r="AO39" s="64"/>
      <c r="AP39" s="64"/>
      <c r="AQ39" s="39"/>
      <c r="AR39" s="39"/>
      <c r="AS39" s="73"/>
      <c r="AT39" s="73"/>
      <c r="AU39" s="73">
        <f t="shared" si="30"/>
        <v>0</v>
      </c>
      <c r="AV39" s="75"/>
      <c r="AW39" s="65">
        <v>11760</v>
      </c>
      <c r="AX39" s="64">
        <f t="shared" si="31"/>
        <v>16464</v>
      </c>
      <c r="AY39" s="64"/>
      <c r="AZ39" s="66"/>
      <c r="BA39" s="66">
        <f t="shared" si="32"/>
        <v>0</v>
      </c>
      <c r="BB39" s="66">
        <f t="shared" si="33"/>
        <v>17876.64</v>
      </c>
      <c r="BC39" s="137">
        <f t="shared" si="35"/>
        <v>-12840.38</v>
      </c>
      <c r="BD39" s="139">
        <f t="shared" si="34"/>
        <v>-14444.259999999998</v>
      </c>
    </row>
    <row r="40" spans="1:56" s="26" customFormat="1" ht="12.75" hidden="1">
      <c r="A40" s="62" t="s">
        <v>49</v>
      </c>
      <c r="B40" s="138">
        <v>348.8</v>
      </c>
      <c r="C40" s="72">
        <f t="shared" si="21"/>
        <v>3017.1200000000003</v>
      </c>
      <c r="D40" s="37">
        <f>C40-E40-F40-G40-H40-I40-J40-K40-L40-M40-N40+1810.2</f>
        <v>2555.98</v>
      </c>
      <c r="E40" s="60">
        <v>318</v>
      </c>
      <c r="F40" s="60">
        <v>0</v>
      </c>
      <c r="G40" s="60">
        <v>119.82</v>
      </c>
      <c r="H40" s="60">
        <v>0</v>
      </c>
      <c r="I40" s="60">
        <v>932.65</v>
      </c>
      <c r="J40" s="60">
        <v>0</v>
      </c>
      <c r="K40" s="60">
        <v>646.45</v>
      </c>
      <c r="L40" s="60">
        <v>0</v>
      </c>
      <c r="M40" s="60">
        <v>254.42</v>
      </c>
      <c r="N40" s="60">
        <v>0</v>
      </c>
      <c r="O40" s="60">
        <v>16292.45</v>
      </c>
      <c r="P40" s="76">
        <v>0</v>
      </c>
      <c r="Q40" s="76"/>
      <c r="R40" s="76"/>
      <c r="S40" s="6">
        <f t="shared" si="36"/>
        <v>18563.79</v>
      </c>
      <c r="T40" s="61">
        <f t="shared" si="22"/>
        <v>0</v>
      </c>
      <c r="U40" s="6">
        <v>59.25</v>
      </c>
      <c r="V40" s="6">
        <v>22.38</v>
      </c>
      <c r="W40" s="6">
        <v>173.79</v>
      </c>
      <c r="X40" s="6">
        <v>120.47</v>
      </c>
      <c r="Y40" s="6">
        <v>47.4</v>
      </c>
      <c r="Z40" s="45">
        <v>2687.06</v>
      </c>
      <c r="AA40" s="45">
        <v>0</v>
      </c>
      <c r="AB40" s="45">
        <f t="shared" si="37"/>
        <v>3110.35</v>
      </c>
      <c r="AC40" s="63">
        <f t="shared" si="23"/>
        <v>5666.33</v>
      </c>
      <c r="AD40" s="83">
        <f t="shared" si="24"/>
        <v>2687.06</v>
      </c>
      <c r="AE40" s="83">
        <f t="shared" si="25"/>
        <v>0</v>
      </c>
      <c r="AF40" s="83"/>
      <c r="AG40" s="64">
        <f t="shared" si="26"/>
        <v>209.28</v>
      </c>
      <c r="AH40" s="64">
        <f t="shared" si="27"/>
        <v>69.76</v>
      </c>
      <c r="AI40" s="64">
        <f t="shared" si="28"/>
        <v>348.8</v>
      </c>
      <c r="AJ40" s="64">
        <v>0</v>
      </c>
      <c r="AK40" s="64">
        <v>0</v>
      </c>
      <c r="AL40" s="64">
        <v>0</v>
      </c>
      <c r="AM40" s="64">
        <f t="shared" si="29"/>
        <v>784.8000000000001</v>
      </c>
      <c r="AN40" s="64">
        <v>0</v>
      </c>
      <c r="AO40" s="64"/>
      <c r="AP40" s="64"/>
      <c r="AQ40" s="39"/>
      <c r="AR40" s="39"/>
      <c r="AS40" s="73"/>
      <c r="AT40" s="73"/>
      <c r="AU40" s="73">
        <f>AT40*0.18</f>
        <v>0</v>
      </c>
      <c r="AV40" s="75"/>
      <c r="AW40" s="65">
        <v>19170</v>
      </c>
      <c r="AX40" s="64">
        <f t="shared" si="31"/>
        <v>26838</v>
      </c>
      <c r="AY40" s="64"/>
      <c r="AZ40" s="66"/>
      <c r="BA40" s="66">
        <f t="shared" si="32"/>
        <v>0</v>
      </c>
      <c r="BB40" s="66">
        <f t="shared" si="33"/>
        <v>28250.64</v>
      </c>
      <c r="BC40" s="137">
        <f t="shared" si="35"/>
        <v>-22584.309999999998</v>
      </c>
      <c r="BD40" s="139">
        <f t="shared" si="34"/>
        <v>-15453.44</v>
      </c>
    </row>
    <row r="41" spans="1:56" s="9" customFormat="1" ht="12.75" hidden="1">
      <c r="A41" s="11" t="s">
        <v>5</v>
      </c>
      <c r="B41" s="84"/>
      <c r="C41" s="84">
        <f aca="true" t="shared" si="38" ref="C41:BA41">SUM(C29:C40)</f>
        <v>36205.44</v>
      </c>
      <c r="D41" s="84">
        <f t="shared" si="38"/>
        <v>40570.44000000001</v>
      </c>
      <c r="E41" s="85">
        <f t="shared" si="38"/>
        <v>3668.04</v>
      </c>
      <c r="F41" s="85">
        <f t="shared" si="38"/>
        <v>147.96</v>
      </c>
      <c r="G41" s="85">
        <f t="shared" si="38"/>
        <v>1381.9099999999996</v>
      </c>
      <c r="H41" s="85">
        <f t="shared" si="38"/>
        <v>55.92</v>
      </c>
      <c r="I41" s="85">
        <f t="shared" si="38"/>
        <v>10757.869999999999</v>
      </c>
      <c r="J41" s="85">
        <f t="shared" si="38"/>
        <v>434.0400000000001</v>
      </c>
      <c r="K41" s="85">
        <f t="shared" si="38"/>
        <v>7456.549999999998</v>
      </c>
      <c r="L41" s="85">
        <f t="shared" si="38"/>
        <v>300.84</v>
      </c>
      <c r="M41" s="85">
        <f t="shared" si="38"/>
        <v>2934.6600000000003</v>
      </c>
      <c r="N41" s="85">
        <f t="shared" si="38"/>
        <v>118.38000000000001</v>
      </c>
      <c r="O41" s="85">
        <f t="shared" si="38"/>
        <v>128237.74</v>
      </c>
      <c r="P41" s="85">
        <f t="shared" si="38"/>
        <v>5441.8</v>
      </c>
      <c r="Q41" s="85">
        <f t="shared" si="38"/>
        <v>0</v>
      </c>
      <c r="R41" s="85">
        <f t="shared" si="38"/>
        <v>0</v>
      </c>
      <c r="S41" s="85">
        <f t="shared" si="38"/>
        <v>154436.77000000002</v>
      </c>
      <c r="T41" s="85">
        <f t="shared" si="38"/>
        <v>6498.94</v>
      </c>
      <c r="U41" s="86">
        <f t="shared" si="38"/>
        <v>1679.4200000000003</v>
      </c>
      <c r="V41" s="86">
        <f t="shared" si="38"/>
        <v>629.5699999999999</v>
      </c>
      <c r="W41" s="86">
        <f t="shared" si="38"/>
        <v>4884.82</v>
      </c>
      <c r="X41" s="86">
        <f t="shared" si="38"/>
        <v>3384.5399999999995</v>
      </c>
      <c r="Y41" s="86">
        <f t="shared" si="38"/>
        <v>1343.66</v>
      </c>
      <c r="Z41" s="164">
        <f t="shared" si="38"/>
        <v>69037.74</v>
      </c>
      <c r="AA41" s="86">
        <f t="shared" si="38"/>
        <v>0</v>
      </c>
      <c r="AB41" s="86">
        <f t="shared" si="38"/>
        <v>80959.75</v>
      </c>
      <c r="AC41" s="86">
        <f t="shared" si="38"/>
        <v>128029.12999999998</v>
      </c>
      <c r="AD41" s="34">
        <f t="shared" si="38"/>
        <v>74479.54</v>
      </c>
      <c r="AE41" s="34">
        <f t="shared" si="38"/>
        <v>0</v>
      </c>
      <c r="AF41" s="34"/>
      <c r="AG41" s="7">
        <f t="shared" si="38"/>
        <v>2511.3600000000006</v>
      </c>
      <c r="AH41" s="7">
        <f t="shared" si="38"/>
        <v>837.12</v>
      </c>
      <c r="AI41" s="7">
        <f t="shared" si="38"/>
        <v>4185.600000000001</v>
      </c>
      <c r="AJ41" s="7">
        <f t="shared" si="38"/>
        <v>0</v>
      </c>
      <c r="AK41" s="7">
        <f t="shared" si="38"/>
        <v>0</v>
      </c>
      <c r="AL41" s="7">
        <f t="shared" si="38"/>
        <v>0</v>
      </c>
      <c r="AM41" s="7">
        <f t="shared" si="38"/>
        <v>9417.6</v>
      </c>
      <c r="AN41" s="7">
        <f>SUM(AN29:AN40)</f>
        <v>0</v>
      </c>
      <c r="AO41" s="7">
        <f t="shared" si="38"/>
        <v>0</v>
      </c>
      <c r="AP41" s="7">
        <f t="shared" si="38"/>
        <v>0</v>
      </c>
      <c r="AQ41" s="7">
        <f>SUM(AQ29:AQ40)</f>
        <v>4857</v>
      </c>
      <c r="AR41" s="7">
        <f>SUM(AR29:AR40)</f>
        <v>0</v>
      </c>
      <c r="AS41" s="87">
        <f>SUM(AS29:AS40)</f>
        <v>390</v>
      </c>
      <c r="AT41" s="87">
        <f t="shared" si="38"/>
        <v>47.8</v>
      </c>
      <c r="AU41" s="87">
        <f t="shared" si="38"/>
        <v>0</v>
      </c>
      <c r="AV41" s="7"/>
      <c r="AW41" s="7"/>
      <c r="AX41" s="7">
        <f>SUM(AX29:AX40)</f>
        <v>156954</v>
      </c>
      <c r="AY41" s="7">
        <f>SUM(AY29:AY40)</f>
        <v>0</v>
      </c>
      <c r="AZ41" s="7">
        <f t="shared" si="38"/>
        <v>0</v>
      </c>
      <c r="BA41" s="7">
        <f t="shared" si="38"/>
        <v>0</v>
      </c>
      <c r="BB41" s="7">
        <f>SUM(BB29:BB40)</f>
        <v>179200.48000000004</v>
      </c>
      <c r="BC41" s="7">
        <f>SUM(BC29:BC40)</f>
        <v>-51171.34999999999</v>
      </c>
      <c r="BD41" s="12">
        <f>SUM(BD29:BD40)</f>
        <v>-73477.02</v>
      </c>
    </row>
    <row r="42" spans="1:56" s="26" customFormat="1" ht="13.5" thickBot="1">
      <c r="A42" s="13" t="s">
        <v>53</v>
      </c>
      <c r="B42" s="14"/>
      <c r="C42" s="14">
        <f aca="true" t="shared" si="39" ref="C42:BD42">C12+C26+C41</f>
        <v>118005.89500000002</v>
      </c>
      <c r="D42" s="14">
        <f t="shared" si="39"/>
        <v>86933.66365075001</v>
      </c>
      <c r="E42" s="14">
        <f t="shared" si="39"/>
        <v>7830.499999999999</v>
      </c>
      <c r="F42" s="14">
        <f t="shared" si="39"/>
        <v>538.6800000000001</v>
      </c>
      <c r="G42" s="14">
        <f t="shared" si="39"/>
        <v>3129.6899999999996</v>
      </c>
      <c r="H42" s="14">
        <f t="shared" si="39"/>
        <v>219.32</v>
      </c>
      <c r="I42" s="14">
        <f t="shared" si="39"/>
        <v>22031.749999999996</v>
      </c>
      <c r="J42" s="14">
        <f t="shared" si="39"/>
        <v>1473.1400000000003</v>
      </c>
      <c r="K42" s="14">
        <f t="shared" si="39"/>
        <v>15259.559999999998</v>
      </c>
      <c r="L42" s="14">
        <f t="shared" si="39"/>
        <v>1019.78</v>
      </c>
      <c r="M42" s="14">
        <f t="shared" si="39"/>
        <v>6264.720000000001</v>
      </c>
      <c r="N42" s="14">
        <f t="shared" si="39"/>
        <v>430.99999999999994</v>
      </c>
      <c r="O42" s="14">
        <f t="shared" si="39"/>
        <v>237647.13</v>
      </c>
      <c r="P42" s="14">
        <f t="shared" si="39"/>
        <v>12122.47</v>
      </c>
      <c r="Q42" s="14">
        <f t="shared" si="39"/>
        <v>0</v>
      </c>
      <c r="R42" s="14">
        <f t="shared" si="39"/>
        <v>0</v>
      </c>
      <c r="S42" s="14">
        <f t="shared" si="39"/>
        <v>292163.35</v>
      </c>
      <c r="T42" s="14">
        <f t="shared" si="39"/>
        <v>15804.39</v>
      </c>
      <c r="U42" s="14">
        <f t="shared" si="39"/>
        <v>5159.110000000001</v>
      </c>
      <c r="V42" s="14">
        <f t="shared" si="39"/>
        <v>2119.37</v>
      </c>
      <c r="W42" s="14">
        <f t="shared" si="39"/>
        <v>14155.599999999999</v>
      </c>
      <c r="X42" s="14">
        <f t="shared" si="39"/>
        <v>9799.23</v>
      </c>
      <c r="Y42" s="14">
        <f t="shared" si="39"/>
        <v>4127.44</v>
      </c>
      <c r="Z42" s="165">
        <f t="shared" si="39"/>
        <v>161173.90000000002</v>
      </c>
      <c r="AA42" s="14">
        <f t="shared" si="39"/>
        <v>0</v>
      </c>
      <c r="AB42" s="14">
        <f t="shared" si="39"/>
        <v>196534.65</v>
      </c>
      <c r="AC42" s="14">
        <f t="shared" si="39"/>
        <v>299272.70365075</v>
      </c>
      <c r="AD42" s="14">
        <f t="shared" si="39"/>
        <v>173296.37</v>
      </c>
      <c r="AE42" s="14">
        <f t="shared" si="39"/>
        <v>0</v>
      </c>
      <c r="AF42" s="14">
        <f t="shared" si="39"/>
        <v>0</v>
      </c>
      <c r="AG42" s="14">
        <f t="shared" si="39"/>
        <v>5579.700000000001</v>
      </c>
      <c r="AH42" s="14">
        <f t="shared" si="39"/>
        <v>1869.672455</v>
      </c>
      <c r="AI42" s="14">
        <f t="shared" si="39"/>
        <v>8487.663313750003</v>
      </c>
      <c r="AJ42" s="14">
        <f t="shared" si="39"/>
        <v>774.371396475</v>
      </c>
      <c r="AK42" s="14">
        <f t="shared" si="39"/>
        <v>2328.4739160999998</v>
      </c>
      <c r="AL42" s="14">
        <f t="shared" si="39"/>
        <v>419.12530489799997</v>
      </c>
      <c r="AM42" s="14">
        <f t="shared" si="39"/>
        <v>18950.80892738644</v>
      </c>
      <c r="AN42" s="14">
        <f t="shared" si="39"/>
        <v>1715.977606929559</v>
      </c>
      <c r="AO42" s="14">
        <f t="shared" si="39"/>
        <v>6920.1</v>
      </c>
      <c r="AP42" s="14">
        <f t="shared" si="39"/>
        <v>1245.618</v>
      </c>
      <c r="AQ42" s="14">
        <f t="shared" si="39"/>
        <v>11157</v>
      </c>
      <c r="AR42" s="14">
        <f t="shared" si="39"/>
        <v>1134</v>
      </c>
      <c r="AS42" s="14">
        <f t="shared" si="39"/>
        <v>25852.42</v>
      </c>
      <c r="AT42" s="14">
        <f t="shared" si="39"/>
        <v>4132.400000000001</v>
      </c>
      <c r="AU42" s="14">
        <f t="shared" si="39"/>
        <v>5318.4636</v>
      </c>
      <c r="AV42" s="14">
        <f t="shared" si="39"/>
        <v>0</v>
      </c>
      <c r="AW42" s="14">
        <f t="shared" si="39"/>
        <v>0</v>
      </c>
      <c r="AX42" s="14">
        <f t="shared" si="39"/>
        <v>359198.446</v>
      </c>
      <c r="AY42" s="14">
        <f t="shared" si="39"/>
        <v>0</v>
      </c>
      <c r="AZ42" s="14">
        <f t="shared" si="39"/>
        <v>0</v>
      </c>
      <c r="BA42" s="14">
        <f t="shared" si="39"/>
        <v>0</v>
      </c>
      <c r="BB42" s="14">
        <f t="shared" si="39"/>
        <v>455084.240520539</v>
      </c>
      <c r="BC42" s="166">
        <f t="shared" si="39"/>
        <v>-155811.53686978898</v>
      </c>
      <c r="BD42" s="14">
        <f t="shared" si="39"/>
        <v>-95628.70000000001</v>
      </c>
    </row>
    <row r="43" spans="1:49" s="9" customFormat="1" ht="12.75">
      <c r="A43" s="11"/>
      <c r="B43" s="84"/>
      <c r="C43" s="84"/>
      <c r="D43" s="84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6"/>
      <c r="R43" s="86"/>
      <c r="S43" s="86"/>
      <c r="T43" s="86"/>
      <c r="U43" s="86"/>
      <c r="V43" s="86"/>
      <c r="W43" s="86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7"/>
      <c r="AI43" s="88"/>
      <c r="AJ43" s="88"/>
      <c r="AK43" s="87"/>
      <c r="AL43" s="87"/>
      <c r="AM43" s="87"/>
      <c r="AN43" s="7"/>
      <c r="AO43" s="7"/>
      <c r="AP43" s="89"/>
      <c r="AQ43" s="90"/>
      <c r="AR43" s="90"/>
      <c r="AS43" s="90"/>
      <c r="AT43" s="90"/>
      <c r="AU43" s="90"/>
      <c r="AV43" s="90"/>
      <c r="AW43" s="91"/>
    </row>
  </sheetData>
  <sheetProtection/>
  <mergeCells count="65">
    <mergeCell ref="I5:I6"/>
    <mergeCell ref="E5:E6"/>
    <mergeCell ref="Z5:Z6"/>
    <mergeCell ref="E4:F4"/>
    <mergeCell ref="A1:N1"/>
    <mergeCell ref="A3:A6"/>
    <mergeCell ref="B3:B6"/>
    <mergeCell ref="C3:C6"/>
    <mergeCell ref="D3:D6"/>
    <mergeCell ref="E3:R3"/>
    <mergeCell ref="G5:G6"/>
    <mergeCell ref="H5:H6"/>
    <mergeCell ref="N5:N6"/>
    <mergeCell ref="O5:O6"/>
    <mergeCell ref="P5:P6"/>
    <mergeCell ref="F5:F6"/>
    <mergeCell ref="S3:T4"/>
    <mergeCell ref="U3:AB4"/>
    <mergeCell ref="V5:V6"/>
    <mergeCell ref="W5:W6"/>
    <mergeCell ref="X5:X6"/>
    <mergeCell ref="Y5:Y6"/>
    <mergeCell ref="J5:J6"/>
    <mergeCell ref="K5:K6"/>
    <mergeCell ref="L5:L6"/>
    <mergeCell ref="M5:M6"/>
    <mergeCell ref="AB5:AB6"/>
    <mergeCell ref="G4:H4"/>
    <mergeCell ref="I4:J4"/>
    <mergeCell ref="K4:L4"/>
    <mergeCell ref="M4:N4"/>
    <mergeCell ref="O4:P4"/>
    <mergeCell ref="AD3:AD6"/>
    <mergeCell ref="AE3:AE6"/>
    <mergeCell ref="R5:R6"/>
    <mergeCell ref="S5:S6"/>
    <mergeCell ref="T5:T6"/>
    <mergeCell ref="U5:U6"/>
    <mergeCell ref="Q4:R4"/>
    <mergeCell ref="AA5:AA6"/>
    <mergeCell ref="Q5:Q6"/>
    <mergeCell ref="AC3:AC6"/>
    <mergeCell ref="AU5:AU6"/>
    <mergeCell ref="AG3:BB4"/>
    <mergeCell ref="AK5:AK6"/>
    <mergeCell ref="AL5:AL6"/>
    <mergeCell ref="AM5:AM6"/>
    <mergeCell ref="AN5:AN6"/>
    <mergeCell ref="AG5:AG6"/>
    <mergeCell ref="AH5:AH6"/>
    <mergeCell ref="AI5:AI6"/>
    <mergeCell ref="AJ5:AJ6"/>
    <mergeCell ref="AO5:AO6"/>
    <mergeCell ref="AR5:AR6"/>
    <mergeCell ref="AS5:AS6"/>
    <mergeCell ref="AT5:AT6"/>
    <mergeCell ref="AP5:AP6"/>
    <mergeCell ref="AQ5:AQ6"/>
    <mergeCell ref="BC3:BC6"/>
    <mergeCell ref="BD3:BD6"/>
    <mergeCell ref="AV5:AX5"/>
    <mergeCell ref="AY5:AY6"/>
    <mergeCell ref="AZ5:AZ6"/>
    <mergeCell ref="BA5:BA6"/>
    <mergeCell ref="BB5:B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2"/>
  <sheetViews>
    <sheetView zoomScalePageLayoutView="0" workbookViewId="0" topLeftCell="A10">
      <selection activeCell="J51" sqref="J51:N51"/>
    </sheetView>
  </sheetViews>
  <sheetFormatPr defaultColWidth="9.00390625" defaultRowHeight="12.75"/>
  <cols>
    <col min="1" max="1" width="9.375" style="2" customWidth="1"/>
    <col min="2" max="2" width="9.00390625" style="2" customWidth="1"/>
    <col min="3" max="3" width="10.875" style="2" customWidth="1"/>
    <col min="4" max="4" width="10.25390625" style="2" customWidth="1"/>
    <col min="5" max="5" width="10.125" style="2" bestFit="1" customWidth="1"/>
    <col min="6" max="6" width="9.125" style="2" customWidth="1"/>
    <col min="7" max="7" width="10.125" style="2" bestFit="1" customWidth="1"/>
    <col min="8" max="9" width="10.25390625" style="2" customWidth="1"/>
    <col min="10" max="10" width="9.375" style="2" customWidth="1"/>
    <col min="11" max="12" width="10.125" style="2" customWidth="1"/>
    <col min="13" max="13" width="9.375" style="2" customWidth="1"/>
    <col min="14" max="14" width="10.75390625" style="2" customWidth="1"/>
    <col min="15" max="15" width="10.375" style="2" customWidth="1"/>
    <col min="16" max="16" width="11.00390625" style="2" customWidth="1"/>
    <col min="17" max="17" width="9.875" style="2" customWidth="1"/>
    <col min="18" max="18" width="10.375" style="2" customWidth="1"/>
    <col min="19" max="19" width="10.75390625" style="2" customWidth="1"/>
    <col min="20" max="20" width="12.75390625" style="2" customWidth="1"/>
    <col min="21" max="16384" width="9.125" style="2" customWidth="1"/>
  </cols>
  <sheetData>
    <row r="1" spans="2:9" ht="24" customHeight="1">
      <c r="B1" s="391" t="s">
        <v>68</v>
      </c>
      <c r="C1" s="391"/>
      <c r="D1" s="391"/>
      <c r="E1" s="391"/>
      <c r="F1" s="391"/>
      <c r="G1" s="391"/>
      <c r="H1" s="391"/>
      <c r="I1" s="56"/>
    </row>
    <row r="2" spans="2:9" ht="15" customHeight="1">
      <c r="B2" s="391" t="s">
        <v>69</v>
      </c>
      <c r="C2" s="391"/>
      <c r="D2" s="391"/>
      <c r="E2" s="391"/>
      <c r="F2" s="391"/>
      <c r="G2" s="391"/>
      <c r="H2" s="391"/>
      <c r="I2" s="56"/>
    </row>
    <row r="6" spans="1:19" ht="12.75">
      <c r="A6" s="403" t="s">
        <v>92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</row>
    <row r="7" spans="1:19" ht="12.75">
      <c r="A7" s="51" t="s">
        <v>81</v>
      </c>
      <c r="B7" s="51"/>
      <c r="C7" s="51"/>
      <c r="D7" s="51"/>
      <c r="E7" s="5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</row>
    <row r="9" spans="1:9" ht="13.5" thickBot="1">
      <c r="A9" s="24" t="s">
        <v>61</v>
      </c>
      <c r="D9" s="4"/>
      <c r="E9" s="392">
        <v>8.65</v>
      </c>
      <c r="F9" s="392"/>
      <c r="G9" s="393"/>
      <c r="H9" s="393"/>
      <c r="I9" s="191"/>
    </row>
    <row r="10" spans="1:17" s="26" customFormat="1" ht="12.75" customHeight="1">
      <c r="A10" s="374" t="s">
        <v>56</v>
      </c>
      <c r="B10" s="398" t="s">
        <v>1</v>
      </c>
      <c r="C10" s="415" t="s">
        <v>62</v>
      </c>
      <c r="D10" s="394" t="s">
        <v>3</v>
      </c>
      <c r="E10" s="401" t="s">
        <v>58</v>
      </c>
      <c r="F10" s="401"/>
      <c r="G10" s="406" t="s">
        <v>76</v>
      </c>
      <c r="H10" s="407"/>
      <c r="I10" s="408"/>
      <c r="J10" s="422" t="s">
        <v>8</v>
      </c>
      <c r="K10" s="363"/>
      <c r="L10" s="363"/>
      <c r="M10" s="363"/>
      <c r="N10" s="363"/>
      <c r="O10" s="423"/>
      <c r="P10" s="381" t="s">
        <v>67</v>
      </c>
      <c r="Q10" s="419" t="s">
        <v>77</v>
      </c>
    </row>
    <row r="11" spans="1:17" s="26" customFormat="1" ht="12.75">
      <c r="A11" s="375"/>
      <c r="B11" s="399"/>
      <c r="C11" s="416"/>
      <c r="D11" s="395"/>
      <c r="E11" s="402"/>
      <c r="F11" s="402"/>
      <c r="G11" s="409"/>
      <c r="H11" s="410"/>
      <c r="I11" s="411"/>
      <c r="J11" s="424"/>
      <c r="K11" s="353"/>
      <c r="L11" s="353"/>
      <c r="M11" s="353"/>
      <c r="N11" s="353"/>
      <c r="O11" s="425"/>
      <c r="P11" s="382"/>
      <c r="Q11" s="420"/>
    </row>
    <row r="12" spans="1:17" s="26" customFormat="1" ht="26.25" customHeight="1">
      <c r="A12" s="375"/>
      <c r="B12" s="399"/>
      <c r="C12" s="416"/>
      <c r="D12" s="395"/>
      <c r="E12" s="397" t="s">
        <v>59</v>
      </c>
      <c r="F12" s="397"/>
      <c r="G12" s="192" t="s">
        <v>63</v>
      </c>
      <c r="H12" s="384" t="s">
        <v>7</v>
      </c>
      <c r="I12" s="404" t="s">
        <v>82</v>
      </c>
      <c r="J12" s="386" t="s">
        <v>64</v>
      </c>
      <c r="K12" s="388" t="s">
        <v>30</v>
      </c>
      <c r="L12" s="388" t="s">
        <v>66</v>
      </c>
      <c r="M12" s="388" t="s">
        <v>35</v>
      </c>
      <c r="N12" s="388" t="s">
        <v>65</v>
      </c>
      <c r="O12" s="384" t="s">
        <v>37</v>
      </c>
      <c r="P12" s="382"/>
      <c r="Q12" s="420"/>
    </row>
    <row r="13" spans="1:17" s="26" customFormat="1" ht="66.75" customHeight="1" thickBot="1">
      <c r="A13" s="418"/>
      <c r="B13" s="400"/>
      <c r="C13" s="417"/>
      <c r="D13" s="396"/>
      <c r="E13" s="92" t="s">
        <v>60</v>
      </c>
      <c r="F13" s="93" t="s">
        <v>17</v>
      </c>
      <c r="G13" s="225" t="s">
        <v>78</v>
      </c>
      <c r="H13" s="385"/>
      <c r="I13" s="405"/>
      <c r="J13" s="387"/>
      <c r="K13" s="389"/>
      <c r="L13" s="389"/>
      <c r="M13" s="389"/>
      <c r="N13" s="389"/>
      <c r="O13" s="390"/>
      <c r="P13" s="383"/>
      <c r="Q13" s="421"/>
    </row>
    <row r="14" spans="1:17" s="26" customFormat="1" ht="13.5" thickBot="1">
      <c r="A14" s="94">
        <v>1</v>
      </c>
      <c r="B14" s="95">
        <v>2</v>
      </c>
      <c r="C14" s="96">
        <v>3</v>
      </c>
      <c r="D14" s="97">
        <v>4</v>
      </c>
      <c r="E14" s="98">
        <v>5</v>
      </c>
      <c r="F14" s="99">
        <v>6</v>
      </c>
      <c r="G14" s="223">
        <v>7</v>
      </c>
      <c r="H14" s="224">
        <v>8</v>
      </c>
      <c r="I14" s="226">
        <v>9</v>
      </c>
      <c r="J14" s="210">
        <v>10</v>
      </c>
      <c r="K14" s="193">
        <v>11</v>
      </c>
      <c r="L14" s="194">
        <v>12</v>
      </c>
      <c r="M14" s="193">
        <v>13</v>
      </c>
      <c r="N14" s="194">
        <v>14</v>
      </c>
      <c r="O14" s="193">
        <v>15</v>
      </c>
      <c r="P14" s="194">
        <v>16</v>
      </c>
      <c r="Q14" s="210">
        <v>17</v>
      </c>
    </row>
    <row r="15" spans="1:17" s="26" customFormat="1" ht="12.75" hidden="1">
      <c r="A15" s="15" t="s">
        <v>51</v>
      </c>
      <c r="B15" s="16"/>
      <c r="C15" s="17"/>
      <c r="D15" s="100"/>
      <c r="E15" s="101"/>
      <c r="F15" s="55"/>
      <c r="G15" s="195"/>
      <c r="H15" s="196"/>
      <c r="I15" s="211"/>
      <c r="J15" s="101"/>
      <c r="K15" s="16"/>
      <c r="L15" s="16"/>
      <c r="M15" s="16"/>
      <c r="N15" s="16"/>
      <c r="O15" s="218"/>
      <c r="P15" s="100"/>
      <c r="Q15" s="102"/>
    </row>
    <row r="16" spans="1:19" s="26" customFormat="1" ht="12.75" hidden="1">
      <c r="A16" s="62" t="s">
        <v>47</v>
      </c>
      <c r="B16" s="103">
        <f>'ЛИЦ.СЧЕТ'!B9</f>
        <v>350.5</v>
      </c>
      <c r="C16" s="104">
        <f>'ЛИЦ.СЧЕТ'!C9</f>
        <v>3031.8250000000003</v>
      </c>
      <c r="D16" s="105">
        <f>'ЛИЦ.СЧЕТ'!D9</f>
        <v>730.3060060000001</v>
      </c>
      <c r="E16" s="106">
        <f>'ЛИЦ.СЧЕТ'!S9</f>
        <v>1179.94</v>
      </c>
      <c r="F16" s="107">
        <f>'ЛИЦ.СЧЕТ'!T9</f>
        <v>136.51</v>
      </c>
      <c r="G16" s="197">
        <f>'ЛИЦ.СЧЕТ'!AB9</f>
        <v>0</v>
      </c>
      <c r="H16" s="198">
        <f>'ЛИЦ.СЧЕТ'!AC9</f>
        <v>866.8160060000001</v>
      </c>
      <c r="I16" s="212"/>
      <c r="J16" s="106">
        <f>'ЛИЦ.СЧЕТ'!AG9</f>
        <v>210.29999999999998</v>
      </c>
      <c r="K16" s="8">
        <f>'ЛИЦ.СЧЕТ'!AI9+'ЛИЦ.СЧЕТ'!AJ9</f>
        <v>352.29596200000003</v>
      </c>
      <c r="L16" s="8">
        <f>'ЛИЦ.СЧЕТ'!AH9+'ЛИЦ.СЧЕТ'!AK9+'ЛИЦ.СЧЕТ'!AL9+'ЛИЦ.СЧЕТ'!AM9+'ЛИЦ.СЧЕТ'!AN9+'ЛИЦ.СЧЕТ'!AO9+'ЛИЦ.СЧЕТ'!AP9+'ЛИЦ.СЧЕТ'!AQ9</f>
        <v>1237.0522815499999</v>
      </c>
      <c r="M16" s="108">
        <f>'ЛИЦ.СЧЕТ'!AS9+'ЛИЦ.СЧЕТ'!AT9+'ЛИЦ.СЧЕТ'!AU9</f>
        <v>3624.0042000000003</v>
      </c>
      <c r="N16" s="108">
        <f>'ЛИЦ.СЧЕТ'!AX9</f>
        <v>0</v>
      </c>
      <c r="O16" s="219">
        <f>'ЛИЦ.СЧЕТ'!BB9</f>
        <v>5423.65244355</v>
      </c>
      <c r="P16" s="109">
        <f>'ЛИЦ.СЧЕТ'!BC9</f>
        <v>-4556.83643755</v>
      </c>
      <c r="Q16" s="110">
        <f>'ЛИЦ.СЧЕТ'!BD9</f>
        <v>-1179.94</v>
      </c>
      <c r="R16" s="28"/>
      <c r="S16" s="28"/>
    </row>
    <row r="17" spans="1:19" s="26" customFormat="1" ht="12.75" hidden="1">
      <c r="A17" s="62" t="s">
        <v>48</v>
      </c>
      <c r="B17" s="103">
        <f>'ЛИЦ.СЧЕТ'!B10</f>
        <v>350.5</v>
      </c>
      <c r="C17" s="104">
        <f>'ЛИЦ.СЧЕТ'!C10</f>
        <v>3031.8250000000003</v>
      </c>
      <c r="D17" s="105">
        <f>'ЛИЦ.СЧЕТ'!D10</f>
        <v>730.3060060000001</v>
      </c>
      <c r="E17" s="106">
        <f>'ЛИЦ.СЧЕТ'!S10</f>
        <v>1529.0900000000001</v>
      </c>
      <c r="F17" s="107">
        <f>'ЛИЦ.СЧЕТ'!T10</f>
        <v>176.90000000000003</v>
      </c>
      <c r="G17" s="197">
        <f>'ЛИЦ.СЧЕТ'!AB10</f>
        <v>767.44</v>
      </c>
      <c r="H17" s="198">
        <f>'ЛИЦ.СЧЕТ'!AC10</f>
        <v>1674.6460060000002</v>
      </c>
      <c r="I17" s="212"/>
      <c r="J17" s="106">
        <f>'ЛИЦ.СЧЕТ'!AG10</f>
        <v>210.29999999999998</v>
      </c>
      <c r="K17" s="8">
        <f>'ЛИЦ.СЧЕТ'!AI10+'ЛИЦ.СЧЕТ'!AJ10</f>
        <v>352.29596200000003</v>
      </c>
      <c r="L17" s="8">
        <f>'ЛИЦ.СЧЕТ'!AH10+'ЛИЦ.СЧЕТ'!AK10+'ЛИЦ.СЧЕТ'!AL10+'ЛИЦ.СЧЕТ'!AM10+'ЛИЦ.СЧЕТ'!AN10+'ЛИЦ.СЧЕТ'!AO10+'ЛИЦ.СЧЕТ'!AP10+'ЛИЦ.СЧЕТ'!AQ10</f>
        <v>1233.3187555499999</v>
      </c>
      <c r="M17" s="108">
        <f>'ЛИЦ.СЧЕТ'!AS10+'ЛИЦ.СЧЕТ'!AT10+'ЛИЦ.СЧЕТ'!AU10</f>
        <v>0</v>
      </c>
      <c r="N17" s="108">
        <f>'ЛИЦ.СЧЕТ'!AX10</f>
        <v>0</v>
      </c>
      <c r="O17" s="219">
        <f>'ЛИЦ.СЧЕТ'!BB10</f>
        <v>1795.91471755</v>
      </c>
      <c r="P17" s="109">
        <f>'ЛИЦ.СЧЕТ'!BC10</f>
        <v>-121.26871154999981</v>
      </c>
      <c r="Q17" s="110">
        <f>'ЛИЦ.СЧЕТ'!BD10</f>
        <v>-761.6500000000001</v>
      </c>
      <c r="R17" s="28"/>
      <c r="S17" s="28"/>
    </row>
    <row r="18" spans="1:19" s="26" customFormat="1" ht="13.5" hidden="1" thickBot="1">
      <c r="A18" s="67" t="s">
        <v>49</v>
      </c>
      <c r="B18" s="103">
        <f>'ЛИЦ.СЧЕТ'!B11</f>
        <v>350.5</v>
      </c>
      <c r="C18" s="104">
        <f>'ЛИЦ.СЧЕТ'!C11</f>
        <v>3031.8250000000003</v>
      </c>
      <c r="D18" s="105">
        <f>'ЛИЦ.СЧЕТ'!D11</f>
        <v>728.6991387500001</v>
      </c>
      <c r="E18" s="106">
        <f>'ЛИЦ.СЧЕТ'!S11</f>
        <v>1689.87</v>
      </c>
      <c r="F18" s="107">
        <f>'ЛИЦ.СЧЕТ'!T11</f>
        <v>201.96999999999997</v>
      </c>
      <c r="G18" s="197">
        <f>'ЛИЦ.СЧЕТ'!AB11</f>
        <v>1085.41</v>
      </c>
      <c r="H18" s="198">
        <f>'ЛИЦ.СЧЕТ'!AC11</f>
        <v>2016.07913875</v>
      </c>
      <c r="I18" s="212"/>
      <c r="J18" s="106">
        <f>'ЛИЦ.СЧЕТ'!AG11</f>
        <v>210.29999999999998</v>
      </c>
      <c r="K18" s="8">
        <f>'ЛИЦ.СЧЕТ'!AI11+'ЛИЦ.СЧЕТ'!AJ11</f>
        <v>351.27025879999997</v>
      </c>
      <c r="L18" s="8">
        <f>'ЛИЦ.СЧЕТ'!AH11+'ЛИЦ.СЧЕТ'!AK11+'ЛИЦ.СЧЕТ'!AL11+'ЛИЦ.СЧЕТ'!AM11+'ЛИЦ.СЧЕТ'!AN11+'ЛИЦ.СЧЕТ'!AO11+'ЛИЦ.СЧЕТ'!AP11+'ЛИЦ.СЧЕТ'!AQ11</f>
        <v>1231.3579288649998</v>
      </c>
      <c r="M18" s="108">
        <f>'ЛИЦ.СЧЕТ'!AS11+'ЛИЦ.СЧЕТ'!AT11+'ЛИЦ.СЧЕТ'!AU11</f>
        <v>0</v>
      </c>
      <c r="N18" s="108">
        <f>'ЛИЦ.СЧЕТ'!AX11</f>
        <v>0</v>
      </c>
      <c r="O18" s="219">
        <f>'ЛИЦ.СЧЕТ'!BB11</f>
        <v>1792.9281876649998</v>
      </c>
      <c r="P18" s="109">
        <f>'ЛИЦ.СЧЕТ'!BC11</f>
        <v>223.15095108500032</v>
      </c>
      <c r="Q18" s="110">
        <f>'ЛИЦ.СЧЕТ'!BD11</f>
        <v>-604.4599999999998</v>
      </c>
      <c r="R18" s="28"/>
      <c r="S18" s="28"/>
    </row>
    <row r="19" spans="1:19" s="9" customFormat="1" ht="13.5" hidden="1" thickBot="1">
      <c r="A19" s="18" t="s">
        <v>5</v>
      </c>
      <c r="B19" s="19"/>
      <c r="C19" s="119">
        <f aca="true" t="shared" si="0" ref="C19:P19">SUM(C16:C18)</f>
        <v>9095.475</v>
      </c>
      <c r="D19" s="119">
        <f t="shared" si="0"/>
        <v>2189.3111507500003</v>
      </c>
      <c r="E19" s="119">
        <f t="shared" si="0"/>
        <v>4398.9</v>
      </c>
      <c r="F19" s="119">
        <f t="shared" si="0"/>
        <v>515.38</v>
      </c>
      <c r="G19" s="199">
        <f t="shared" si="0"/>
        <v>1852.8500000000001</v>
      </c>
      <c r="H19" s="199">
        <f t="shared" si="0"/>
        <v>4557.54115075</v>
      </c>
      <c r="I19" s="213"/>
      <c r="J19" s="119">
        <f t="shared" si="0"/>
        <v>630.9</v>
      </c>
      <c r="K19" s="119">
        <f t="shared" si="0"/>
        <v>1055.8621828</v>
      </c>
      <c r="L19" s="119">
        <f t="shared" si="0"/>
        <v>3701.7289659649996</v>
      </c>
      <c r="M19" s="119">
        <f t="shared" si="0"/>
        <v>3624.0042000000003</v>
      </c>
      <c r="N19" s="119">
        <f t="shared" si="0"/>
        <v>0</v>
      </c>
      <c r="O19" s="199">
        <f t="shared" si="0"/>
        <v>9012.495348765</v>
      </c>
      <c r="P19" s="119">
        <f t="shared" si="0"/>
        <v>-4454.954198015</v>
      </c>
      <c r="Q19" s="119">
        <f>SUM(Q16:Q18)</f>
        <v>-2546.05</v>
      </c>
      <c r="R19" s="90"/>
      <c r="S19" s="90"/>
    </row>
    <row r="20" spans="1:19" s="26" customFormat="1" ht="12.75" hidden="1">
      <c r="A20" s="15" t="s">
        <v>52</v>
      </c>
      <c r="B20" s="68"/>
      <c r="C20" s="112"/>
      <c r="D20" s="113"/>
      <c r="E20" s="114"/>
      <c r="F20" s="115"/>
      <c r="G20" s="200"/>
      <c r="H20" s="201"/>
      <c r="I20" s="214"/>
      <c r="J20" s="114"/>
      <c r="K20" s="69"/>
      <c r="L20" s="69"/>
      <c r="M20" s="70"/>
      <c r="N20" s="70"/>
      <c r="O20" s="220"/>
      <c r="P20" s="116"/>
      <c r="Q20" s="117"/>
      <c r="R20" s="28"/>
      <c r="S20" s="28"/>
    </row>
    <row r="21" spans="1:19" s="26" customFormat="1" ht="12.75" hidden="1">
      <c r="A21" s="62" t="s">
        <v>38</v>
      </c>
      <c r="B21" s="103">
        <f>'ЛИЦ.СЧЕТ'!B14</f>
        <v>350.5</v>
      </c>
      <c r="C21" s="104">
        <f>'ЛИЦ.СЧЕТ'!C14</f>
        <v>3031.8250000000003</v>
      </c>
      <c r="D21" s="105">
        <f>'ЛИЦ.СЧЕТ'!D14</f>
        <v>2704.578125</v>
      </c>
      <c r="E21" s="106">
        <f>'ЛИЦ.СЧЕТ'!S14</f>
        <v>5517.99</v>
      </c>
      <c r="F21" s="107">
        <f>'ЛИЦ.СЧЕТ'!T14</f>
        <v>484.0900000000001</v>
      </c>
      <c r="G21" s="197">
        <f>'ЛИЦ.СЧЕТ'!AB14</f>
        <v>2706.59</v>
      </c>
      <c r="H21" s="198">
        <f>'ЛИЦ.СЧЕТ'!AC14</f>
        <v>5895.258125</v>
      </c>
      <c r="I21" s="212"/>
      <c r="J21" s="106">
        <f>'ЛИЦ.СЧЕТ'!AG14</f>
        <v>189.26999999999998</v>
      </c>
      <c r="K21" s="8">
        <f>'ЛИЦ.СЧЕТ'!AI14+'ЛИЦ.СЧЕТ'!AJ14</f>
        <v>304.7715505</v>
      </c>
      <c r="L21" s="8">
        <f>'ЛИЦ.СЧЕТ'!AH14+'ЛИЦ.СЧЕТ'!AK14+'ЛИЦ.СЧЕТ'!AL14+'ЛИЦ.СЧЕТ'!AM14+'ЛИЦ.СЧЕТ'!AN14+'ЛИЦ.СЧЕТ'!AO14+'ЛИЦ.СЧЕТ'!AP14+'ЛИЦ.СЧЕТ'!AQ14</f>
        <v>1046.75408279</v>
      </c>
      <c r="M21" s="108">
        <f>'ЛИЦ.СЧЕТ'!AS14+'ЛИЦ.СЧЕТ'!AT14+'ЛИЦ.СЧЕТ'!AU14</f>
        <v>0</v>
      </c>
      <c r="N21" s="108">
        <f>'ЛИЦ.СЧЕТ'!AX14</f>
        <v>0</v>
      </c>
      <c r="O21" s="219">
        <f>'ЛИЦ.СЧЕТ'!BB14</f>
        <v>1540.7956332899998</v>
      </c>
      <c r="P21" s="109">
        <f>'ЛИЦ.СЧЕТ'!BC14</f>
        <v>4354.462491710001</v>
      </c>
      <c r="Q21" s="110">
        <f>'ЛИЦ.СЧЕТ'!BD14</f>
        <v>-2811.3999999999996</v>
      </c>
      <c r="R21" s="28"/>
      <c r="S21" s="28"/>
    </row>
    <row r="22" spans="1:19" s="26" customFormat="1" ht="12.75" hidden="1">
      <c r="A22" s="62" t="s">
        <v>39</v>
      </c>
      <c r="B22" s="103">
        <f>'ЛИЦ.СЧЕТ'!B15</f>
        <v>350.5</v>
      </c>
      <c r="C22" s="104">
        <f>'ЛИЦ.СЧЕТ'!C15</f>
        <v>3031.8250000000003</v>
      </c>
      <c r="D22" s="105">
        <f>'ЛИЦ.СЧЕТ'!D15</f>
        <v>2690.098125</v>
      </c>
      <c r="E22" s="106">
        <f>'ЛИЦ.СЧЕТ'!S15</f>
        <v>5517.99</v>
      </c>
      <c r="F22" s="107">
        <f>'ЛИЦ.СЧЕТ'!T15</f>
        <v>484.0900000000001</v>
      </c>
      <c r="G22" s="197">
        <f>'ЛИЦ.СЧЕТ'!AB15</f>
        <v>8022.26</v>
      </c>
      <c r="H22" s="198">
        <f>'ЛИЦ.СЧЕТ'!AC15</f>
        <v>11196.448125</v>
      </c>
      <c r="I22" s="212"/>
      <c r="J22" s="106">
        <f>'ЛИЦ.СЧЕТ'!AG15</f>
        <v>189.26999999999998</v>
      </c>
      <c r="K22" s="8">
        <f>'ЛИЦ.СЧЕТ'!AI15+'ЛИЦ.СЧЕТ'!AJ15</f>
        <v>304.44359900000006</v>
      </c>
      <c r="L22" s="8">
        <f>'ЛИЦ.СЧЕТ'!AH15+'ЛИЦ.СЧЕТ'!AK15+'ЛИЦ.СЧЕТ'!AL15+'ЛИЦ.СЧЕТ'!AM15+'ЛИЦ.СЧЕТ'!AN15+'ЛИЦ.СЧЕТ'!AO15+'ЛИЦ.СЧЕТ'!AP15+'ЛИЦ.СЧЕТ'!AQ15</f>
        <v>1048.2651934399998</v>
      </c>
      <c r="M22" s="108">
        <f>'ЛИЦ.СЧЕТ'!AS15+'ЛИЦ.СЧЕТ'!AT15+'ЛИЦ.СЧЕТ'!AU15</f>
        <v>0</v>
      </c>
      <c r="N22" s="108">
        <f>'ЛИЦ.СЧЕТ'!AX15</f>
        <v>0</v>
      </c>
      <c r="O22" s="219">
        <f>'ЛИЦ.СЧЕТ'!BB15</f>
        <v>1541.9787924399998</v>
      </c>
      <c r="P22" s="109">
        <f>'ЛИЦ.СЧЕТ'!BC15</f>
        <v>9654.469332560002</v>
      </c>
      <c r="Q22" s="110">
        <f>'ЛИЦ.СЧЕТ'!BD15</f>
        <v>2504.2700000000004</v>
      </c>
      <c r="R22" s="28"/>
      <c r="S22" s="28"/>
    </row>
    <row r="23" spans="1:19" s="26" customFormat="1" ht="12.75" hidden="1">
      <c r="A23" s="62" t="s">
        <v>40</v>
      </c>
      <c r="B23" s="103">
        <f>'ЛИЦ.СЧЕТ'!B16</f>
        <v>350.5</v>
      </c>
      <c r="C23" s="104">
        <f>'ЛИЦ.СЧЕТ'!C16</f>
        <v>3031.8250000000003</v>
      </c>
      <c r="D23" s="105">
        <f>'ЛИЦ.СЧЕТ'!D16</f>
        <v>3533.448125</v>
      </c>
      <c r="E23" s="106">
        <f>'ЛИЦ.СЧЕТ'!S16</f>
        <v>5629.32</v>
      </c>
      <c r="F23" s="107">
        <f>'ЛИЦ.СЧЕТ'!T16</f>
        <v>372.77</v>
      </c>
      <c r="G23" s="197">
        <f>'ЛИЦ.СЧЕТ'!AB16</f>
        <v>6703.24</v>
      </c>
      <c r="H23" s="198">
        <f>'ЛИЦ.СЧЕТ'!AC16</f>
        <v>10609.458125</v>
      </c>
      <c r="I23" s="212"/>
      <c r="J23" s="106">
        <f>'ЛИЦ.СЧЕТ'!AG16</f>
        <v>189.26999999999998</v>
      </c>
      <c r="K23" s="8">
        <f>'ЛИЦ.СЧЕТ'!AI16+'ЛИЦ.СЧЕТ'!AJ16</f>
        <v>304.97092625000005</v>
      </c>
      <c r="L23" s="8">
        <f>'ЛИЦ.СЧЕТ'!AH16+'ЛИЦ.СЧЕТ'!AK16+'ЛИЦ.СЧЕТ'!AL16+'ЛИЦ.СЧЕТ'!AM16+'ЛИЦ.СЧЕТ'!AN16+'ЛИЦ.СЧЕТ'!AO16+'ЛИЦ.СЧЕТ'!AP16+'ЛИЦ.СЧЕТ'!AQ16</f>
        <v>1013.3860864899998</v>
      </c>
      <c r="M23" s="108">
        <f>'ЛИЦ.СЧЕТ'!AS16+'ЛИЦ.СЧЕТ'!AT16+'ЛИЦ.СЧЕТ'!AU16</f>
        <v>1502.1399999999999</v>
      </c>
      <c r="N23" s="108">
        <f>'ЛИЦ.СЧЕТ'!AX16</f>
        <v>0</v>
      </c>
      <c r="O23" s="219">
        <f>'ЛИЦ.СЧЕТ'!BB16</f>
        <v>3009.7670127399992</v>
      </c>
      <c r="P23" s="109">
        <f>'ЛИЦ.СЧЕТ'!BC16</f>
        <v>7599.6911122599995</v>
      </c>
      <c r="Q23" s="110">
        <f>'ЛИЦ.СЧЕТ'!BD16</f>
        <v>1073.92</v>
      </c>
      <c r="R23" s="28"/>
      <c r="S23" s="28"/>
    </row>
    <row r="24" spans="1:19" s="26" customFormat="1" ht="12.75" hidden="1">
      <c r="A24" s="62" t="s">
        <v>41</v>
      </c>
      <c r="B24" s="103">
        <f>'ЛИЦ.СЧЕТ'!B17</f>
        <v>350.5</v>
      </c>
      <c r="C24" s="104">
        <f>'ЛИЦ.СЧЕТ'!C17</f>
        <v>3031.8250000000003</v>
      </c>
      <c r="D24" s="105">
        <f>'ЛИЦ.СЧЕТ'!D17</f>
        <v>3566.138125</v>
      </c>
      <c r="E24" s="106">
        <f>'ЛИЦ.СЧЕТ'!S17</f>
        <v>6494.47</v>
      </c>
      <c r="F24" s="107">
        <f>'ЛИЦ.СЧЕТ'!T17</f>
        <v>423.57000000000005</v>
      </c>
      <c r="G24" s="197">
        <f>'ЛИЦ.СЧЕТ'!AB17</f>
        <v>3952.7299999999996</v>
      </c>
      <c r="H24" s="198">
        <f>'ЛИЦ.СЧЕТ'!AC17</f>
        <v>7942.438125</v>
      </c>
      <c r="I24" s="212"/>
      <c r="J24" s="106">
        <f>'ЛИЦ.СЧЕТ'!AG17</f>
        <v>189.26999999999998</v>
      </c>
      <c r="K24" s="8">
        <f>'ЛИЦ.СЧЕТ'!AI17+'ЛИЦ.СЧЕТ'!AJ17</f>
        <v>314.0761101</v>
      </c>
      <c r="L24" s="8">
        <f>'ЛИЦ.СЧЕТ'!AH17+'ЛИЦ.СЧЕТ'!AK17+'ЛИЦ.СЧЕТ'!AL17+'ЛИЦ.СЧЕТ'!AM17+'ЛИЦ.СЧЕТ'!AN17+'ЛИЦ.СЧЕТ'!AO17+'ЛИЦ.СЧЕТ'!AP17+'ЛИЦ.СЧЕТ'!AQ17</f>
        <v>9641.47280268</v>
      </c>
      <c r="M24" s="108">
        <f>'ЛИЦ.СЧЕТ'!AS17+'ЛИЦ.СЧЕТ'!AT17+'ЛИЦ.СЧЕТ'!AU17</f>
        <v>601.8</v>
      </c>
      <c r="N24" s="108">
        <f>'ЛИЦ.СЧЕТ'!AX17</f>
        <v>118706.11</v>
      </c>
      <c r="O24" s="219">
        <f>'ЛИЦ.СЧЕТ'!BB17</f>
        <v>129533.36891278002</v>
      </c>
      <c r="P24" s="109">
        <f>'ЛИЦ.СЧЕТ'!BC17</f>
        <v>-121590.93078778002</v>
      </c>
      <c r="Q24" s="110">
        <f>'ЛИЦ.СЧЕТ'!BD17</f>
        <v>-2541.7400000000007</v>
      </c>
      <c r="R24" s="28"/>
      <c r="S24" s="28"/>
    </row>
    <row r="25" spans="1:19" s="26" customFormat="1" ht="12.75" hidden="1">
      <c r="A25" s="62" t="s">
        <v>42</v>
      </c>
      <c r="B25" s="103">
        <f>'ЛИЦ.СЧЕТ'!B18</f>
        <v>350.5</v>
      </c>
      <c r="C25" s="104">
        <f>'ЛИЦ.СЧЕТ'!C18</f>
        <v>3031.8250000000003</v>
      </c>
      <c r="D25" s="105">
        <f>'ЛИЦ.СЧЕТ'!D18</f>
        <v>2260.2750000000005</v>
      </c>
      <c r="E25" s="106">
        <f>'ЛИЦ.СЧЕТ'!S18</f>
        <v>7363.200000000001</v>
      </c>
      <c r="F25" s="107">
        <f>'ЛИЦ.СЧЕТ'!T18</f>
        <v>484.7900000000001</v>
      </c>
      <c r="G25" s="197">
        <f>'ЛИЦ.СЧЕТ'!AB18</f>
        <v>4531.21</v>
      </c>
      <c r="H25" s="198">
        <f>'ЛИЦ.СЧЕТ'!AC18</f>
        <v>7276.275000000001</v>
      </c>
      <c r="I25" s="212"/>
      <c r="J25" s="106">
        <f>'ЛИЦ.СЧЕТ'!AG18</f>
        <v>210.29999999999998</v>
      </c>
      <c r="K25" s="8">
        <f>'ЛИЦ.СЧЕТ'!AI18+'ЛИЦ.СЧЕТ'!AJ18</f>
        <v>351.55150000000003</v>
      </c>
      <c r="L25" s="8">
        <f>'ЛИЦ.СЧЕТ'!AH18+'ЛИЦ.СЧЕТ'!AK18+'ЛИЦ.СЧЕТ'!AL18+'ЛИЦ.СЧЕТ'!AM18+'ЛИЦ.СЧЕТ'!AN18+'ЛИЦ.СЧЕТ'!AO18+'ЛИЦ.СЧЕТ'!AP18+'ЛИЦ.СЧЕТ'!AQ18</f>
        <v>1204.0375999999999</v>
      </c>
      <c r="M25" s="108">
        <f>'ЛИЦ.СЧЕТ'!AS18+'ЛИЦ.СЧЕТ'!AT18+'ЛИЦ.СЧЕТ'!AU18</f>
        <v>0</v>
      </c>
      <c r="N25" s="108">
        <f>'ЛИЦ.СЧЕТ'!AX18</f>
        <v>12409.824</v>
      </c>
      <c r="O25" s="219">
        <f>'ЛИЦ.СЧЕТ'!BB18</f>
        <v>14175.7131</v>
      </c>
      <c r="P25" s="109">
        <f>'ЛИЦ.СЧЕТ'!BC18</f>
        <v>-6899.4381</v>
      </c>
      <c r="Q25" s="110">
        <f>'ЛИЦ.СЧЕТ'!BD18</f>
        <v>-2831.9900000000007</v>
      </c>
      <c r="R25" s="28"/>
      <c r="S25" s="28"/>
    </row>
    <row r="26" spans="1:19" s="26" customFormat="1" ht="12.75" hidden="1">
      <c r="A26" s="62" t="s">
        <v>43</v>
      </c>
      <c r="B26" s="103">
        <f>'ЛИЦ.СЧЕТ'!B19</f>
        <v>350.5</v>
      </c>
      <c r="C26" s="104">
        <f>'ЛИЦ.СЧЕТ'!C19</f>
        <v>3031.8250000000003</v>
      </c>
      <c r="D26" s="105">
        <f>'ЛИЦ.СЧЕТ'!D19</f>
        <v>6980.505000000001</v>
      </c>
      <c r="E26" s="106">
        <f>'ЛИЦ.СЧЕТ'!S19</f>
        <v>7363.200000000001</v>
      </c>
      <c r="F26" s="107">
        <f>'ЛИЦ.СЧЕТ'!T19</f>
        <v>484.7900000000001</v>
      </c>
      <c r="G26" s="197">
        <f>'ЛИЦ.СЧЕТ'!AB19</f>
        <v>2684.98</v>
      </c>
      <c r="H26" s="198">
        <f>'ЛИЦ.СЧЕТ'!AC19</f>
        <v>10150.275000000001</v>
      </c>
      <c r="I26" s="212"/>
      <c r="J26" s="106">
        <f>'ЛИЦ.СЧЕТ'!AG19</f>
        <v>210.29999999999998</v>
      </c>
      <c r="K26" s="8">
        <f>'ЛИЦ.СЧЕТ'!AI19+'ЛИЦ.СЧЕТ'!AJ19</f>
        <v>351.55150000000003</v>
      </c>
      <c r="L26" s="8">
        <f>'ЛИЦ.СЧЕТ'!AH19+'ЛИЦ.СЧЕТ'!AK19+'ЛИЦ.СЧЕТ'!AL19+'ЛИЦ.СЧЕТ'!AM19+'ЛИЦ.СЧЕТ'!AN19+'ЛИЦ.СЧЕТ'!AO19+'ЛИЦ.СЧЕТ'!AP19+'ЛИЦ.СЧЕТ'!AQ19</f>
        <v>860.7894449999999</v>
      </c>
      <c r="M26" s="108">
        <f>'ЛИЦ.СЧЕТ'!AS19+'ЛИЦ.СЧЕТ'!AT19+'ЛИЦ.СЧЕТ'!AU19</f>
        <v>0</v>
      </c>
      <c r="N26" s="108">
        <f>'ЛИЦ.СЧЕТ'!AX19</f>
        <v>0</v>
      </c>
      <c r="O26" s="219">
        <f>'ЛИЦ.СЧЕТ'!BB19</f>
        <v>1422.6409449999999</v>
      </c>
      <c r="P26" s="109">
        <f>'ЛИЦ.СЧЕТ'!BC19</f>
        <v>8727.634055000002</v>
      </c>
      <c r="Q26" s="110">
        <f>'ЛИЦ.СЧЕТ'!BD19</f>
        <v>-4678.220000000001</v>
      </c>
      <c r="R26" s="28"/>
      <c r="S26" s="28"/>
    </row>
    <row r="27" spans="1:19" s="26" customFormat="1" ht="12.75" hidden="1">
      <c r="A27" s="62" t="s">
        <v>44</v>
      </c>
      <c r="B27" s="103">
        <f>'ЛИЦ.СЧЕТ'!B20</f>
        <v>350.5</v>
      </c>
      <c r="C27" s="104">
        <f>'ЛИЦ.СЧЕТ'!C20</f>
        <v>3031.8250000000003</v>
      </c>
      <c r="D27" s="105">
        <f>'ЛИЦ.СЧЕТ'!D20</f>
        <v>3368.335000000001</v>
      </c>
      <c r="E27" s="106">
        <f>'ЛИЦ.СЧЕТ'!S20</f>
        <v>7363.200000000001</v>
      </c>
      <c r="F27" s="107">
        <f>'ЛИЦ.СЧЕТ'!T20</f>
        <v>484.7900000000001</v>
      </c>
      <c r="G27" s="197">
        <f>'ЛИЦ.СЧЕТ'!AB20</f>
        <v>25916.589999999997</v>
      </c>
      <c r="H27" s="198">
        <f>'ЛИЦ.СЧЕТ'!AC20</f>
        <v>29769.714999999997</v>
      </c>
      <c r="I27" s="212"/>
      <c r="J27" s="106">
        <f>'ЛИЦ.СЧЕТ'!AG20</f>
        <v>210.29999999999998</v>
      </c>
      <c r="K27" s="8">
        <f>'ЛИЦ.СЧЕТ'!AI20+'ЛИЦ.СЧЕТ'!AJ20</f>
        <v>346.52431355</v>
      </c>
      <c r="L27" s="8">
        <f>'ЛИЦ.СЧЕТ'!AH20+'ЛИЦ.СЧЕТ'!AK20+'ЛИЦ.СЧЕТ'!AL20+'ЛИЦ.СЧЕТ'!AM20+'ЛИЦ.СЧЕТ'!AN20+'ЛИЦ.СЧЕТ'!AO20+'ЛИЦ.СЧЕТ'!AP20+'ЛИЦ.СЧЕТ'!AQ20</f>
        <v>852.0702387599998</v>
      </c>
      <c r="M27" s="108">
        <f>'ЛИЦ.СЧЕТ'!AS20+'ЛИЦ.СЧЕТ'!AT20+'ЛИЦ.СЧЕТ'!AU20</f>
        <v>0</v>
      </c>
      <c r="N27" s="108">
        <f>'ЛИЦ.СЧЕТ'!AX20</f>
        <v>0</v>
      </c>
      <c r="O27" s="219">
        <f>'ЛИЦ.СЧЕТ'!BB20</f>
        <v>1408.89455231</v>
      </c>
      <c r="P27" s="109">
        <f>'ЛИЦ.СЧЕТ'!BC20</f>
        <v>28360.820447689995</v>
      </c>
      <c r="Q27" s="110">
        <f>'ЛИЦ.СЧЕТ'!BD20</f>
        <v>18553.389999999996</v>
      </c>
      <c r="R27" s="28"/>
      <c r="S27" s="28"/>
    </row>
    <row r="28" spans="1:19" s="26" customFormat="1" ht="12.75" hidden="1">
      <c r="A28" s="62" t="s">
        <v>45</v>
      </c>
      <c r="B28" s="103">
        <f>'ЛИЦ.СЧЕТ'!B21</f>
        <v>350.5</v>
      </c>
      <c r="C28" s="104">
        <f>'ЛИЦ.СЧЕТ'!C21</f>
        <v>3031.8250000000003</v>
      </c>
      <c r="D28" s="105">
        <f>'ЛИЦ.СЧЕТ'!D21</f>
        <v>2441.4050000000007</v>
      </c>
      <c r="E28" s="106">
        <f>'ЛИЦ.СЧЕТ'!S21</f>
        <v>7363.200000000001</v>
      </c>
      <c r="F28" s="107">
        <f>'ЛИЦ.СЧЕТ'!T21</f>
        <v>484.7900000000001</v>
      </c>
      <c r="G28" s="197">
        <f>'ЛИЦ.СЧЕТ'!AB21</f>
        <v>7571.389999999999</v>
      </c>
      <c r="H28" s="198">
        <f>'ЛИЦ.СЧЕТ'!AC21</f>
        <v>10497.585</v>
      </c>
      <c r="I28" s="212"/>
      <c r="J28" s="106">
        <f>'ЛИЦ.СЧЕТ'!AG21</f>
        <v>210.29999999999998</v>
      </c>
      <c r="K28" s="8">
        <f>'ЛИЦ.СЧЕТ'!AI21+'ЛИЦ.СЧЕТ'!AJ21</f>
        <v>346.36963089</v>
      </c>
      <c r="L28" s="8">
        <f>'ЛИЦ.СЧЕТ'!AH21+'ЛИЦ.СЧЕТ'!AK21+'ЛИЦ.СЧЕТ'!AL21+'ЛИЦ.СЧЕТ'!AM21+'ЛИЦ.СЧЕТ'!AN21+'ЛИЦ.СЧЕТ'!AO21+'ЛИЦ.СЧЕТ'!AP21+'ЛИЦ.СЧЕТ'!AQ21</f>
        <v>6438.069706</v>
      </c>
      <c r="M28" s="108">
        <f>'ЛИЦ.СЧЕТ'!AS21+'ЛИЦ.СЧЕТ'!AT21+'ЛИЦ.СЧЕТ'!AU21</f>
        <v>7663.0616</v>
      </c>
      <c r="N28" s="108">
        <f>'ЛИЦ.СЧЕТ'!AX21</f>
        <v>0</v>
      </c>
      <c r="O28" s="219">
        <f>'ЛИЦ.СЧЕТ'!BB21</f>
        <v>15663.28093689</v>
      </c>
      <c r="P28" s="109">
        <f>'ЛИЦ.СЧЕТ'!BC21</f>
        <v>-5165.695936890001</v>
      </c>
      <c r="Q28" s="110">
        <f>'ЛИЦ.СЧЕТ'!BD21</f>
        <v>208.1899999999987</v>
      </c>
      <c r="R28" s="28"/>
      <c r="S28" s="28"/>
    </row>
    <row r="29" spans="1:19" s="26" customFormat="1" ht="12.75" hidden="1">
      <c r="A29" s="62" t="s">
        <v>46</v>
      </c>
      <c r="B29" s="103">
        <f>'ЛИЦ.СЧЕТ'!B22</f>
        <v>350.5</v>
      </c>
      <c r="C29" s="104">
        <f>'ЛИЦ.СЧЕТ'!C22</f>
        <v>3031.8250000000003</v>
      </c>
      <c r="D29" s="105">
        <f>'ЛИЦ.СЧЕТ'!D22</f>
        <v>5021.285000000001</v>
      </c>
      <c r="E29" s="106">
        <f>'ЛИЦ.СЧЕТ'!S22</f>
        <v>7363.200000000001</v>
      </c>
      <c r="F29" s="107">
        <f>'ЛИЦ.СЧЕТ'!T22</f>
        <v>484.7900000000001</v>
      </c>
      <c r="G29" s="197">
        <f>'ЛИЦ.СЧЕТ'!AB22</f>
        <v>4379.13</v>
      </c>
      <c r="H29" s="198">
        <f>'ЛИЦ.СЧЕТ'!AC22</f>
        <v>9885.205000000002</v>
      </c>
      <c r="I29" s="212"/>
      <c r="J29" s="106">
        <f>'ЛИЦ.СЧЕТ'!AG22</f>
        <v>210.29999999999998</v>
      </c>
      <c r="K29" s="8">
        <f>'ЛИЦ.СЧЕТ'!AI22+'ЛИЦ.СЧЕТ'!AJ22</f>
        <v>346.309867135</v>
      </c>
      <c r="L29" s="8">
        <f>'ЛИЦ.СЧЕТ'!AH22+'ЛИЦ.СЧЕТ'!AK22+'ЛИЦ.СЧЕТ'!AL22+'ЛИЦ.СЧЕТ'!AM22+'ЛИЦ.СЧЕТ'!AN22+'ЛИЦ.СЧЕТ'!AO22+'ЛИЦ.СЧЕТ'!AP22+'ЛИЦ.СЧЕТ'!AQ22</f>
        <v>1117.986209189</v>
      </c>
      <c r="M29" s="108">
        <f>'ЛИЦ.СЧЕТ'!AS22+'ЛИЦ.СЧЕТ'!AT22+'ЛИЦ.СЧЕТ'!AU22</f>
        <v>15176.1098</v>
      </c>
      <c r="N29" s="108">
        <f>'ЛИЦ.СЧЕТ'!AX22</f>
        <v>0</v>
      </c>
      <c r="O29" s="219">
        <f>'ЛИЦ.СЧЕТ'!BB22</f>
        <v>16898.585876324003</v>
      </c>
      <c r="P29" s="109">
        <f>'ЛИЦ.СЧЕТ'!BC22</f>
        <v>-7013.380876324001</v>
      </c>
      <c r="Q29" s="110">
        <f>'ЛИЦ.СЧЕТ'!BD22</f>
        <v>-2984.0700000000006</v>
      </c>
      <c r="R29" s="28"/>
      <c r="S29" s="28"/>
    </row>
    <row r="30" spans="1:19" s="26" customFormat="1" ht="12.75" hidden="1">
      <c r="A30" s="62" t="s">
        <v>47</v>
      </c>
      <c r="B30" s="103">
        <f>'ЛИЦ.СЧЕТ'!B23</f>
        <v>350.5</v>
      </c>
      <c r="C30" s="104">
        <f>'ЛИЦ.СЧЕТ'!C23</f>
        <v>3031.8250000000003</v>
      </c>
      <c r="D30" s="105">
        <f>'ЛИЦ.СЧЕТ'!D23</f>
        <v>3788.0550000000003</v>
      </c>
      <c r="E30" s="106">
        <f>'ЛИЦ.СЧЕТ'!S23</f>
        <v>21995.239999999998</v>
      </c>
      <c r="F30" s="107">
        <f>'ЛИЦ.СЧЕТ'!T23</f>
        <v>1379.79</v>
      </c>
      <c r="G30" s="197">
        <f>'ЛИЦ.СЧЕТ'!AB23</f>
        <v>3953.66</v>
      </c>
      <c r="H30" s="198">
        <f>'ЛИЦ.СЧЕТ'!AC23</f>
        <v>9121.505000000001</v>
      </c>
      <c r="I30" s="212"/>
      <c r="J30" s="106">
        <f>'ЛИЦ.СЧЕТ'!AG23</f>
        <v>210.29999999999998</v>
      </c>
      <c r="K30" s="8">
        <f>'ЛИЦ.СЧЕТ'!AI23+'ЛИЦ.СЧЕТ'!AJ23</f>
        <v>350.31073</v>
      </c>
      <c r="L30" s="8">
        <f>'ЛИЦ.СЧЕТ'!AH23+'ЛИЦ.СЧЕТ'!AK23+'ЛИЦ.СЧЕТ'!AL23+'ЛИЦ.СЧЕТ'!AM23+'ЛИЦ.СЧЕТ'!AN23+'ЛИЦ.СЧЕТ'!AO23+'ЛИЦ.СЧЕТ'!AP23+'ЛИЦ.СЧЕТ'!AQ23</f>
        <v>858.7249999999999</v>
      </c>
      <c r="M30" s="108">
        <f>'ЛИЦ.СЧЕТ'!AS23+'ЛИЦ.СЧЕТ'!AT23+'ЛИЦ.СЧЕТ'!AU23</f>
        <v>845.824</v>
      </c>
      <c r="N30" s="108">
        <f>'ЛИЦ.СЧЕТ'!AX23</f>
        <v>21092.736</v>
      </c>
      <c r="O30" s="219">
        <f>'ЛИЦ.СЧЕТ'!BB23</f>
        <v>23357.89573</v>
      </c>
      <c r="P30" s="109">
        <f>'ЛИЦ.СЧЕТ'!BC23</f>
        <v>-14236.39073</v>
      </c>
      <c r="Q30" s="110">
        <f>'ЛИЦ.СЧЕТ'!BD23</f>
        <v>-18041.579999999998</v>
      </c>
      <c r="R30" s="28"/>
      <c r="S30" s="28"/>
    </row>
    <row r="31" spans="1:19" s="26" customFormat="1" ht="12.75" hidden="1">
      <c r="A31" s="62" t="s">
        <v>48</v>
      </c>
      <c r="B31" s="103">
        <f>'ЛИЦ.СЧЕТ'!B24</f>
        <v>348.8</v>
      </c>
      <c r="C31" s="104">
        <f>'ЛИЦ.СЧЕТ'!C24</f>
        <v>3017.1200000000003</v>
      </c>
      <c r="D31" s="105">
        <f>'ЛИЦ.СЧЕТ'!D24</f>
        <v>4620.360000000001</v>
      </c>
      <c r="E31" s="106">
        <f>'ЛИЦ.СЧЕТ'!S24</f>
        <v>22240.75</v>
      </c>
      <c r="F31" s="107">
        <f>'ЛИЦ.СЧЕТ'!T24</f>
        <v>1400.88</v>
      </c>
      <c r="G31" s="197">
        <f>'ЛИЦ.СЧЕТ'!AB24</f>
        <v>23339.65</v>
      </c>
      <c r="H31" s="198">
        <f>'ЛИЦ.СЧЕТ'!AC24</f>
        <v>29360.890000000003</v>
      </c>
      <c r="I31" s="212"/>
      <c r="J31" s="106">
        <f>'ЛИЦ.СЧЕТ'!AG24</f>
        <v>209.28</v>
      </c>
      <c r="K31" s="8">
        <f>'ЛИЦ.СЧЕТ'!AI24+'ЛИЦ.СЧЕТ'!AJ24</f>
        <v>349.8464</v>
      </c>
      <c r="L31" s="8">
        <f>'ЛИЦ.СЧЕТ'!AH24+'ЛИЦ.СЧЕТ'!AK24+'ЛИЦ.СЧЕТ'!AL24+'ЛИЦ.СЧЕТ'!AM24+'ЛИЦ.СЧЕТ'!AN24+'ЛИЦ.СЧЕТ'!AO24+'ЛИЦ.СЧЕТ'!AP24+'ЛИЦ.СЧЕТ'!AQ24</f>
        <v>855.8854399999999</v>
      </c>
      <c r="M31" s="108">
        <f>'ЛИЦ.СЧЕТ'!AS24+'ЛИЦ.СЧЕТ'!AT24+'ЛИЦ.СЧЕТ'!AU24</f>
        <v>0</v>
      </c>
      <c r="N31" s="108">
        <f>'ЛИЦ.СЧЕТ'!AX24</f>
        <v>21370.272</v>
      </c>
      <c r="O31" s="219">
        <f>'ЛИЦ.СЧЕТ'!BB24</f>
        <v>22785.28384</v>
      </c>
      <c r="P31" s="109">
        <f>'ЛИЦ.СЧЕТ'!BC24</f>
        <v>6575.606160000003</v>
      </c>
      <c r="Q31" s="110">
        <f>'ЛИЦ.СЧЕТ'!BD24</f>
        <v>1098.9000000000015</v>
      </c>
      <c r="R31" s="28"/>
      <c r="S31" s="28"/>
    </row>
    <row r="32" spans="1:19" s="26" customFormat="1" ht="13.5" hidden="1" thickBot="1">
      <c r="A32" s="67" t="s">
        <v>49</v>
      </c>
      <c r="B32" s="103">
        <f>'ЛИЦ.СЧЕТ'!B25</f>
        <v>348.8</v>
      </c>
      <c r="C32" s="104">
        <f>'ЛИЦ.СЧЕТ'!C25</f>
        <v>3017.1200000000003</v>
      </c>
      <c r="D32" s="105">
        <f>'ЛИЦ.СЧЕТ'!D25</f>
        <v>3199.4300000000003</v>
      </c>
      <c r="E32" s="106">
        <f>'ЛИЦ.СЧЕТ'!S25</f>
        <v>29115.92</v>
      </c>
      <c r="F32" s="107">
        <f>'ЛИЦ.СЧЕТ'!T25</f>
        <v>1820.93</v>
      </c>
      <c r="G32" s="197">
        <f>'ЛИЦ.СЧЕТ'!AB25</f>
        <v>19960.620000000003</v>
      </c>
      <c r="H32" s="198">
        <f>'ЛИЦ.СЧЕТ'!AC25</f>
        <v>24980.980000000003</v>
      </c>
      <c r="I32" s="212"/>
      <c r="J32" s="106">
        <f>'ЛИЦ.СЧЕТ'!AG25</f>
        <v>209.28</v>
      </c>
      <c r="K32" s="8">
        <f>'ЛИЦ.СЧЕТ'!AI25+'ЛИЦ.СЧЕТ'!AJ25</f>
        <v>349.8464</v>
      </c>
      <c r="L32" s="8">
        <f>'ЛИЦ.СЧЕТ'!AH25+'ЛИЦ.СЧЕТ'!AK25+'ЛИЦ.СЧЕТ'!AL25+'ЛИЦ.СЧЕТ'!AM25+'ЛИЦ.СЧЕТ'!AN25+'ЛИЦ.СЧЕТ'!AO25+'ЛИЦ.СЧЕТ'!AP25+'ЛИЦ.СЧЕТ'!AQ25</f>
        <v>855.8854399999999</v>
      </c>
      <c r="M32" s="108">
        <f>'ЛИЦ.СЧЕТ'!AS25+'ЛИЦ.СЧЕТ'!AT25+'ЛИЦ.СЧЕТ'!AU25</f>
        <v>5452.544</v>
      </c>
      <c r="N32" s="108">
        <f>'ЛИЦ.СЧЕТ'!AX25</f>
        <v>28665.504</v>
      </c>
      <c r="O32" s="219">
        <f>'ЛИЦ.СЧЕТ'!BB25</f>
        <v>35533.05984</v>
      </c>
      <c r="P32" s="109">
        <f>'ЛИЦ.СЧЕТ'!BC25</f>
        <v>-10552.079839999999</v>
      </c>
      <c r="Q32" s="110">
        <f>'ЛИЦ.СЧЕТ'!BD25</f>
        <v>-9155.299999999996</v>
      </c>
      <c r="R32" s="28"/>
      <c r="S32" s="28"/>
    </row>
    <row r="33" spans="1:19" s="9" customFormat="1" ht="13.5" hidden="1" thickBot="1">
      <c r="A33" s="18" t="s">
        <v>5</v>
      </c>
      <c r="B33" s="19"/>
      <c r="C33" s="49">
        <f aca="true" t="shared" si="1" ref="C33:Q33">SUM(C21:C32)</f>
        <v>36352.490000000005</v>
      </c>
      <c r="D33" s="111">
        <f t="shared" si="1"/>
        <v>44173.9125</v>
      </c>
      <c r="E33" s="118">
        <f t="shared" si="1"/>
        <v>133327.68</v>
      </c>
      <c r="F33" s="22">
        <f t="shared" si="1"/>
        <v>8790.07</v>
      </c>
      <c r="G33" s="202">
        <f t="shared" si="1"/>
        <v>113722.04999999999</v>
      </c>
      <c r="H33" s="203">
        <f t="shared" si="1"/>
        <v>166686.0325</v>
      </c>
      <c r="I33" s="213"/>
      <c r="J33" s="118">
        <f t="shared" si="1"/>
        <v>2437.44</v>
      </c>
      <c r="K33" s="22">
        <f t="shared" si="1"/>
        <v>4020.572527425</v>
      </c>
      <c r="L33" s="22">
        <f t="shared" si="1"/>
        <v>25793.327244348995</v>
      </c>
      <c r="M33" s="22">
        <f t="shared" si="1"/>
        <v>31241.479400000004</v>
      </c>
      <c r="N33" s="22">
        <f t="shared" si="1"/>
        <v>202244.446</v>
      </c>
      <c r="O33" s="221">
        <f t="shared" si="1"/>
        <v>266871.26517177396</v>
      </c>
      <c r="P33" s="111">
        <f>SUM(P21:P32)</f>
        <v>-100185.23267177399</v>
      </c>
      <c r="Q33" s="119">
        <f t="shared" si="1"/>
        <v>-19605.63</v>
      </c>
      <c r="R33" s="90"/>
      <c r="S33" s="90"/>
    </row>
    <row r="34" spans="1:19" s="26" customFormat="1" ht="13.5" thickBot="1">
      <c r="A34" s="120" t="s">
        <v>57</v>
      </c>
      <c r="B34" s="121"/>
      <c r="C34" s="122"/>
      <c r="D34" s="123"/>
      <c r="E34" s="121"/>
      <c r="F34" s="121"/>
      <c r="G34" s="204"/>
      <c r="H34" s="205"/>
      <c r="I34" s="215"/>
      <c r="J34" s="121"/>
      <c r="K34" s="121"/>
      <c r="L34" s="121"/>
      <c r="M34" s="121"/>
      <c r="N34" s="121"/>
      <c r="O34" s="206"/>
      <c r="P34" s="123"/>
      <c r="Q34" s="124"/>
      <c r="R34" s="28"/>
      <c r="S34" s="28"/>
    </row>
    <row r="35" spans="1:19" s="9" customFormat="1" ht="13.5" thickBot="1">
      <c r="A35" s="125" t="s">
        <v>53</v>
      </c>
      <c r="B35" s="20"/>
      <c r="C35" s="23">
        <f>C19+C33</f>
        <v>45447.965000000004</v>
      </c>
      <c r="D35" s="126">
        <f aca="true" t="shared" si="2" ref="D35:Q35">D19+D33</f>
        <v>46363.22365075</v>
      </c>
      <c r="E35" s="127">
        <f t="shared" si="2"/>
        <v>137726.58</v>
      </c>
      <c r="F35" s="128">
        <f t="shared" si="2"/>
        <v>9305.449999999999</v>
      </c>
      <c r="G35" s="207">
        <f t="shared" si="2"/>
        <v>115574.9</v>
      </c>
      <c r="H35" s="208">
        <f t="shared" si="2"/>
        <v>171243.57365075</v>
      </c>
      <c r="I35" s="216">
        <f>'ЛИЦ.СЧЕТ'!AD27</f>
        <v>98816.83</v>
      </c>
      <c r="J35" s="127">
        <f t="shared" si="2"/>
        <v>3068.34</v>
      </c>
      <c r="K35" s="20">
        <f t="shared" si="2"/>
        <v>5076.434710224999</v>
      </c>
      <c r="L35" s="20">
        <f t="shared" si="2"/>
        <v>29495.056210313996</v>
      </c>
      <c r="M35" s="20">
        <f t="shared" si="2"/>
        <v>34865.48360000001</v>
      </c>
      <c r="N35" s="20">
        <f t="shared" si="2"/>
        <v>202244.446</v>
      </c>
      <c r="O35" s="222">
        <f t="shared" si="2"/>
        <v>275883.76052053896</v>
      </c>
      <c r="P35" s="126">
        <f t="shared" si="2"/>
        <v>-104640.18686978899</v>
      </c>
      <c r="Q35" s="25">
        <f t="shared" si="2"/>
        <v>-22151.68</v>
      </c>
      <c r="R35" s="129"/>
      <c r="S35" s="90"/>
    </row>
    <row r="36" spans="1:19" s="26" customFormat="1" ht="12.75">
      <c r="A36" s="15" t="s">
        <v>52</v>
      </c>
      <c r="B36" s="68"/>
      <c r="C36" s="112"/>
      <c r="D36" s="113"/>
      <c r="E36" s="114"/>
      <c r="F36" s="115"/>
      <c r="G36" s="200"/>
      <c r="H36" s="201"/>
      <c r="I36" s="214"/>
      <c r="J36" s="114"/>
      <c r="K36" s="69"/>
      <c r="L36" s="69"/>
      <c r="M36" s="70"/>
      <c r="N36" s="70"/>
      <c r="O36" s="220"/>
      <c r="P36" s="116"/>
      <c r="Q36" s="117"/>
      <c r="R36" s="28"/>
      <c r="S36" s="28"/>
    </row>
    <row r="37" spans="1:19" s="26" customFormat="1" ht="12.75">
      <c r="A37" s="62" t="s">
        <v>38</v>
      </c>
      <c r="B37" s="110">
        <f>'ЛИЦ.СЧЕТ'!B29</f>
        <v>348.8</v>
      </c>
      <c r="C37" s="110">
        <f>'ЛИЦ.СЧЕТ'!C29</f>
        <v>3017.1200000000003</v>
      </c>
      <c r="D37" s="110">
        <f>'ЛИЦ.СЧЕТ'!D29</f>
        <v>5899.59</v>
      </c>
      <c r="E37" s="110">
        <f>'ЛИЦ.СЧЕТ'!S29</f>
        <v>21652.16</v>
      </c>
      <c r="F37" s="110">
        <f>'ЛИЦ.СЧЕТ'!T29</f>
        <v>1365.79</v>
      </c>
      <c r="G37" s="209">
        <f>'ЛИЦ.СЧЕТ'!AB29</f>
        <v>7656.62</v>
      </c>
      <c r="H37" s="209">
        <f>'ЛИЦ.СЧЕТ'!AC29</f>
        <v>14922</v>
      </c>
      <c r="I37" s="217">
        <f>'ЛИЦ.СЧЕТ'!AD29</f>
        <v>7972.99</v>
      </c>
      <c r="J37" s="110">
        <f>'ЛИЦ.СЧЕТ'!AG29</f>
        <v>209.28</v>
      </c>
      <c r="K37" s="110">
        <f>'ЛИЦ.СЧЕТ'!AI29+'ЛИЦ.СЧЕТ'!AJ29</f>
        <v>348.8</v>
      </c>
      <c r="L37" s="110">
        <f>'ЛИЦ.СЧЕТ'!AH29+'ЛИЦ.СЧЕТ'!AK29+'ЛИЦ.СЧЕТ'!AL29+'ЛИЦ.СЧЕТ'!AM29+'ЛИЦ.СЧЕТ'!AN29+'ЛИЦ.СЧЕТ'!AO29+'ЛИЦ.СЧЕТ'!AP29+'ЛИЦ.СЧЕТ'!AQ29+'ЛИЦ.СЧЕТ'!AR29</f>
        <v>854.5600000000001</v>
      </c>
      <c r="M37" s="110">
        <f>'ЛИЦ.СЧЕТ'!AS29+'ЛИЦ.СЧЕТ'!AT29+'ЛИЦ.СЧЕТ'!AU29</f>
        <v>0</v>
      </c>
      <c r="N37" s="110">
        <f>'ЛИЦ.СЧЕТ'!AX29</f>
        <v>20748</v>
      </c>
      <c r="O37" s="209">
        <f>'ЛИЦ.СЧЕТ'!BB29</f>
        <v>22160.64</v>
      </c>
      <c r="P37" s="110">
        <f>'ЛИЦ.СЧЕТ'!BC29</f>
        <v>-7238.639999999999</v>
      </c>
      <c r="Q37" s="110">
        <f>'ЛИЦ.СЧЕТ'!BD29</f>
        <v>-13995.54</v>
      </c>
      <c r="R37" s="28"/>
      <c r="S37" s="28"/>
    </row>
    <row r="38" spans="1:19" s="26" customFormat="1" ht="12.75">
      <c r="A38" s="62" t="s">
        <v>39</v>
      </c>
      <c r="B38" s="110">
        <f>'ЛИЦ.СЧЕТ'!B30</f>
        <v>348.8</v>
      </c>
      <c r="C38" s="110">
        <f>'ЛИЦ.СЧЕТ'!C30</f>
        <v>3017.1200000000003</v>
      </c>
      <c r="D38" s="110">
        <f>'ЛИЦ.СЧЕТ'!D30</f>
        <v>7749.120000000001</v>
      </c>
      <c r="E38" s="110">
        <f>'ЛИЦ.СЧЕТ'!S30</f>
        <v>28741.11</v>
      </c>
      <c r="F38" s="110">
        <f>'ЛИЦ.СЧЕТ'!T30</f>
        <v>1796.99</v>
      </c>
      <c r="G38" s="209">
        <f>'ЛИЦ.СЧЕТ'!AB30</f>
        <v>13173.820000000002</v>
      </c>
      <c r="H38" s="209">
        <f>'ЛИЦ.СЧЕТ'!AC30</f>
        <v>22719.93</v>
      </c>
      <c r="I38" s="217">
        <f>'ЛИЦ.СЧЕТ'!AD30</f>
        <v>13668.17</v>
      </c>
      <c r="J38" s="110">
        <f>'ЛИЦ.СЧЕТ'!AG30</f>
        <v>209.28</v>
      </c>
      <c r="K38" s="110">
        <f>'ЛИЦ.СЧЕТ'!AI30+'ЛИЦ.СЧЕТ'!AJ30</f>
        <v>348.8</v>
      </c>
      <c r="L38" s="110">
        <f>'ЛИЦ.СЧЕТ'!AH30+'ЛИЦ.СЧЕТ'!AK30+'ЛИЦ.СЧЕТ'!AL30+'ЛИЦ.СЧЕТ'!AM30+'ЛИЦ.СЧЕТ'!AN30+'ЛИЦ.СЧЕТ'!AO30+'ЛИЦ.СЧЕТ'!AP30+'ЛИЦ.СЧЕТ'!AQ30+'ЛИЦ.СЧЕТ'!AR30</f>
        <v>854.5600000000001</v>
      </c>
      <c r="M38" s="110">
        <f>'ЛИЦ.СЧЕТ'!AS30+'ЛИЦ.СЧЕТ'!AT30+'ЛИЦ.СЧЕТ'!AU30</f>
        <v>0</v>
      </c>
      <c r="N38" s="110">
        <f>'ЛИЦ.СЧЕТ'!AX30</f>
        <v>28266</v>
      </c>
      <c r="O38" s="209">
        <f>'ЛИЦ.СЧЕТ'!BB30</f>
        <v>29678.64</v>
      </c>
      <c r="P38" s="110">
        <f>'ЛИЦ.СЧЕТ'!BC30</f>
        <v>-6958.709999999999</v>
      </c>
      <c r="Q38" s="110">
        <f>'ЛИЦ.СЧЕТ'!BD30</f>
        <v>-15567.289999999999</v>
      </c>
      <c r="R38" s="28"/>
      <c r="S38" s="28"/>
    </row>
    <row r="39" spans="1:19" s="26" customFormat="1" ht="12.75">
      <c r="A39" s="62" t="s">
        <v>40</v>
      </c>
      <c r="B39" s="110">
        <f>'ЛИЦ.СЧЕТ'!B31</f>
        <v>348.8</v>
      </c>
      <c r="C39" s="110">
        <f>'ЛИЦ.СЧЕТ'!C31</f>
        <v>3017.1200000000003</v>
      </c>
      <c r="D39" s="110">
        <f>'ЛИЦ.СЧЕТ'!D31</f>
        <v>5419.17</v>
      </c>
      <c r="E39" s="110">
        <f>'ЛИЦ.СЧЕТ'!S31</f>
        <v>18212.96</v>
      </c>
      <c r="F39" s="110">
        <f>'ЛИЦ.СЧЕТ'!T31</f>
        <v>1437.5900000000001</v>
      </c>
      <c r="G39" s="209">
        <f>'ЛИЦ.СЧЕТ'!AB31</f>
        <v>27144.109999999997</v>
      </c>
      <c r="H39" s="209">
        <f>'ЛИЦ.СЧЕТ'!AC31</f>
        <v>34000.869999999995</v>
      </c>
      <c r="I39" s="217">
        <f>'ЛИЦ.СЧЕТ'!AD31</f>
        <v>26561.5</v>
      </c>
      <c r="J39" s="110">
        <f>'ЛИЦ.СЧЕТ'!AG31</f>
        <v>209.28</v>
      </c>
      <c r="K39" s="110">
        <f>'ЛИЦ.СЧЕТ'!AI31+'ЛИЦ.СЧЕТ'!AJ31</f>
        <v>348.8</v>
      </c>
      <c r="L39" s="110">
        <f>'ЛИЦ.СЧЕТ'!AH31+'ЛИЦ.СЧЕТ'!AK31+'ЛИЦ.СЧЕТ'!AL31+'ЛИЦ.СЧЕТ'!AM31+'ЛИЦ.СЧЕТ'!AN31+'ЛИЦ.СЧЕТ'!AO31+'ЛИЦ.СЧЕТ'!AP31+'ЛИЦ.СЧЕТ'!AQ31+'ЛИЦ.СЧЕТ'!AR31</f>
        <v>5711.56</v>
      </c>
      <c r="M39" s="110">
        <f>'ЛИЦ.СЧЕТ'!AS31+'ЛИЦ.СЧЕТ'!AT31+'ЛИЦ.СЧЕТ'!AU31</f>
        <v>0</v>
      </c>
      <c r="N39" s="110">
        <f>'ЛИЦ.СЧЕТ'!AX31</f>
        <v>24444</v>
      </c>
      <c r="O39" s="209">
        <f>'ЛИЦ.СЧЕТ'!BB31</f>
        <v>30713.64</v>
      </c>
      <c r="P39" s="110">
        <f>'ЛИЦ.СЧЕТ'!BC31</f>
        <v>3287.229999999996</v>
      </c>
      <c r="Q39" s="110">
        <f>'ЛИЦ.СЧЕТ'!BD31</f>
        <v>8931.149999999998</v>
      </c>
      <c r="R39" s="28"/>
      <c r="S39" s="28"/>
    </row>
    <row r="40" spans="1:19" s="26" customFormat="1" ht="12.75">
      <c r="A40" s="62" t="s">
        <v>41</v>
      </c>
      <c r="B40" s="110">
        <f>'ЛИЦ.СЧЕТ'!B32</f>
        <v>348.8</v>
      </c>
      <c r="C40" s="110">
        <f>'ЛИЦ.СЧЕТ'!C32</f>
        <v>3017.1200000000003</v>
      </c>
      <c r="D40" s="110">
        <f>'ЛИЦ.СЧЕТ'!D32</f>
        <v>5817.620000000001</v>
      </c>
      <c r="E40" s="110">
        <f>'ЛИЦ.СЧЕТ'!S32</f>
        <v>16634.72</v>
      </c>
      <c r="F40" s="110">
        <f>'ЛИЦ.СЧЕТ'!T32</f>
        <v>1060.59</v>
      </c>
      <c r="G40" s="209">
        <f>'ЛИЦ.СЧЕТ'!AB32</f>
        <v>3952.7299999999996</v>
      </c>
      <c r="H40" s="209">
        <f>'ЛИЦ.СЧЕТ'!AC32</f>
        <v>10830.94</v>
      </c>
      <c r="I40" s="217">
        <f>'ЛИЦ.СЧЕТ'!AD32</f>
        <v>3598.73</v>
      </c>
      <c r="J40" s="110">
        <f>'ЛИЦ.СЧЕТ'!AG32</f>
        <v>209.28</v>
      </c>
      <c r="K40" s="110">
        <f>'ЛИЦ.СЧЕТ'!AI32+'ЛИЦ.СЧЕТ'!AJ32</f>
        <v>348.8</v>
      </c>
      <c r="L40" s="110">
        <f>'ЛИЦ.СЧЕТ'!AH32+'ЛИЦ.СЧЕТ'!AK32+'ЛИЦ.СЧЕТ'!AL32+'ЛИЦ.СЧЕТ'!AM32+'ЛИЦ.СЧЕТ'!AN32+'ЛИЦ.СЧЕТ'!AO32+'ЛИЦ.СЧЕТ'!AP32+'ЛИЦ.СЧЕТ'!AQ32+'ЛИЦ.СЧЕТ'!AR32</f>
        <v>854.5600000000001</v>
      </c>
      <c r="M40" s="110">
        <f>'ЛИЦ.СЧЕТ'!AS32+'ЛИЦ.СЧЕТ'!AT32+'ЛИЦ.СЧЕТ'!AU32</f>
        <v>390</v>
      </c>
      <c r="N40" s="110">
        <f>'ЛИЦ.СЧЕТ'!AX32</f>
        <v>17136</v>
      </c>
      <c r="O40" s="209">
        <f>'ЛИЦ.СЧЕТ'!BB32</f>
        <v>18938.64</v>
      </c>
      <c r="P40" s="110">
        <f>'ЛИЦ.СЧЕТ'!BC32</f>
        <v>-8107.699999999999</v>
      </c>
      <c r="Q40" s="110">
        <f>'ЛИЦ.СЧЕТ'!BD32</f>
        <v>-12681.990000000002</v>
      </c>
      <c r="R40" s="28"/>
      <c r="S40" s="28"/>
    </row>
    <row r="41" spans="1:19" s="26" customFormat="1" ht="12.75">
      <c r="A41" s="62" t="s">
        <v>42</v>
      </c>
      <c r="B41" s="110">
        <f>'ЛИЦ.СЧЕТ'!B33</f>
        <v>348.8</v>
      </c>
      <c r="C41" s="110">
        <f>'ЛИЦ.СЧЕТ'!C33</f>
        <v>3017.1200000000003</v>
      </c>
      <c r="D41" s="110">
        <f>'ЛИЦ.СЧЕТ'!D33</f>
        <v>5642.92</v>
      </c>
      <c r="E41" s="110">
        <f>'ЛИЦ.СЧЕТ'!S33</f>
        <v>10078.4</v>
      </c>
      <c r="F41" s="110">
        <f>'ЛИЦ.СЧЕТ'!T33</f>
        <v>661.7900000000001</v>
      </c>
      <c r="G41" s="209">
        <f>'ЛИЦ.СЧЕТ'!AB33</f>
        <v>6272.7300000000005</v>
      </c>
      <c r="H41" s="209">
        <f>'ЛИЦ.СЧЕТ'!AC33</f>
        <v>12577.44</v>
      </c>
      <c r="I41" s="217">
        <f>'ЛИЦ.СЧЕТ'!AD33</f>
        <v>6093.400000000001</v>
      </c>
      <c r="J41" s="110">
        <f>'ЛИЦ.СЧЕТ'!AG33</f>
        <v>209.28</v>
      </c>
      <c r="K41" s="110">
        <f>'ЛИЦ.СЧЕТ'!AI33+'ЛИЦ.СЧЕТ'!AJ33</f>
        <v>348.8</v>
      </c>
      <c r="L41" s="110">
        <f>'ЛИЦ.СЧЕТ'!AH33+'ЛИЦ.СЧЕТ'!AK33+'ЛИЦ.СЧЕТ'!AL33+'ЛИЦ.СЧЕТ'!AM33+'ЛИЦ.СЧЕТ'!AN33+'ЛИЦ.СЧЕТ'!AO33+'ЛИЦ.СЧЕТ'!AP33+'ЛИЦ.СЧЕТ'!AQ33+'ЛИЦ.СЧЕТ'!AR33</f>
        <v>854.5600000000001</v>
      </c>
      <c r="M41" s="110">
        <f>'ЛИЦ.СЧЕТ'!AS33+'ЛИЦ.СЧЕТ'!AT33+'ЛИЦ.СЧЕТ'!AU33</f>
        <v>0</v>
      </c>
      <c r="N41" s="110">
        <f>'ЛИЦ.СЧЕТ'!AX33</f>
        <v>9408</v>
      </c>
      <c r="O41" s="209">
        <f>'ЛИЦ.СЧЕТ'!BB33</f>
        <v>10820.64</v>
      </c>
      <c r="P41" s="110">
        <f>'ЛИЦ.СЧЕТ'!BC33</f>
        <v>1756.800000000001</v>
      </c>
      <c r="Q41" s="110">
        <f>'ЛИЦ.СЧЕТ'!BD33</f>
        <v>-3805.669999999999</v>
      </c>
      <c r="R41" s="28"/>
      <c r="S41" s="28"/>
    </row>
    <row r="42" spans="1:19" s="26" customFormat="1" ht="12.75">
      <c r="A42" s="62" t="s">
        <v>43</v>
      </c>
      <c r="B42" s="110">
        <f>'ЛИЦ.СЧЕТ'!B34</f>
        <v>348.8</v>
      </c>
      <c r="C42" s="110">
        <f>'ЛИЦ.СЧЕТ'!C34</f>
        <v>3017.1200000000003</v>
      </c>
      <c r="D42" s="110">
        <f>'ЛИЦ.СЧЕТ'!D34</f>
        <v>745.7900000000004</v>
      </c>
      <c r="E42" s="110">
        <f>'ЛИЦ.СЧЕТ'!S34</f>
        <v>2095.14</v>
      </c>
      <c r="F42" s="110">
        <f>'ЛИЦ.СЧЕТ'!T34</f>
        <v>176.19</v>
      </c>
      <c r="G42" s="209">
        <f>'ЛИЦ.СЧЕТ'!AB34</f>
        <v>4378.14</v>
      </c>
      <c r="H42" s="209">
        <f>'ЛИЦ.СЧЕТ'!AC34</f>
        <v>5300.120000000001</v>
      </c>
      <c r="I42" s="217">
        <f>'ЛИЦ.СЧЕТ'!AD34</f>
        <v>3621.71</v>
      </c>
      <c r="J42" s="110">
        <f>'ЛИЦ.СЧЕТ'!AG34</f>
        <v>209.28</v>
      </c>
      <c r="K42" s="110">
        <f>'ЛИЦ.СЧЕТ'!AI34+'ЛИЦ.СЧЕТ'!AJ34</f>
        <v>348.8</v>
      </c>
      <c r="L42" s="110">
        <f>'ЛИЦ.СЧЕТ'!AH34+'ЛИЦ.СЧЕТ'!AK34+'ЛИЦ.СЧЕТ'!AL34+'ЛИЦ.СЧЕТ'!AM34+'ЛИЦ.СЧЕТ'!AN34+'ЛИЦ.СЧЕТ'!AO34+'ЛИЦ.СЧЕТ'!AP34+'ЛИЦ.СЧЕТ'!AQ34+'ЛИЦ.СЧЕТ'!AR34</f>
        <v>854.5600000000001</v>
      </c>
      <c r="M42" s="110">
        <f>'ЛИЦ.СЧЕТ'!AS34+'ЛИЦ.СЧЕТ'!AT34+'ЛИЦ.СЧЕТ'!AU34</f>
        <v>0</v>
      </c>
      <c r="N42" s="110">
        <f>'ЛИЦ.СЧЕТ'!AX34</f>
        <v>0</v>
      </c>
      <c r="O42" s="209">
        <f>'ЛИЦ.СЧЕТ'!BB34</f>
        <v>1412.64</v>
      </c>
      <c r="P42" s="110">
        <f>'ЛИЦ.СЧЕТ'!BC34</f>
        <v>3887.4800000000005</v>
      </c>
      <c r="Q42" s="110">
        <f>'ЛИЦ.СЧЕТ'!BD34</f>
        <v>2283.0000000000005</v>
      </c>
      <c r="R42" s="28"/>
      <c r="S42" s="28"/>
    </row>
    <row r="43" spans="1:19" s="26" customFormat="1" ht="12.75">
      <c r="A43" s="62" t="s">
        <v>44</v>
      </c>
      <c r="B43" s="110">
        <f>'ЛИЦ.СЧЕТ'!B35</f>
        <v>348.8</v>
      </c>
      <c r="C43" s="110">
        <f>'ЛИЦ.СЧЕТ'!C35</f>
        <v>3017.1200000000003</v>
      </c>
      <c r="D43" s="110">
        <f>'ЛИЦ.СЧЕТ'!D35</f>
        <v>745.7700000000003</v>
      </c>
      <c r="E43" s="110">
        <f>'ЛИЦ.СЧЕТ'!S35</f>
        <v>2271.35</v>
      </c>
      <c r="F43" s="110">
        <f>'ЛИЦ.СЧЕТ'!T35</f>
        <v>0</v>
      </c>
      <c r="G43" s="209">
        <f>'ЛИЦ.СЧЕТ'!AB35</f>
        <v>4319.12</v>
      </c>
      <c r="H43" s="209">
        <f>'ЛИЦ.СЧЕТ'!AC35</f>
        <v>5064.89</v>
      </c>
      <c r="I43" s="217">
        <f>'ЛИЦ.СЧЕТ'!AD35</f>
        <v>3527.57</v>
      </c>
      <c r="J43" s="110">
        <f>'ЛИЦ.СЧЕТ'!AG35</f>
        <v>209.28</v>
      </c>
      <c r="K43" s="110">
        <f>'ЛИЦ.СЧЕТ'!AI35+'ЛИЦ.СЧЕТ'!AJ35</f>
        <v>348.8</v>
      </c>
      <c r="L43" s="110">
        <f>'ЛИЦ.СЧЕТ'!AH35+'ЛИЦ.СЧЕТ'!AK35+'ЛИЦ.СЧЕТ'!AL35+'ЛИЦ.СЧЕТ'!AM35+'ЛИЦ.СЧЕТ'!AN35+'ЛИЦ.СЧЕТ'!AO35+'ЛИЦ.СЧЕТ'!AP35+'ЛИЦ.СЧЕТ'!AQ35+'ЛИЦ.СЧЕТ'!AR35</f>
        <v>854.5600000000001</v>
      </c>
      <c r="M43" s="110">
        <f>'ЛИЦ.СЧЕТ'!AS35+'ЛИЦ.СЧЕТ'!AT35+'ЛИЦ.СЧЕТ'!AU35</f>
        <v>0</v>
      </c>
      <c r="N43" s="110">
        <f>'ЛИЦ.СЧЕТ'!AX35</f>
        <v>0</v>
      </c>
      <c r="O43" s="209">
        <f>'ЛИЦ.СЧЕТ'!BB35</f>
        <v>1412.64</v>
      </c>
      <c r="P43" s="110">
        <f>'ЛИЦ.СЧЕТ'!BC35</f>
        <v>3652.25</v>
      </c>
      <c r="Q43" s="110">
        <f>'ЛИЦ.СЧЕТ'!BD35</f>
        <v>2047.77</v>
      </c>
      <c r="R43" s="28"/>
      <c r="S43" s="28"/>
    </row>
    <row r="44" spans="1:19" s="26" customFormat="1" ht="12.75">
      <c r="A44" s="62" t="s">
        <v>45</v>
      </c>
      <c r="B44" s="110">
        <f>'ЛИЦ.СЧЕТ'!B36</f>
        <v>348.8</v>
      </c>
      <c r="C44" s="110">
        <f>'ЛИЦ.СЧЕТ'!C36</f>
        <v>3017.1200000000003</v>
      </c>
      <c r="D44" s="110">
        <f>'ЛИЦ.СЧЕТ'!D36</f>
        <v>745.7700000000003</v>
      </c>
      <c r="E44" s="110">
        <f>'ЛИЦ.СЧЕТ'!S36</f>
        <v>2271.35</v>
      </c>
      <c r="F44" s="110">
        <f>'ЛИЦ.СЧЕТ'!T36</f>
        <v>0</v>
      </c>
      <c r="G44" s="209">
        <f>'ЛИЦ.СЧЕТ'!AB36</f>
        <v>2451.07</v>
      </c>
      <c r="H44" s="209">
        <f>'ЛИЦ.СЧЕТ'!AC36</f>
        <v>3196.8400000000006</v>
      </c>
      <c r="I44" s="217">
        <f>'ЛИЦ.СЧЕТ'!AD36</f>
        <v>914.83</v>
      </c>
      <c r="J44" s="110">
        <f>'ЛИЦ.СЧЕТ'!AG36</f>
        <v>209.28</v>
      </c>
      <c r="K44" s="110">
        <f>'ЛИЦ.СЧЕТ'!AI36+'ЛИЦ.СЧЕТ'!AJ36</f>
        <v>348.8</v>
      </c>
      <c r="L44" s="110">
        <f>'ЛИЦ.СЧЕТ'!AH36+'ЛИЦ.СЧЕТ'!AK36+'ЛИЦ.СЧЕТ'!AL36+'ЛИЦ.СЧЕТ'!AM36+'ЛИЦ.СЧЕТ'!AN36+'ЛИЦ.СЧЕТ'!AO36+'ЛИЦ.СЧЕТ'!AP36+'ЛИЦ.СЧЕТ'!AQ36+'ЛИЦ.СЧЕТ'!AR36</f>
        <v>854.5600000000001</v>
      </c>
      <c r="M44" s="110">
        <f>'ЛИЦ.СЧЕТ'!AS36+'ЛИЦ.СЧЕТ'!AT36+'ЛИЦ.СЧЕТ'!AU36</f>
        <v>47.8</v>
      </c>
      <c r="N44" s="110">
        <f>'ЛИЦ.СЧЕТ'!AX36</f>
        <v>0</v>
      </c>
      <c r="O44" s="209">
        <f>'ЛИЦ.СЧЕТ'!BB36</f>
        <v>1460.44</v>
      </c>
      <c r="P44" s="110">
        <f>'ЛИЦ.СЧЕТ'!BC36</f>
        <v>1736.4000000000005</v>
      </c>
      <c r="Q44" s="110">
        <f>'ЛИЦ.СЧЕТ'!BD36</f>
        <v>179.72000000000025</v>
      </c>
      <c r="R44" s="28"/>
      <c r="S44" s="28"/>
    </row>
    <row r="45" spans="1:19" s="26" customFormat="1" ht="12.75">
      <c r="A45" s="62" t="s">
        <v>46</v>
      </c>
      <c r="B45" s="110">
        <f>'ЛИЦ.СЧЕТ'!B37</f>
        <v>348.8</v>
      </c>
      <c r="C45" s="110">
        <f>'ЛИЦ.СЧЕТ'!C37</f>
        <v>3017.1200000000003</v>
      </c>
      <c r="D45" s="110">
        <f>'ЛИЦ.СЧЕТ'!D37</f>
        <v>1102.7700000000004</v>
      </c>
      <c r="E45" s="110">
        <f>'ЛИЦ.СЧЕТ'!S37</f>
        <v>5483.799999999999</v>
      </c>
      <c r="F45" s="110">
        <f>'ЛИЦ.СЧЕТ'!T37</f>
        <v>0</v>
      </c>
      <c r="G45" s="209">
        <f>'ЛИЦ.СЧЕТ'!AB37</f>
        <v>1187.43</v>
      </c>
      <c r="H45" s="209">
        <f>'ЛИЦ.СЧЕТ'!AC37</f>
        <v>2290.2000000000007</v>
      </c>
      <c r="I45" s="217">
        <f>'ЛИЦ.СЧЕТ'!AD37</f>
        <v>0.01</v>
      </c>
      <c r="J45" s="110">
        <f>'ЛИЦ.СЧЕТ'!AG37</f>
        <v>209.28</v>
      </c>
      <c r="K45" s="110">
        <f>'ЛИЦ.СЧЕТ'!AI37+'ЛИЦ.СЧЕТ'!AJ37</f>
        <v>348.8</v>
      </c>
      <c r="L45" s="110">
        <f>'ЛИЦ.СЧЕТ'!AH37+'ЛИЦ.СЧЕТ'!AK37+'ЛИЦ.СЧЕТ'!AL37+'ЛИЦ.СЧЕТ'!AM37+'ЛИЦ.СЧЕТ'!AN37+'ЛИЦ.СЧЕТ'!AO37+'ЛИЦ.СЧЕТ'!AP37+'ЛИЦ.СЧЕТ'!AQ37+'ЛИЦ.СЧЕТ'!AR37</f>
        <v>854.5600000000001</v>
      </c>
      <c r="M45" s="110">
        <f>'ЛИЦ.СЧЕТ'!AS37+'ЛИЦ.СЧЕТ'!AT37+'ЛИЦ.СЧЕТ'!AU37</f>
        <v>0</v>
      </c>
      <c r="N45" s="110">
        <f>'ЛИЦ.СЧЕТ'!AX37</f>
        <v>3570</v>
      </c>
      <c r="O45" s="209">
        <f>'ЛИЦ.СЧЕТ'!BB37</f>
        <v>4982.64</v>
      </c>
      <c r="P45" s="110">
        <f>'ЛИЦ.СЧЕТ'!BC37</f>
        <v>-2692.4399999999996</v>
      </c>
      <c r="Q45" s="110">
        <f>'ЛИЦ.СЧЕТ'!BD37</f>
        <v>-4296.369999999999</v>
      </c>
      <c r="R45" s="28"/>
      <c r="S45" s="28"/>
    </row>
    <row r="46" spans="1:19" s="26" customFormat="1" ht="12.75">
      <c r="A46" s="62" t="s">
        <v>47</v>
      </c>
      <c r="B46" s="110">
        <f>'ЛИЦ.СЧЕТ'!B38</f>
        <v>348.8</v>
      </c>
      <c r="C46" s="110">
        <f>'ЛИЦ.СЧЕТ'!C38</f>
        <v>3017.1200000000003</v>
      </c>
      <c r="D46" s="110">
        <f>'ЛИЦ.СЧЕТ'!D38</f>
        <v>1753.7700000000004</v>
      </c>
      <c r="E46" s="110">
        <f>'ЛИЦ.СЧЕТ'!S38</f>
        <v>11343.640000000001</v>
      </c>
      <c r="F46" s="110">
        <f>'ЛИЦ.СЧЕТ'!T38</f>
        <v>0</v>
      </c>
      <c r="G46" s="209">
        <f>'ЛИЦ.СЧЕТ'!AB38</f>
        <v>4669.54</v>
      </c>
      <c r="H46" s="209">
        <f>'ЛИЦ.СЧЕТ'!AC38</f>
        <v>6423.31</v>
      </c>
      <c r="I46" s="217">
        <f>'ЛИЦ.СЧЕТ'!AD38</f>
        <v>3704.87</v>
      </c>
      <c r="J46" s="110">
        <f>'ЛИЦ.СЧЕТ'!AG38</f>
        <v>209.28</v>
      </c>
      <c r="K46" s="110">
        <f>'ЛИЦ.СЧЕТ'!AI38+'ЛИЦ.СЧЕТ'!AJ38</f>
        <v>348.8</v>
      </c>
      <c r="L46" s="110">
        <f>'ЛИЦ.СЧЕТ'!AH38+'ЛИЦ.СЧЕТ'!AK38+'ЛИЦ.СЧЕТ'!AL38+'ЛИЦ.СЧЕТ'!AM38+'ЛИЦ.СЧЕТ'!AN38+'ЛИЦ.СЧЕТ'!AO38+'ЛИЦ.СЧЕТ'!AP38+'ЛИЦ.СЧЕТ'!AQ38+'ЛИЦ.СЧЕТ'!AR38</f>
        <v>854.5600000000001</v>
      </c>
      <c r="M46" s="110">
        <f>'ЛИЦ.СЧЕТ'!AS38+'ЛИЦ.СЧЕТ'!AT38+'ЛИЦ.СЧЕТ'!AU38</f>
        <v>0</v>
      </c>
      <c r="N46" s="110">
        <f>'ЛИЦ.СЧЕТ'!AX38</f>
        <v>10080</v>
      </c>
      <c r="O46" s="209">
        <f>'ЛИЦ.СЧЕТ'!BB38</f>
        <v>11492.64</v>
      </c>
      <c r="P46" s="110">
        <f>'ЛИЦ.СЧЕТ'!BC38</f>
        <v>-5069.329999999999</v>
      </c>
      <c r="Q46" s="110">
        <f>'ЛИЦ.СЧЕТ'!BD38</f>
        <v>-6674.100000000001</v>
      </c>
      <c r="R46" s="28"/>
      <c r="S46" s="28"/>
    </row>
    <row r="47" spans="1:19" s="26" customFormat="1" ht="12.75">
      <c r="A47" s="62" t="s">
        <v>48</v>
      </c>
      <c r="B47" s="110">
        <f>'ЛИЦ.СЧЕТ'!B39</f>
        <v>348.8</v>
      </c>
      <c r="C47" s="110">
        <f>'ЛИЦ.СЧЕТ'!C39</f>
        <v>3017.1200000000003</v>
      </c>
      <c r="D47" s="110">
        <f>'ЛИЦ.СЧЕТ'!D39</f>
        <v>2392.1700000000005</v>
      </c>
      <c r="E47" s="110">
        <f>'ЛИЦ.СЧЕТ'!S39</f>
        <v>17088.35</v>
      </c>
      <c r="F47" s="110">
        <f>'ЛИЦ.СЧЕТ'!T39</f>
        <v>0</v>
      </c>
      <c r="G47" s="209">
        <f>'ЛИЦ.СЧЕТ'!AB39</f>
        <v>2644.0899999999997</v>
      </c>
      <c r="H47" s="209">
        <f>'ЛИЦ.СЧЕТ'!AC39</f>
        <v>5036.26</v>
      </c>
      <c r="I47" s="217">
        <f>'ЛИЦ.СЧЕТ'!AD39</f>
        <v>2128.7</v>
      </c>
      <c r="J47" s="110">
        <f>'ЛИЦ.СЧЕТ'!AG39</f>
        <v>209.28</v>
      </c>
      <c r="K47" s="110">
        <f>'ЛИЦ.СЧЕТ'!AI39+'ЛИЦ.СЧЕТ'!AJ39</f>
        <v>348.8</v>
      </c>
      <c r="L47" s="110">
        <f>'ЛИЦ.СЧЕТ'!AH39+'ЛИЦ.СЧЕТ'!AK39+'ЛИЦ.СЧЕТ'!AL39+'ЛИЦ.СЧЕТ'!AM39+'ЛИЦ.СЧЕТ'!AN39+'ЛИЦ.СЧЕТ'!AO39+'ЛИЦ.СЧЕТ'!AP39+'ЛИЦ.СЧЕТ'!AQ39+'ЛИЦ.СЧЕТ'!AR39</f>
        <v>854.5600000000001</v>
      </c>
      <c r="M47" s="110">
        <f>'ЛИЦ.СЧЕТ'!AS39+'ЛИЦ.СЧЕТ'!AT39+'ЛИЦ.СЧЕТ'!AU39</f>
        <v>0</v>
      </c>
      <c r="N47" s="110">
        <f>'ЛИЦ.СЧЕТ'!AX39</f>
        <v>16464</v>
      </c>
      <c r="O47" s="209">
        <f>'ЛИЦ.СЧЕТ'!BB39</f>
        <v>17876.64</v>
      </c>
      <c r="P47" s="110">
        <f>'ЛИЦ.СЧЕТ'!BC39</f>
        <v>-12840.38</v>
      </c>
      <c r="Q47" s="110">
        <f>'ЛИЦ.СЧЕТ'!BD39</f>
        <v>-14444.259999999998</v>
      </c>
      <c r="R47" s="28"/>
      <c r="S47" s="28"/>
    </row>
    <row r="48" spans="1:19" s="26" customFormat="1" ht="13.5" thickBot="1">
      <c r="A48" s="67" t="s">
        <v>49</v>
      </c>
      <c r="B48" s="110">
        <f>'ЛИЦ.СЧЕТ'!B40</f>
        <v>348.8</v>
      </c>
      <c r="C48" s="110">
        <f>'ЛИЦ.СЧЕТ'!C40</f>
        <v>3017.1200000000003</v>
      </c>
      <c r="D48" s="110">
        <f>'ЛИЦ.СЧЕТ'!D40</f>
        <v>2555.98</v>
      </c>
      <c r="E48" s="110">
        <f>'ЛИЦ.СЧЕТ'!S40</f>
        <v>18563.79</v>
      </c>
      <c r="F48" s="110">
        <f>'ЛИЦ.СЧЕТ'!T40</f>
        <v>0</v>
      </c>
      <c r="G48" s="209">
        <f>'ЛИЦ.СЧЕТ'!AB40</f>
        <v>3110.35</v>
      </c>
      <c r="H48" s="209">
        <f>'ЛИЦ.СЧЕТ'!AC40</f>
        <v>5666.33</v>
      </c>
      <c r="I48" s="217">
        <f>'ЛИЦ.СЧЕТ'!AD40</f>
        <v>2687.06</v>
      </c>
      <c r="J48" s="110">
        <f>'ЛИЦ.СЧЕТ'!AG40</f>
        <v>209.28</v>
      </c>
      <c r="K48" s="110">
        <f>'ЛИЦ.СЧЕТ'!AI40+'ЛИЦ.СЧЕТ'!AJ40</f>
        <v>348.8</v>
      </c>
      <c r="L48" s="110">
        <f>'ЛИЦ.СЧЕТ'!AH40+'ЛИЦ.СЧЕТ'!AK40+'ЛИЦ.СЧЕТ'!AL40+'ЛИЦ.СЧЕТ'!AM40+'ЛИЦ.СЧЕТ'!AN40+'ЛИЦ.СЧЕТ'!AO40+'ЛИЦ.СЧЕТ'!AP40+'ЛИЦ.СЧЕТ'!AQ40+'ЛИЦ.СЧЕТ'!AR40</f>
        <v>854.5600000000001</v>
      </c>
      <c r="M48" s="110">
        <f>'ЛИЦ.СЧЕТ'!AS40+'ЛИЦ.СЧЕТ'!AT40+'ЛИЦ.СЧЕТ'!AU40</f>
        <v>0</v>
      </c>
      <c r="N48" s="110">
        <f>'ЛИЦ.СЧЕТ'!AX40</f>
        <v>26838</v>
      </c>
      <c r="O48" s="209">
        <f>'ЛИЦ.СЧЕТ'!BB40</f>
        <v>28250.64</v>
      </c>
      <c r="P48" s="110">
        <f>'ЛИЦ.СЧЕТ'!BC40</f>
        <v>-22584.309999999998</v>
      </c>
      <c r="Q48" s="110">
        <f>'ЛИЦ.СЧЕТ'!BD40</f>
        <v>-15453.44</v>
      </c>
      <c r="R48" s="28"/>
      <c r="S48" s="28"/>
    </row>
    <row r="49" spans="1:19" s="9" customFormat="1" ht="13.5" thickBot="1">
      <c r="A49" s="18" t="s">
        <v>5</v>
      </c>
      <c r="B49" s="19"/>
      <c r="C49" s="49">
        <f aca="true" t="shared" si="3" ref="C49:Q49">SUM(C37:C48)</f>
        <v>36205.44</v>
      </c>
      <c r="D49" s="111">
        <f t="shared" si="3"/>
        <v>40570.44000000001</v>
      </c>
      <c r="E49" s="118">
        <f t="shared" si="3"/>
        <v>154436.77000000002</v>
      </c>
      <c r="F49" s="22">
        <f t="shared" si="3"/>
        <v>6498.94</v>
      </c>
      <c r="G49" s="202">
        <f t="shared" si="3"/>
        <v>80959.75</v>
      </c>
      <c r="H49" s="203">
        <f t="shared" si="3"/>
        <v>128029.12999999998</v>
      </c>
      <c r="I49" s="213">
        <f t="shared" si="3"/>
        <v>74479.54</v>
      </c>
      <c r="J49" s="118">
        <f t="shared" si="3"/>
        <v>2511.3600000000006</v>
      </c>
      <c r="K49" s="22">
        <f t="shared" si="3"/>
        <v>4185.600000000001</v>
      </c>
      <c r="L49" s="22">
        <f t="shared" si="3"/>
        <v>15111.719999999996</v>
      </c>
      <c r="M49" s="22">
        <f t="shared" si="3"/>
        <v>437.8</v>
      </c>
      <c r="N49" s="22">
        <f t="shared" si="3"/>
        <v>156954</v>
      </c>
      <c r="O49" s="221">
        <f t="shared" si="3"/>
        <v>179200.48000000004</v>
      </c>
      <c r="P49" s="111">
        <f t="shared" si="3"/>
        <v>-51171.34999999999</v>
      </c>
      <c r="Q49" s="119">
        <f t="shared" si="3"/>
        <v>-73477.02</v>
      </c>
      <c r="R49" s="90"/>
      <c r="S49" s="90"/>
    </row>
    <row r="50" spans="1:19" s="26" customFormat="1" ht="13.5" thickBot="1">
      <c r="A50" s="120" t="s">
        <v>57</v>
      </c>
      <c r="B50" s="121"/>
      <c r="C50" s="122"/>
      <c r="D50" s="123"/>
      <c r="E50" s="121"/>
      <c r="F50" s="121"/>
      <c r="G50" s="204"/>
      <c r="H50" s="205"/>
      <c r="I50" s="215"/>
      <c r="J50" s="121"/>
      <c r="K50" s="121"/>
      <c r="L50" s="121"/>
      <c r="M50" s="121"/>
      <c r="N50" s="121"/>
      <c r="O50" s="206"/>
      <c r="P50" s="123"/>
      <c r="Q50" s="124"/>
      <c r="R50" s="28"/>
      <c r="S50" s="28"/>
    </row>
    <row r="51" spans="1:19" s="9" customFormat="1" ht="13.5" thickBot="1">
      <c r="A51" s="125" t="s">
        <v>53</v>
      </c>
      <c r="B51" s="20"/>
      <c r="C51" s="23">
        <f aca="true" t="shared" si="4" ref="C51:Q51">C35+C49</f>
        <v>81653.405</v>
      </c>
      <c r="D51" s="126">
        <f t="shared" si="4"/>
        <v>86933.66365075001</v>
      </c>
      <c r="E51" s="127">
        <f t="shared" si="4"/>
        <v>292163.35</v>
      </c>
      <c r="F51" s="128">
        <f t="shared" si="4"/>
        <v>15804.39</v>
      </c>
      <c r="G51" s="207">
        <f t="shared" si="4"/>
        <v>196534.65</v>
      </c>
      <c r="H51" s="208">
        <f t="shared" si="4"/>
        <v>299272.70365075</v>
      </c>
      <c r="I51" s="208">
        <f t="shared" si="4"/>
        <v>173296.37</v>
      </c>
      <c r="J51" s="208">
        <f t="shared" si="4"/>
        <v>5579.700000000001</v>
      </c>
      <c r="K51" s="20">
        <f t="shared" si="4"/>
        <v>9262.034710225002</v>
      </c>
      <c r="L51" s="20">
        <f t="shared" si="4"/>
        <v>44606.77621031399</v>
      </c>
      <c r="M51" s="20">
        <f t="shared" si="4"/>
        <v>35303.28360000001</v>
      </c>
      <c r="N51" s="20">
        <f t="shared" si="4"/>
        <v>359198.446</v>
      </c>
      <c r="O51" s="222">
        <f t="shared" si="4"/>
        <v>455084.240520539</v>
      </c>
      <c r="P51" s="126">
        <f t="shared" si="4"/>
        <v>-155811.53686978898</v>
      </c>
      <c r="Q51" s="25">
        <f t="shared" si="4"/>
        <v>-95628.70000000001</v>
      </c>
      <c r="R51" s="129"/>
      <c r="S51" s="90"/>
    </row>
    <row r="52" spans="1:13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</row>
    <row r="54" spans="1:18" ht="12.75">
      <c r="A54" s="9" t="s">
        <v>83</v>
      </c>
      <c r="D54" s="227" t="s">
        <v>84</v>
      </c>
      <c r="Q54" s="1"/>
      <c r="R54" s="1"/>
    </row>
    <row r="55" spans="1:18" ht="12.75">
      <c r="A55" s="228" t="s">
        <v>85</v>
      </c>
      <c r="B55" s="228" t="s">
        <v>86</v>
      </c>
      <c r="C55" s="412" t="s">
        <v>87</v>
      </c>
      <c r="D55" s="412"/>
      <c r="Q55" s="1"/>
      <c r="R55" s="1"/>
    </row>
    <row r="56" spans="1:18" ht="12.75">
      <c r="A56" s="229">
        <v>11466.07</v>
      </c>
      <c r="B56" s="229">
        <v>11394</v>
      </c>
      <c r="C56" s="413">
        <f>A56-B56</f>
        <v>72.06999999999971</v>
      </c>
      <c r="D56" s="414"/>
      <c r="Q56" s="1"/>
      <c r="R56" s="1"/>
    </row>
    <row r="57" spans="1:18" ht="12.75">
      <c r="A57" s="230"/>
      <c r="Q57" s="1"/>
      <c r="R57" s="1"/>
    </row>
    <row r="58" spans="1:18" ht="12.75">
      <c r="A58" s="2" t="s">
        <v>88</v>
      </c>
      <c r="G58" s="2" t="s">
        <v>89</v>
      </c>
      <c r="Q58" s="1"/>
      <c r="R58" s="1"/>
    </row>
    <row r="59" ht="12.75">
      <c r="A59" s="1"/>
    </row>
    <row r="60" ht="12.75">
      <c r="A60" s="1"/>
    </row>
    <row r="61" ht="12.75">
      <c r="A61" s="2" t="s">
        <v>90</v>
      </c>
    </row>
    <row r="62" ht="12.75">
      <c r="A62" s="2" t="s">
        <v>91</v>
      </c>
    </row>
  </sheetData>
  <sheetProtection/>
  <mergeCells count="24">
    <mergeCell ref="C55:D55"/>
    <mergeCell ref="C56:D56"/>
    <mergeCell ref="C10:C13"/>
    <mergeCell ref="A10:A13"/>
    <mergeCell ref="M12:M13"/>
    <mergeCell ref="Q10:Q13"/>
    <mergeCell ref="J10:O11"/>
    <mergeCell ref="B1:H1"/>
    <mergeCell ref="B2:H2"/>
    <mergeCell ref="E9:H9"/>
    <mergeCell ref="D10:D13"/>
    <mergeCell ref="E12:F12"/>
    <mergeCell ref="B10:B13"/>
    <mergeCell ref="E10:F11"/>
    <mergeCell ref="A6:S6"/>
    <mergeCell ref="I12:I13"/>
    <mergeCell ref="G10:I11"/>
    <mergeCell ref="P10:P13"/>
    <mergeCell ref="H12:H13"/>
    <mergeCell ref="J12:J13"/>
    <mergeCell ref="K12:K13"/>
    <mergeCell ref="N12:N13"/>
    <mergeCell ref="O12:O13"/>
    <mergeCell ref="L12:L1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8" sqref="C1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373" t="s">
        <v>50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462" t="s">
        <v>0</v>
      </c>
      <c r="B3" s="486" t="s">
        <v>1</v>
      </c>
      <c r="C3" s="488" t="s">
        <v>2</v>
      </c>
      <c r="D3" s="490" t="s">
        <v>3</v>
      </c>
      <c r="E3" s="462" t="s">
        <v>93</v>
      </c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92"/>
      <c r="S3" s="462"/>
      <c r="T3" s="401"/>
      <c r="U3" s="462" t="s">
        <v>5</v>
      </c>
      <c r="V3" s="401"/>
      <c r="W3" s="465" t="s">
        <v>6</v>
      </c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7"/>
      <c r="AJ3" s="471" t="s">
        <v>94</v>
      </c>
      <c r="AK3" s="474" t="s">
        <v>8</v>
      </c>
      <c r="AL3" s="475"/>
      <c r="AM3" s="475"/>
      <c r="AN3" s="475"/>
      <c r="AO3" s="475"/>
      <c r="AP3" s="475"/>
      <c r="AQ3" s="475"/>
      <c r="AR3" s="475"/>
      <c r="AS3" s="475"/>
      <c r="AT3" s="475"/>
      <c r="AU3" s="475"/>
      <c r="AV3" s="475"/>
      <c r="AW3" s="475"/>
      <c r="AX3" s="475"/>
      <c r="AY3" s="475"/>
      <c r="AZ3" s="475"/>
      <c r="BA3" s="475"/>
      <c r="BB3" s="475"/>
      <c r="BC3" s="475"/>
      <c r="BD3" s="475"/>
      <c r="BE3" s="476"/>
      <c r="BF3" s="480" t="s">
        <v>55</v>
      </c>
      <c r="BG3" s="450" t="s">
        <v>54</v>
      </c>
    </row>
    <row r="4" spans="1:59" ht="51.75" customHeight="1" hidden="1" thickBot="1">
      <c r="A4" s="485"/>
      <c r="B4" s="487"/>
      <c r="C4" s="489"/>
      <c r="D4" s="491"/>
      <c r="E4" s="485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493"/>
      <c r="S4" s="463"/>
      <c r="T4" s="464"/>
      <c r="U4" s="463"/>
      <c r="V4" s="464"/>
      <c r="W4" s="468"/>
      <c r="X4" s="469"/>
      <c r="Y4" s="469"/>
      <c r="Z4" s="469"/>
      <c r="AA4" s="469"/>
      <c r="AB4" s="469"/>
      <c r="AC4" s="469"/>
      <c r="AD4" s="469"/>
      <c r="AE4" s="469"/>
      <c r="AF4" s="469"/>
      <c r="AG4" s="469"/>
      <c r="AH4" s="469"/>
      <c r="AI4" s="470"/>
      <c r="AJ4" s="472"/>
      <c r="AK4" s="477"/>
      <c r="AL4" s="478"/>
      <c r="AM4" s="478"/>
      <c r="AN4" s="478"/>
      <c r="AO4" s="478"/>
      <c r="AP4" s="478"/>
      <c r="AQ4" s="478"/>
      <c r="AR4" s="478"/>
      <c r="AS4" s="478"/>
      <c r="AT4" s="478"/>
      <c r="AU4" s="478"/>
      <c r="AV4" s="478"/>
      <c r="AW4" s="478"/>
      <c r="AX4" s="478"/>
      <c r="AY4" s="478"/>
      <c r="AZ4" s="478"/>
      <c r="BA4" s="478"/>
      <c r="BB4" s="478"/>
      <c r="BC4" s="478"/>
      <c r="BD4" s="478"/>
      <c r="BE4" s="479"/>
      <c r="BF4" s="481"/>
      <c r="BG4" s="451"/>
    </row>
    <row r="5" spans="1:59" ht="19.5" customHeight="1">
      <c r="A5" s="485"/>
      <c r="B5" s="487"/>
      <c r="C5" s="489"/>
      <c r="D5" s="491"/>
      <c r="E5" s="453" t="s">
        <v>9</v>
      </c>
      <c r="F5" s="454"/>
      <c r="G5" s="453" t="s">
        <v>95</v>
      </c>
      <c r="H5" s="454"/>
      <c r="I5" s="453" t="s">
        <v>10</v>
      </c>
      <c r="J5" s="454"/>
      <c r="K5" s="453" t="s">
        <v>12</v>
      </c>
      <c r="L5" s="454"/>
      <c r="M5" s="453" t="s">
        <v>11</v>
      </c>
      <c r="N5" s="454"/>
      <c r="O5" s="457" t="s">
        <v>13</v>
      </c>
      <c r="P5" s="457"/>
      <c r="Q5" s="453" t="s">
        <v>96</v>
      </c>
      <c r="R5" s="454"/>
      <c r="S5" s="457" t="s">
        <v>14</v>
      </c>
      <c r="T5" s="454"/>
      <c r="U5" s="460" t="s">
        <v>16</v>
      </c>
      <c r="V5" s="483" t="s">
        <v>17</v>
      </c>
      <c r="W5" s="446" t="s">
        <v>18</v>
      </c>
      <c r="X5" s="446" t="s">
        <v>97</v>
      </c>
      <c r="Y5" s="446" t="s">
        <v>19</v>
      </c>
      <c r="Z5" s="446" t="s">
        <v>21</v>
      </c>
      <c r="AA5" s="446" t="s">
        <v>20</v>
      </c>
      <c r="AB5" s="446" t="s">
        <v>22</v>
      </c>
      <c r="AC5" s="446" t="s">
        <v>23</v>
      </c>
      <c r="AD5" s="448" t="s">
        <v>24</v>
      </c>
      <c r="AE5" s="448" t="s">
        <v>98</v>
      </c>
      <c r="AF5" s="436" t="s">
        <v>25</v>
      </c>
      <c r="AG5" s="438" t="s">
        <v>99</v>
      </c>
      <c r="AH5" s="440" t="s">
        <v>26</v>
      </c>
      <c r="AI5" s="442" t="s">
        <v>27</v>
      </c>
      <c r="AJ5" s="472"/>
      <c r="AK5" s="444" t="s">
        <v>100</v>
      </c>
      <c r="AL5" s="434" t="s">
        <v>101</v>
      </c>
      <c r="AM5" s="434" t="s">
        <v>102</v>
      </c>
      <c r="AN5" s="428" t="s">
        <v>103</v>
      </c>
      <c r="AO5" s="434" t="s">
        <v>104</v>
      </c>
      <c r="AP5" s="428" t="s">
        <v>105</v>
      </c>
      <c r="AQ5" s="428" t="s">
        <v>106</v>
      </c>
      <c r="AR5" s="428" t="s">
        <v>107</v>
      </c>
      <c r="AS5" s="428" t="s">
        <v>108</v>
      </c>
      <c r="AT5" s="428" t="s">
        <v>34</v>
      </c>
      <c r="AU5" s="357" t="s">
        <v>109</v>
      </c>
      <c r="AV5" s="355" t="s">
        <v>110</v>
      </c>
      <c r="AW5" s="357" t="s">
        <v>111</v>
      </c>
      <c r="AX5" s="359" t="s">
        <v>112</v>
      </c>
      <c r="AY5" s="189"/>
      <c r="AZ5" s="426" t="s">
        <v>15</v>
      </c>
      <c r="BA5" s="428" t="s">
        <v>36</v>
      </c>
      <c r="BB5" s="428" t="s">
        <v>31</v>
      </c>
      <c r="BC5" s="430" t="s">
        <v>37</v>
      </c>
      <c r="BD5" s="432" t="s">
        <v>113</v>
      </c>
      <c r="BE5" s="428" t="s">
        <v>114</v>
      </c>
      <c r="BF5" s="481"/>
      <c r="BG5" s="451"/>
    </row>
    <row r="6" spans="1:59" ht="56.25" customHeight="1" thickBot="1">
      <c r="A6" s="485"/>
      <c r="B6" s="487"/>
      <c r="C6" s="489"/>
      <c r="D6" s="491"/>
      <c r="E6" s="455"/>
      <c r="F6" s="456"/>
      <c r="G6" s="455"/>
      <c r="H6" s="456"/>
      <c r="I6" s="455"/>
      <c r="J6" s="456"/>
      <c r="K6" s="455"/>
      <c r="L6" s="456"/>
      <c r="M6" s="455"/>
      <c r="N6" s="456"/>
      <c r="O6" s="458"/>
      <c r="P6" s="458"/>
      <c r="Q6" s="455"/>
      <c r="R6" s="456"/>
      <c r="S6" s="459"/>
      <c r="T6" s="456"/>
      <c r="U6" s="461"/>
      <c r="V6" s="484"/>
      <c r="W6" s="447"/>
      <c r="X6" s="447"/>
      <c r="Y6" s="447"/>
      <c r="Z6" s="447"/>
      <c r="AA6" s="447"/>
      <c r="AB6" s="447"/>
      <c r="AC6" s="447"/>
      <c r="AD6" s="449"/>
      <c r="AE6" s="449"/>
      <c r="AF6" s="437"/>
      <c r="AG6" s="439"/>
      <c r="AH6" s="441"/>
      <c r="AI6" s="443"/>
      <c r="AJ6" s="473"/>
      <c r="AK6" s="445"/>
      <c r="AL6" s="435"/>
      <c r="AM6" s="435"/>
      <c r="AN6" s="429"/>
      <c r="AO6" s="435"/>
      <c r="AP6" s="429"/>
      <c r="AQ6" s="429"/>
      <c r="AR6" s="429"/>
      <c r="AS6" s="429"/>
      <c r="AT6" s="429"/>
      <c r="AU6" s="358"/>
      <c r="AV6" s="356"/>
      <c r="AW6" s="358"/>
      <c r="AX6" s="360"/>
      <c r="AY6" s="190" t="s">
        <v>115</v>
      </c>
      <c r="AZ6" s="427"/>
      <c r="BA6" s="429"/>
      <c r="BB6" s="429"/>
      <c r="BC6" s="431"/>
      <c r="BD6" s="433"/>
      <c r="BE6" s="429"/>
      <c r="BF6" s="482"/>
      <c r="BG6" s="452"/>
    </row>
    <row r="7" spans="1:59" ht="19.5" customHeight="1" thickBot="1">
      <c r="A7" s="231">
        <v>1</v>
      </c>
      <c r="B7" s="97">
        <v>2</v>
      </c>
      <c r="C7" s="97">
        <v>3</v>
      </c>
      <c r="D7" s="231">
        <v>4</v>
      </c>
      <c r="E7" s="97">
        <v>5</v>
      </c>
      <c r="F7" s="97">
        <v>6</v>
      </c>
      <c r="G7" s="231">
        <v>7</v>
      </c>
      <c r="H7" s="97">
        <v>8</v>
      </c>
      <c r="I7" s="97">
        <v>9</v>
      </c>
      <c r="J7" s="231">
        <v>10</v>
      </c>
      <c r="K7" s="97">
        <v>11</v>
      </c>
      <c r="L7" s="97">
        <v>12</v>
      </c>
      <c r="M7" s="231">
        <v>13</v>
      </c>
      <c r="N7" s="97">
        <v>14</v>
      </c>
      <c r="O7" s="97">
        <v>15</v>
      </c>
      <c r="P7" s="231">
        <v>16</v>
      </c>
      <c r="Q7" s="97">
        <v>17</v>
      </c>
      <c r="R7" s="97">
        <v>18</v>
      </c>
      <c r="S7" s="231">
        <v>19</v>
      </c>
      <c r="T7" s="97">
        <v>20</v>
      </c>
      <c r="U7" s="97">
        <v>21</v>
      </c>
      <c r="V7" s="231">
        <v>22</v>
      </c>
      <c r="W7" s="97">
        <v>23</v>
      </c>
      <c r="X7" s="231">
        <v>24</v>
      </c>
      <c r="Y7" s="97">
        <v>25</v>
      </c>
      <c r="Z7" s="231">
        <v>26</v>
      </c>
      <c r="AA7" s="97">
        <v>27</v>
      </c>
      <c r="AB7" s="231">
        <v>28</v>
      </c>
      <c r="AC7" s="97">
        <v>29</v>
      </c>
      <c r="AD7" s="231">
        <v>30</v>
      </c>
      <c r="AE7" s="231">
        <v>31</v>
      </c>
      <c r="AF7" s="97">
        <v>32</v>
      </c>
      <c r="AG7" s="231">
        <v>33</v>
      </c>
      <c r="AH7" s="97">
        <v>34</v>
      </c>
      <c r="AI7" s="231">
        <v>35</v>
      </c>
      <c r="AJ7" s="97">
        <v>36</v>
      </c>
      <c r="AK7" s="231">
        <v>37</v>
      </c>
      <c r="AL7" s="97">
        <v>38</v>
      </c>
      <c r="AM7" s="231">
        <v>39</v>
      </c>
      <c r="AN7" s="231">
        <v>40</v>
      </c>
      <c r="AO7" s="97">
        <v>41</v>
      </c>
      <c r="AP7" s="231">
        <v>42</v>
      </c>
      <c r="AQ7" s="97">
        <v>43</v>
      </c>
      <c r="AR7" s="231"/>
      <c r="AS7" s="231">
        <v>44</v>
      </c>
      <c r="AT7" s="97">
        <v>45</v>
      </c>
      <c r="AU7" s="231">
        <v>46</v>
      </c>
      <c r="AV7" s="97">
        <v>47</v>
      </c>
      <c r="AW7" s="231">
        <v>48</v>
      </c>
      <c r="AX7" s="231">
        <v>49</v>
      </c>
      <c r="AY7" s="97"/>
      <c r="AZ7" s="97">
        <v>50</v>
      </c>
      <c r="BA7" s="97">
        <v>51</v>
      </c>
      <c r="BB7" s="97">
        <v>52</v>
      </c>
      <c r="BC7" s="97">
        <v>53</v>
      </c>
      <c r="BD7" s="97">
        <v>54</v>
      </c>
      <c r="BE7" s="97"/>
      <c r="BF7" s="97">
        <v>55</v>
      </c>
      <c r="BG7" s="97">
        <v>56</v>
      </c>
    </row>
    <row r="8" spans="1:59" s="9" customFormat="1" ht="13.5" thickBot="1">
      <c r="A8" s="13" t="s">
        <v>53</v>
      </c>
      <c r="B8" s="232">
        <f>'ЛИЦ.СЧЕТ'!B42</f>
        <v>0</v>
      </c>
      <c r="C8" s="232">
        <f>'ЛИЦ.СЧЕТ'!C42</f>
        <v>118005.89500000002</v>
      </c>
      <c r="D8" s="232">
        <f>'ЛИЦ.СЧЕТ'!D42</f>
        <v>86933.66365075001</v>
      </c>
      <c r="E8" s="232">
        <f>'ЛИЦ.СЧЕТ'!E42</f>
        <v>7830.499999999999</v>
      </c>
      <c r="F8" s="232">
        <f>'ЛИЦ.СЧЕТ'!F42</f>
        <v>538.6800000000001</v>
      </c>
      <c r="G8" s="232"/>
      <c r="H8" s="232"/>
      <c r="I8" s="232">
        <f>'ЛИЦ.СЧЕТ'!G42</f>
        <v>3129.6899999999996</v>
      </c>
      <c r="J8" s="232">
        <f>'ЛИЦ.СЧЕТ'!H42</f>
        <v>219.32</v>
      </c>
      <c r="K8" s="232">
        <f>'ЛИЦ.СЧЕТ'!K42</f>
        <v>15259.559999999998</v>
      </c>
      <c r="L8" s="232">
        <f>'ЛИЦ.СЧЕТ'!L42</f>
        <v>1019.78</v>
      </c>
      <c r="M8" s="232">
        <f>'ЛИЦ.СЧЕТ'!I42</f>
        <v>22031.749999999996</v>
      </c>
      <c r="N8" s="232">
        <f>'ЛИЦ.СЧЕТ'!J42</f>
        <v>1473.1400000000003</v>
      </c>
      <c r="O8" s="232">
        <f>'ЛИЦ.СЧЕТ'!M42</f>
        <v>6264.720000000001</v>
      </c>
      <c r="P8" s="232">
        <f>'ЛИЦ.СЧЕТ'!N42</f>
        <v>430.99999999999994</v>
      </c>
      <c r="Q8" s="232"/>
      <c r="R8" s="232"/>
      <c r="S8" s="232">
        <f>'ЛИЦ.СЧЕТ'!O42</f>
        <v>237647.13</v>
      </c>
      <c r="T8" s="232">
        <f>'ЛИЦ.СЧЕТ'!P42</f>
        <v>12122.47</v>
      </c>
      <c r="U8" s="232">
        <f>'ЛИЦ.СЧЕТ'!S42</f>
        <v>292163.35</v>
      </c>
      <c r="V8" s="232">
        <f>'ЛИЦ.СЧЕТ'!T42</f>
        <v>15804.39</v>
      </c>
      <c r="W8" s="232">
        <f>'ЛИЦ.СЧЕТ'!U42</f>
        <v>5159.110000000001</v>
      </c>
      <c r="X8" s="232"/>
      <c r="Y8" s="232">
        <f>'ЛИЦ.СЧЕТ'!V42</f>
        <v>2119.37</v>
      </c>
      <c r="Z8" s="232">
        <f>'ЛИЦ.СЧЕТ'!X42</f>
        <v>9799.23</v>
      </c>
      <c r="AA8" s="232">
        <f>'ЛИЦ.СЧЕТ'!W42</f>
        <v>14155.599999999999</v>
      </c>
      <c r="AB8" s="232">
        <f>'ЛИЦ.СЧЕТ'!Y42</f>
        <v>4127.44</v>
      </c>
      <c r="AC8" s="232">
        <f>'ЛИЦ.СЧЕТ'!Z42</f>
        <v>161173.90000000002</v>
      </c>
      <c r="AD8" s="232"/>
      <c r="AE8" s="232"/>
      <c r="AF8" s="232">
        <f>'ЛИЦ.СЧЕТ'!AB42</f>
        <v>196534.65</v>
      </c>
      <c r="AG8" s="232">
        <f>'ЛИЦ.СЧЕТ'!AC42</f>
        <v>299272.70365075</v>
      </c>
      <c r="AH8" s="232"/>
      <c r="AI8" s="232"/>
      <c r="AJ8" s="232">
        <f>'ЛИЦ.СЧЕТ'!AF42</f>
        <v>0</v>
      </c>
      <c r="AK8" s="232">
        <f>'ЛИЦ.СЧЕТ'!AG42</f>
        <v>5579.700000000001</v>
      </c>
      <c r="AL8" s="232">
        <f>'ЛИЦ.СЧЕТ'!AH42</f>
        <v>1869.672455</v>
      </c>
      <c r="AM8" s="232">
        <f>'ЛИЦ.СЧЕТ'!AI42+'ЛИЦ.СЧЕТ'!AJ42</f>
        <v>9262.034710225003</v>
      </c>
      <c r="AN8" s="232">
        <f>0</f>
        <v>0</v>
      </c>
      <c r="AO8" s="232">
        <f>'ЛИЦ.СЧЕТ'!AK42+'ЛИЦ.СЧЕТ'!AL42</f>
        <v>2747.5992209979995</v>
      </c>
      <c r="AP8" s="232">
        <f>'ЛИЦ.СЧЕТ'!AM42+'ЛИЦ.СЧЕТ'!AN42</f>
        <v>20666.786534315997</v>
      </c>
      <c r="AQ8" s="232">
        <f>0</f>
        <v>0</v>
      </c>
      <c r="AR8" s="232">
        <f>0</f>
        <v>0</v>
      </c>
      <c r="AS8" s="232">
        <f>0</f>
        <v>0</v>
      </c>
      <c r="AT8" s="232">
        <f>'ЛИЦ.СЧЕТ'!AO42+'ЛИЦ.СЧЕТ'!AP42</f>
        <v>8165.718000000001</v>
      </c>
      <c r="AU8" s="232">
        <f>'ЛИЦ.СЧЕТ'!AS42+'ЛИЦ.СЧЕТ'!AU42</f>
        <v>31170.883599999997</v>
      </c>
      <c r="AV8" s="232">
        <f>0</f>
        <v>0</v>
      </c>
      <c r="AW8" s="232">
        <f>'ЛИЦ.СЧЕТ'!AT42</f>
        <v>4132.400000000001</v>
      </c>
      <c r="AX8" s="232">
        <f>'ЛИЦ.СЧЕТ'!AQ42+'ЛИЦ.СЧЕТ'!AR42</f>
        <v>12291</v>
      </c>
      <c r="AY8" s="233">
        <f>'ЛИЦ.СЧЕТ'!AX42</f>
        <v>359198.446</v>
      </c>
      <c r="AZ8" s="233"/>
      <c r="BA8" s="233"/>
      <c r="BB8" s="233"/>
      <c r="BC8" s="233">
        <f>'ЛИЦ.СЧЕТ'!BB42</f>
        <v>455084.240520539</v>
      </c>
      <c r="BD8" s="232">
        <f>0</f>
        <v>0</v>
      </c>
      <c r="BE8" s="232">
        <f>BC8</f>
        <v>455084.240520539</v>
      </c>
      <c r="BF8" s="234">
        <f>'ЛИЦ.СЧЕТ'!BC42-0.09</f>
        <v>-155811.62686978898</v>
      </c>
      <c r="BG8" s="234">
        <f>'ЛИЦ.СЧЕТ'!BD42</f>
        <v>-95628.70000000001</v>
      </c>
    </row>
    <row r="9" spans="1:59" ht="12.75">
      <c r="A9" s="10" t="s">
        <v>116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35"/>
      <c r="BF9" s="234"/>
      <c r="BG9" s="236"/>
    </row>
    <row r="10" spans="1:59" ht="14.25">
      <c r="A10" s="237" t="s">
        <v>38</v>
      </c>
      <c r="B10" s="254">
        <v>348.8</v>
      </c>
      <c r="C10" s="72">
        <f aca="true" t="shared" si="0" ref="C10:C21">(B10*0.87)+((B10*5.17*0.9)+(B10*2.51*0.9))</f>
        <v>2714.3616</v>
      </c>
      <c r="D10" s="526">
        <v>41.718</v>
      </c>
      <c r="E10" s="238">
        <v>0</v>
      </c>
      <c r="F10" s="262">
        <v>0</v>
      </c>
      <c r="G10" s="238">
        <v>1331.71</v>
      </c>
      <c r="H10" s="238">
        <v>0</v>
      </c>
      <c r="I10" s="238">
        <v>0</v>
      </c>
      <c r="J10" s="238">
        <v>0</v>
      </c>
      <c r="K10" s="238">
        <v>0</v>
      </c>
      <c r="L10" s="238">
        <v>0</v>
      </c>
      <c r="M10" s="238">
        <v>798.49</v>
      </c>
      <c r="N10" s="238">
        <v>0</v>
      </c>
      <c r="O10" s="238">
        <v>307.55</v>
      </c>
      <c r="P10" s="262">
        <v>0</v>
      </c>
      <c r="Q10" s="239">
        <v>0</v>
      </c>
      <c r="R10" s="240">
        <v>0</v>
      </c>
      <c r="S10" s="239">
        <v>0</v>
      </c>
      <c r="T10" s="240">
        <v>0</v>
      </c>
      <c r="U10" s="241">
        <f aca="true" t="shared" si="1" ref="U10:V21">E10+G10+I10+K10+M10+O10+Q10+S10</f>
        <v>2437.75</v>
      </c>
      <c r="V10" s="242">
        <f t="shared" si="1"/>
        <v>0</v>
      </c>
      <c r="W10" s="256">
        <v>169.08</v>
      </c>
      <c r="X10" s="256"/>
      <c r="Y10" s="256">
        <v>62.95</v>
      </c>
      <c r="Z10" s="256">
        <v>343.38</v>
      </c>
      <c r="AA10" s="256">
        <v>495.55</v>
      </c>
      <c r="AB10" s="256">
        <v>135.27</v>
      </c>
      <c r="AC10" s="258">
        <v>5953.43</v>
      </c>
      <c r="AD10" s="255">
        <v>0</v>
      </c>
      <c r="AE10" s="243">
        <v>0</v>
      </c>
      <c r="AF10" s="243">
        <f>SUM(W10:AE10)</f>
        <v>7159.66</v>
      </c>
      <c r="AG10" s="244">
        <f>AF10+V10+D10</f>
        <v>7201.378</v>
      </c>
      <c r="AH10" s="245">
        <f aca="true" t="shared" si="2" ref="AH10:AI21">AC10</f>
        <v>5953.43</v>
      </c>
      <c r="AI10" s="245">
        <f t="shared" si="2"/>
        <v>0</v>
      </c>
      <c r="AJ10" s="246"/>
      <c r="AK10" s="247">
        <f aca="true" t="shared" si="3" ref="AK10:AK17">0.67*B10</f>
        <v>233.69600000000003</v>
      </c>
      <c r="AL10" s="247">
        <f aca="true" t="shared" si="4" ref="AL10:AL17">B10*0.2</f>
        <v>69.76</v>
      </c>
      <c r="AM10" s="247">
        <f aca="true" t="shared" si="5" ref="AM10:AM21">B10*1</f>
        <v>348.8</v>
      </c>
      <c r="AN10" s="247">
        <f aca="true" t="shared" si="6" ref="AN10:AN21">B10*0.21</f>
        <v>73.248</v>
      </c>
      <c r="AO10" s="31">
        <v>0</v>
      </c>
      <c r="AP10" s="247">
        <f aca="true" t="shared" si="7" ref="AP10:AP21">B10*1.03</f>
        <v>359.264</v>
      </c>
      <c r="AQ10" s="247">
        <f aca="true" t="shared" si="8" ref="AQ10:AQ21">B10*0.75</f>
        <v>261.6</v>
      </c>
      <c r="AR10" s="247">
        <f aca="true" t="shared" si="9" ref="AR10:AR21">B10*0.75</f>
        <v>261.6</v>
      </c>
      <c r="AS10" s="31">
        <v>0</v>
      </c>
      <c r="AT10" s="247"/>
      <c r="AU10" s="248"/>
      <c r="AV10" s="249"/>
      <c r="AW10" s="248"/>
      <c r="AX10" s="248"/>
      <c r="AY10" s="250"/>
      <c r="AZ10" s="251"/>
      <c r="BA10" s="251"/>
      <c r="BB10" s="251">
        <f>AZ10*0.18</f>
        <v>0</v>
      </c>
      <c r="BC10" s="251">
        <f aca="true" t="shared" si="10" ref="BC10:BC21">SUM(AK10:BB10)</f>
        <v>1607.9679999999998</v>
      </c>
      <c r="BD10" s="252"/>
      <c r="BE10" s="253">
        <f>BC10</f>
        <v>1607.9679999999998</v>
      </c>
      <c r="BF10" s="253">
        <f aca="true" t="shared" si="11" ref="BF10:BF21">AG10-BE10</f>
        <v>5593.41</v>
      </c>
      <c r="BG10" s="253">
        <f aca="true" t="shared" si="12" ref="BG10:BG21">AF10-U10</f>
        <v>4721.91</v>
      </c>
    </row>
    <row r="11" spans="1:59" ht="12.75">
      <c r="A11" s="237" t="s">
        <v>39</v>
      </c>
      <c r="B11" s="254">
        <v>348.8</v>
      </c>
      <c r="C11" s="72">
        <f t="shared" si="0"/>
        <v>2714.3616</v>
      </c>
      <c r="D11" s="526">
        <v>41.718</v>
      </c>
      <c r="E11" s="238">
        <v>0</v>
      </c>
      <c r="F11" s="262">
        <v>0</v>
      </c>
      <c r="G11" s="238">
        <v>1331.71</v>
      </c>
      <c r="H11" s="238">
        <v>0</v>
      </c>
      <c r="I11" s="238">
        <v>0</v>
      </c>
      <c r="J11" s="238">
        <v>0</v>
      </c>
      <c r="K11" s="238">
        <v>0</v>
      </c>
      <c r="L11" s="238">
        <v>0</v>
      </c>
      <c r="M11" s="238">
        <v>798.49</v>
      </c>
      <c r="N11" s="238">
        <v>0</v>
      </c>
      <c r="O11" s="238">
        <v>307.55</v>
      </c>
      <c r="P11" s="238">
        <v>0</v>
      </c>
      <c r="Q11" s="262">
        <v>0</v>
      </c>
      <c r="R11" s="262">
        <v>0</v>
      </c>
      <c r="S11" s="255">
        <v>0</v>
      </c>
      <c r="T11" s="256">
        <v>0</v>
      </c>
      <c r="U11" s="257">
        <f t="shared" si="1"/>
        <v>2437.75</v>
      </c>
      <c r="V11" s="242">
        <f t="shared" si="1"/>
        <v>0</v>
      </c>
      <c r="W11" s="256">
        <v>0.02</v>
      </c>
      <c r="X11" s="255">
        <v>206.44</v>
      </c>
      <c r="Y11" s="256">
        <v>0.01</v>
      </c>
      <c r="Z11" s="256">
        <v>0.05</v>
      </c>
      <c r="AA11" s="256">
        <v>123.83</v>
      </c>
      <c r="AB11" s="256">
        <v>47.66</v>
      </c>
      <c r="AC11" s="255">
        <v>0.49</v>
      </c>
      <c r="AD11" s="255">
        <v>0</v>
      </c>
      <c r="AE11" s="255">
        <v>0</v>
      </c>
      <c r="AF11" s="243">
        <f>SUM(W11:AE11)</f>
        <v>378.5</v>
      </c>
      <c r="AG11" s="244">
        <f>AF11+V11+D11</f>
        <v>420.218</v>
      </c>
      <c r="AH11" s="245">
        <f t="shared" si="2"/>
        <v>0.49</v>
      </c>
      <c r="AI11" s="245">
        <f t="shared" si="2"/>
        <v>0</v>
      </c>
      <c r="AJ11" s="246"/>
      <c r="AK11" s="247">
        <f t="shared" si="3"/>
        <v>233.69600000000003</v>
      </c>
      <c r="AL11" s="247">
        <f t="shared" si="4"/>
        <v>69.76</v>
      </c>
      <c r="AM11" s="247">
        <f t="shared" si="5"/>
        <v>348.8</v>
      </c>
      <c r="AN11" s="247">
        <f t="shared" si="6"/>
        <v>73.248</v>
      </c>
      <c r="AO11" s="31">
        <v>0</v>
      </c>
      <c r="AP11" s="247">
        <f t="shared" si="7"/>
        <v>359.264</v>
      </c>
      <c r="AQ11" s="247">
        <f t="shared" si="8"/>
        <v>261.6</v>
      </c>
      <c r="AR11" s="247">
        <f t="shared" si="9"/>
        <v>261.6</v>
      </c>
      <c r="AS11" s="31">
        <v>0</v>
      </c>
      <c r="AT11" s="247"/>
      <c r="AU11" s="248"/>
      <c r="AV11" s="249"/>
      <c r="AW11" s="248"/>
      <c r="AX11" s="248"/>
      <c r="AY11" s="250"/>
      <c r="AZ11" s="251"/>
      <c r="BA11" s="251"/>
      <c r="BB11" s="251">
        <f>AZ11*0.18</f>
        <v>0</v>
      </c>
      <c r="BC11" s="251">
        <f t="shared" si="10"/>
        <v>1607.9679999999998</v>
      </c>
      <c r="BD11" s="252"/>
      <c r="BE11" s="253">
        <f aca="true" t="shared" si="13" ref="BE11:BE21">BC11</f>
        <v>1607.9679999999998</v>
      </c>
      <c r="BF11" s="253">
        <f t="shared" si="11"/>
        <v>-1187.7499999999998</v>
      </c>
      <c r="BG11" s="253">
        <f t="shared" si="12"/>
        <v>-2059.25</v>
      </c>
    </row>
    <row r="12" spans="1:59" ht="12.75">
      <c r="A12" s="237" t="s">
        <v>40</v>
      </c>
      <c r="B12" s="254">
        <v>348.8</v>
      </c>
      <c r="C12" s="72">
        <f t="shared" si="0"/>
        <v>2714.3616</v>
      </c>
      <c r="D12" s="526">
        <v>41.718</v>
      </c>
      <c r="E12" s="238">
        <v>0</v>
      </c>
      <c r="F12" s="262">
        <v>0</v>
      </c>
      <c r="G12" s="238">
        <v>668.56</v>
      </c>
      <c r="H12" s="238">
        <v>0</v>
      </c>
      <c r="I12" s="238">
        <v>0</v>
      </c>
      <c r="J12" s="238">
        <v>0</v>
      </c>
      <c r="K12" s="238">
        <v>0</v>
      </c>
      <c r="L12" s="238">
        <v>0</v>
      </c>
      <c r="M12" s="238">
        <v>400.95</v>
      </c>
      <c r="N12" s="238">
        <v>0</v>
      </c>
      <c r="O12" s="238">
        <v>154.51</v>
      </c>
      <c r="P12" s="238">
        <v>0</v>
      </c>
      <c r="Q12" s="238">
        <v>0</v>
      </c>
      <c r="R12" s="238">
        <v>0</v>
      </c>
      <c r="S12" s="238">
        <v>0</v>
      </c>
      <c r="T12" s="256">
        <v>0</v>
      </c>
      <c r="U12" s="256">
        <f t="shared" si="1"/>
        <v>1224.02</v>
      </c>
      <c r="V12" s="259">
        <f t="shared" si="1"/>
        <v>0</v>
      </c>
      <c r="W12" s="260">
        <v>59.41</v>
      </c>
      <c r="X12" s="255">
        <v>547.48</v>
      </c>
      <c r="Y12" s="256">
        <v>21.99</v>
      </c>
      <c r="Z12" s="256">
        <v>120.61</v>
      </c>
      <c r="AA12" s="256">
        <v>502.62</v>
      </c>
      <c r="AB12" s="256">
        <v>174.33</v>
      </c>
      <c r="AC12" s="255">
        <v>1683.44</v>
      </c>
      <c r="AD12" s="255">
        <v>0</v>
      </c>
      <c r="AE12" s="256">
        <v>0</v>
      </c>
      <c r="AF12" s="261">
        <f>SUM(W12:AE12)</f>
        <v>3109.88</v>
      </c>
      <c r="AG12" s="244">
        <f>AF12+V12+D12</f>
        <v>3151.598</v>
      </c>
      <c r="AH12" s="245">
        <f t="shared" si="2"/>
        <v>1683.44</v>
      </c>
      <c r="AI12" s="245">
        <f t="shared" si="2"/>
        <v>0</v>
      </c>
      <c r="AJ12" s="246"/>
      <c r="AK12" s="247">
        <f t="shared" si="3"/>
        <v>233.69600000000003</v>
      </c>
      <c r="AL12" s="247">
        <f t="shared" si="4"/>
        <v>69.76</v>
      </c>
      <c r="AM12" s="247">
        <f t="shared" si="5"/>
        <v>348.8</v>
      </c>
      <c r="AN12" s="247">
        <f t="shared" si="6"/>
        <v>73.248</v>
      </c>
      <c r="AO12" s="31">
        <v>0</v>
      </c>
      <c r="AP12" s="247">
        <f t="shared" si="7"/>
        <v>359.264</v>
      </c>
      <c r="AQ12" s="247">
        <f t="shared" si="8"/>
        <v>261.6</v>
      </c>
      <c r="AR12" s="247">
        <f t="shared" si="9"/>
        <v>261.6</v>
      </c>
      <c r="AS12" s="31">
        <v>0</v>
      </c>
      <c r="AT12" s="247"/>
      <c r="AU12" s="248"/>
      <c r="AV12" s="249"/>
      <c r="AW12" s="248"/>
      <c r="AX12" s="248"/>
      <c r="AY12" s="250"/>
      <c r="AZ12" s="251"/>
      <c r="BA12" s="251"/>
      <c r="BB12" s="251">
        <f>AZ12*0.18</f>
        <v>0</v>
      </c>
      <c r="BC12" s="251">
        <f t="shared" si="10"/>
        <v>1607.9679999999998</v>
      </c>
      <c r="BD12" s="252"/>
      <c r="BE12" s="253">
        <f t="shared" si="13"/>
        <v>1607.9679999999998</v>
      </c>
      <c r="BF12" s="253">
        <f t="shared" si="11"/>
        <v>1543.63</v>
      </c>
      <c r="BG12" s="253">
        <f t="shared" si="12"/>
        <v>1885.8600000000001</v>
      </c>
    </row>
    <row r="13" spans="1:59" ht="12.75">
      <c r="A13" s="237" t="s">
        <v>41</v>
      </c>
      <c r="B13" s="254">
        <v>348.8</v>
      </c>
      <c r="C13" s="72">
        <f t="shared" si="0"/>
        <v>2714.3616</v>
      </c>
      <c r="D13" s="526">
        <v>41.718</v>
      </c>
      <c r="E13" s="239">
        <v>0</v>
      </c>
      <c r="F13" s="262">
        <v>0</v>
      </c>
      <c r="G13" s="319">
        <v>1643.15</v>
      </c>
      <c r="H13" s="238">
        <v>0</v>
      </c>
      <c r="I13" s="238">
        <v>0</v>
      </c>
      <c r="J13" s="238">
        <v>0</v>
      </c>
      <c r="K13" s="238">
        <v>0</v>
      </c>
      <c r="L13" s="238">
        <v>0</v>
      </c>
      <c r="M13" s="238">
        <v>798.49</v>
      </c>
      <c r="N13" s="238">
        <v>0</v>
      </c>
      <c r="O13" s="238">
        <v>307.55</v>
      </c>
      <c r="P13" s="238">
        <v>0</v>
      </c>
      <c r="Q13" s="238">
        <v>0</v>
      </c>
      <c r="R13" s="262">
        <v>0</v>
      </c>
      <c r="S13" s="263">
        <v>0</v>
      </c>
      <c r="T13" s="264">
        <v>0</v>
      </c>
      <c r="U13" s="257">
        <f t="shared" si="1"/>
        <v>2749.1900000000005</v>
      </c>
      <c r="V13" s="259">
        <f>F13+H13+J13+L13+N13+P13+R13+T13</f>
        <v>0</v>
      </c>
      <c r="W13" s="256">
        <v>0</v>
      </c>
      <c r="X13" s="255">
        <v>206.49</v>
      </c>
      <c r="Y13" s="256">
        <v>0</v>
      </c>
      <c r="Z13" s="256">
        <v>0</v>
      </c>
      <c r="AA13" s="256">
        <v>123.78</v>
      </c>
      <c r="AB13" s="255">
        <v>47.65</v>
      </c>
      <c r="AC13" s="256">
        <v>0.74</v>
      </c>
      <c r="AD13" s="255">
        <v>0</v>
      </c>
      <c r="AE13" s="255">
        <v>0</v>
      </c>
      <c r="AF13" s="243">
        <f>SUM(W13:AD13)</f>
        <v>378.65999999999997</v>
      </c>
      <c r="AG13" s="265">
        <f>AF13+V13+D13</f>
        <v>420.378</v>
      </c>
      <c r="AH13" s="266">
        <f t="shared" si="2"/>
        <v>0.74</v>
      </c>
      <c r="AI13" s="266">
        <f t="shared" si="2"/>
        <v>0</v>
      </c>
      <c r="AJ13" s="267"/>
      <c r="AK13" s="247">
        <f t="shared" si="3"/>
        <v>233.69600000000003</v>
      </c>
      <c r="AL13" s="247">
        <f t="shared" si="4"/>
        <v>69.76</v>
      </c>
      <c r="AM13" s="247">
        <f t="shared" si="5"/>
        <v>348.8</v>
      </c>
      <c r="AN13" s="247">
        <f t="shared" si="6"/>
        <v>73.248</v>
      </c>
      <c r="AO13" s="247">
        <v>0</v>
      </c>
      <c r="AP13" s="247">
        <f t="shared" si="7"/>
        <v>359.264</v>
      </c>
      <c r="AQ13" s="247">
        <f t="shared" si="8"/>
        <v>261.6</v>
      </c>
      <c r="AR13" s="247">
        <f t="shared" si="9"/>
        <v>261.6</v>
      </c>
      <c r="AS13" s="31"/>
      <c r="AT13" s="268"/>
      <c r="AU13" s="269"/>
      <c r="AV13" s="269"/>
      <c r="AW13" s="269"/>
      <c r="AX13" s="269"/>
      <c r="AY13" s="250"/>
      <c r="AZ13" s="268"/>
      <c r="BA13" s="268"/>
      <c r="BB13" s="268"/>
      <c r="BC13" s="238">
        <f t="shared" si="10"/>
        <v>1607.9679999999998</v>
      </c>
      <c r="BD13" s="270"/>
      <c r="BE13" s="253">
        <f t="shared" si="13"/>
        <v>1607.9679999999998</v>
      </c>
      <c r="BF13" s="253">
        <f t="shared" si="11"/>
        <v>-1187.59</v>
      </c>
      <c r="BG13" s="253">
        <f t="shared" si="12"/>
        <v>-2370.5300000000007</v>
      </c>
    </row>
    <row r="14" spans="1:59" ht="12.75">
      <c r="A14" s="237" t="s">
        <v>42</v>
      </c>
      <c r="B14" s="320">
        <v>348.8</v>
      </c>
      <c r="C14" s="72">
        <f t="shared" si="0"/>
        <v>2714.3616</v>
      </c>
      <c r="D14" s="526">
        <v>41.718</v>
      </c>
      <c r="E14" s="319">
        <v>0</v>
      </c>
      <c r="F14" s="262">
        <v>0</v>
      </c>
      <c r="G14" s="238">
        <v>1643.15</v>
      </c>
      <c r="H14" s="238">
        <v>0</v>
      </c>
      <c r="I14" s="238">
        <v>0</v>
      </c>
      <c r="J14" s="238">
        <v>0</v>
      </c>
      <c r="K14" s="238">
        <v>0</v>
      </c>
      <c r="L14" s="238">
        <v>0</v>
      </c>
      <c r="M14" s="238">
        <v>798.49</v>
      </c>
      <c r="N14" s="238">
        <v>0</v>
      </c>
      <c r="O14" s="238">
        <v>307.55</v>
      </c>
      <c r="P14" s="238">
        <v>0</v>
      </c>
      <c r="Q14" s="238">
        <v>0</v>
      </c>
      <c r="R14" s="262">
        <v>0</v>
      </c>
      <c r="S14" s="238">
        <v>0</v>
      </c>
      <c r="T14" s="255">
        <v>0</v>
      </c>
      <c r="U14" s="271">
        <f t="shared" si="1"/>
        <v>2749.1900000000005</v>
      </c>
      <c r="V14" s="272">
        <f>F14+H14+J14+L14+N14++R14+T14</f>
        <v>0</v>
      </c>
      <c r="W14" s="256">
        <v>0</v>
      </c>
      <c r="X14" s="255">
        <v>254.73</v>
      </c>
      <c r="Y14" s="256">
        <v>0</v>
      </c>
      <c r="Z14" s="256">
        <v>0</v>
      </c>
      <c r="AA14" s="256">
        <v>123.86</v>
      </c>
      <c r="AB14" s="256">
        <v>47.69</v>
      </c>
      <c r="AC14" s="255">
        <v>0</v>
      </c>
      <c r="AD14" s="255">
        <v>0</v>
      </c>
      <c r="AE14" s="243">
        <v>0</v>
      </c>
      <c r="AF14" s="273">
        <f>SUM(W14:AE14)</f>
        <v>426.28</v>
      </c>
      <c r="AG14" s="265">
        <f aca="true" t="shared" si="14" ref="AG14:AG21">D14+V14+AF14</f>
        <v>467.998</v>
      </c>
      <c r="AH14" s="266">
        <f t="shared" si="2"/>
        <v>0</v>
      </c>
      <c r="AI14" s="266">
        <f t="shared" si="2"/>
        <v>0</v>
      </c>
      <c r="AJ14" s="267"/>
      <c r="AK14" s="247">
        <f t="shared" si="3"/>
        <v>233.69600000000003</v>
      </c>
      <c r="AL14" s="247">
        <f t="shared" si="4"/>
        <v>69.76</v>
      </c>
      <c r="AM14" s="247">
        <f t="shared" si="5"/>
        <v>348.8</v>
      </c>
      <c r="AN14" s="247">
        <f t="shared" si="6"/>
        <v>73.248</v>
      </c>
      <c r="AO14" s="31">
        <v>0</v>
      </c>
      <c r="AP14" s="247">
        <f t="shared" si="7"/>
        <v>359.264</v>
      </c>
      <c r="AQ14" s="247">
        <f t="shared" si="8"/>
        <v>261.6</v>
      </c>
      <c r="AR14" s="247">
        <f t="shared" si="9"/>
        <v>261.6</v>
      </c>
      <c r="AS14" s="31"/>
      <c r="AT14" s="268"/>
      <c r="AU14" s="269"/>
      <c r="AV14" s="269"/>
      <c r="AW14" s="269"/>
      <c r="AX14" s="269"/>
      <c r="AY14" s="250"/>
      <c r="AZ14" s="268"/>
      <c r="BA14" s="268"/>
      <c r="BB14" s="268"/>
      <c r="BC14" s="238">
        <f t="shared" si="10"/>
        <v>1607.9679999999998</v>
      </c>
      <c r="BD14" s="270"/>
      <c r="BE14" s="253">
        <f t="shared" si="13"/>
        <v>1607.9679999999998</v>
      </c>
      <c r="BF14" s="253">
        <f t="shared" si="11"/>
        <v>-1139.9699999999998</v>
      </c>
      <c r="BG14" s="253">
        <f t="shared" si="12"/>
        <v>-2322.9100000000008</v>
      </c>
    </row>
    <row r="15" spans="1:59" ht="12.75">
      <c r="A15" s="237" t="s">
        <v>43</v>
      </c>
      <c r="B15" s="254">
        <v>348.8</v>
      </c>
      <c r="C15" s="72">
        <f t="shared" si="0"/>
        <v>2714.3616</v>
      </c>
      <c r="D15" s="526">
        <v>41.718</v>
      </c>
      <c r="E15" s="274">
        <v>0</v>
      </c>
      <c r="F15" s="274"/>
      <c r="G15" s="274">
        <v>1643.15</v>
      </c>
      <c r="H15" s="274"/>
      <c r="I15" s="275">
        <v>0</v>
      </c>
      <c r="J15" s="275"/>
      <c r="K15" s="275">
        <v>0</v>
      </c>
      <c r="L15" s="275"/>
      <c r="M15" s="275">
        <v>798.49</v>
      </c>
      <c r="N15" s="275"/>
      <c r="O15" s="275">
        <v>307.55</v>
      </c>
      <c r="P15" s="275"/>
      <c r="Q15" s="275">
        <v>0</v>
      </c>
      <c r="R15" s="276"/>
      <c r="S15" s="276">
        <v>0</v>
      </c>
      <c r="T15" s="275"/>
      <c r="U15" s="277">
        <f t="shared" si="1"/>
        <v>2749.1900000000005</v>
      </c>
      <c r="V15" s="278">
        <f t="shared" si="1"/>
        <v>0</v>
      </c>
      <c r="W15" s="279">
        <v>0</v>
      </c>
      <c r="X15" s="274">
        <v>253.41</v>
      </c>
      <c r="Y15" s="274">
        <v>0</v>
      </c>
      <c r="Z15" s="274">
        <v>0</v>
      </c>
      <c r="AA15" s="274">
        <v>123.16</v>
      </c>
      <c r="AB15" s="274">
        <v>47.41</v>
      </c>
      <c r="AC15" s="274">
        <v>0</v>
      </c>
      <c r="AD15" s="274">
        <v>0</v>
      </c>
      <c r="AE15" s="280">
        <v>0</v>
      </c>
      <c r="AF15" s="281">
        <f aca="true" t="shared" si="15" ref="AF15:AF21">SUM(W15:AE15)</f>
        <v>423.98</v>
      </c>
      <c r="AG15" s="265">
        <f t="shared" si="14"/>
        <v>465.69800000000004</v>
      </c>
      <c r="AH15" s="266">
        <f t="shared" si="2"/>
        <v>0</v>
      </c>
      <c r="AI15" s="266">
        <f t="shared" si="2"/>
        <v>0</v>
      </c>
      <c r="AJ15" s="267"/>
      <c r="AK15" s="247">
        <f t="shared" si="3"/>
        <v>233.69600000000003</v>
      </c>
      <c r="AL15" s="247">
        <f t="shared" si="4"/>
        <v>69.76</v>
      </c>
      <c r="AM15" s="247">
        <f t="shared" si="5"/>
        <v>348.8</v>
      </c>
      <c r="AN15" s="247">
        <f t="shared" si="6"/>
        <v>73.248</v>
      </c>
      <c r="AO15" s="282">
        <v>0</v>
      </c>
      <c r="AP15" s="247">
        <f t="shared" si="7"/>
        <v>359.264</v>
      </c>
      <c r="AQ15" s="247">
        <f t="shared" si="8"/>
        <v>261.6</v>
      </c>
      <c r="AR15" s="247">
        <f t="shared" si="9"/>
        <v>261.6</v>
      </c>
      <c r="AS15" s="247"/>
      <c r="AT15" s="268"/>
      <c r="AU15" s="269"/>
      <c r="AV15" s="269"/>
      <c r="AW15" s="269"/>
      <c r="AX15" s="269"/>
      <c r="AY15" s="247"/>
      <c r="AZ15" s="268"/>
      <c r="BA15" s="268"/>
      <c r="BB15" s="268"/>
      <c r="BC15" s="283">
        <f t="shared" si="10"/>
        <v>1607.9679999999998</v>
      </c>
      <c r="BD15" s="270"/>
      <c r="BE15" s="253">
        <f t="shared" si="13"/>
        <v>1607.9679999999998</v>
      </c>
      <c r="BF15" s="253">
        <f t="shared" si="11"/>
        <v>-1142.2699999999998</v>
      </c>
      <c r="BG15" s="253">
        <f t="shared" si="12"/>
        <v>-2325.2100000000005</v>
      </c>
    </row>
    <row r="16" spans="1:59" ht="12.75">
      <c r="A16" s="237" t="s">
        <v>44</v>
      </c>
      <c r="B16" s="254">
        <v>348.8</v>
      </c>
      <c r="C16" s="72">
        <f t="shared" si="0"/>
        <v>2714.3616</v>
      </c>
      <c r="D16" s="526">
        <v>41.718</v>
      </c>
      <c r="E16" s="284"/>
      <c r="F16" s="284"/>
      <c r="G16" s="284">
        <v>1643.15</v>
      </c>
      <c r="H16" s="284"/>
      <c r="I16" s="284"/>
      <c r="J16" s="284"/>
      <c r="K16" s="284"/>
      <c r="L16" s="284"/>
      <c r="M16" s="284">
        <v>798.49</v>
      </c>
      <c r="N16" s="284"/>
      <c r="O16" s="284">
        <v>307.55</v>
      </c>
      <c r="P16" s="284"/>
      <c r="Q16" s="284"/>
      <c r="R16" s="284"/>
      <c r="S16" s="285"/>
      <c r="T16" s="279"/>
      <c r="U16" s="286">
        <f t="shared" si="1"/>
        <v>2749.1900000000005</v>
      </c>
      <c r="V16" s="287">
        <f t="shared" si="1"/>
        <v>0</v>
      </c>
      <c r="W16" s="288">
        <v>0</v>
      </c>
      <c r="X16" s="284">
        <v>256.22</v>
      </c>
      <c r="Y16" s="284">
        <v>0</v>
      </c>
      <c r="Z16" s="284">
        <v>0</v>
      </c>
      <c r="AA16" s="284">
        <v>124.54</v>
      </c>
      <c r="AB16" s="284">
        <v>47.94</v>
      </c>
      <c r="AC16" s="274"/>
      <c r="AD16" s="284"/>
      <c r="AE16" s="285"/>
      <c r="AF16" s="281">
        <f t="shared" si="15"/>
        <v>428.70000000000005</v>
      </c>
      <c r="AG16" s="289">
        <f t="shared" si="14"/>
        <v>470.41800000000006</v>
      </c>
      <c r="AH16" s="266">
        <f t="shared" si="2"/>
        <v>0</v>
      </c>
      <c r="AI16" s="266">
        <f t="shared" si="2"/>
        <v>0</v>
      </c>
      <c r="AJ16" s="267"/>
      <c r="AK16" s="247">
        <f t="shared" si="3"/>
        <v>233.69600000000003</v>
      </c>
      <c r="AL16" s="247">
        <f t="shared" si="4"/>
        <v>69.76</v>
      </c>
      <c r="AM16" s="247">
        <f t="shared" si="5"/>
        <v>348.8</v>
      </c>
      <c r="AN16" s="247">
        <f t="shared" si="6"/>
        <v>73.248</v>
      </c>
      <c r="AO16" s="282">
        <v>0</v>
      </c>
      <c r="AP16" s="247">
        <f t="shared" si="7"/>
        <v>359.264</v>
      </c>
      <c r="AQ16" s="247">
        <f t="shared" si="8"/>
        <v>261.6</v>
      </c>
      <c r="AR16" s="247">
        <f t="shared" si="9"/>
        <v>261.6</v>
      </c>
      <c r="AS16" s="31"/>
      <c r="AT16" s="268"/>
      <c r="AU16" s="269"/>
      <c r="AV16" s="269"/>
      <c r="AW16" s="269"/>
      <c r="AX16" s="269">
        <f>74.43+9.43</f>
        <v>83.86000000000001</v>
      </c>
      <c r="AY16" s="250"/>
      <c r="AZ16" s="268">
        <v>0</v>
      </c>
      <c r="BA16" s="268"/>
      <c r="BB16" s="268"/>
      <c r="BC16" s="238">
        <f t="shared" si="10"/>
        <v>1691.828</v>
      </c>
      <c r="BD16" s="270"/>
      <c r="BE16" s="253">
        <f t="shared" si="13"/>
        <v>1691.828</v>
      </c>
      <c r="BF16" s="253">
        <f t="shared" si="11"/>
        <v>-1221.4099999999999</v>
      </c>
      <c r="BG16" s="253">
        <f t="shared" si="12"/>
        <v>-2320.4900000000007</v>
      </c>
    </row>
    <row r="17" spans="1:59" ht="12.75">
      <c r="A17" s="237" t="s">
        <v>45</v>
      </c>
      <c r="B17" s="254">
        <v>348.8</v>
      </c>
      <c r="C17" s="72">
        <f t="shared" si="0"/>
        <v>2714.3616</v>
      </c>
      <c r="D17" s="526">
        <v>41.718</v>
      </c>
      <c r="E17" s="284"/>
      <c r="F17" s="284"/>
      <c r="G17" s="284">
        <v>1643.15</v>
      </c>
      <c r="H17" s="284"/>
      <c r="I17" s="284"/>
      <c r="J17" s="284"/>
      <c r="K17" s="284"/>
      <c r="L17" s="284"/>
      <c r="M17" s="284">
        <v>798.49</v>
      </c>
      <c r="N17" s="284"/>
      <c r="O17" s="284">
        <v>307.55</v>
      </c>
      <c r="P17" s="284"/>
      <c r="Q17" s="284"/>
      <c r="R17" s="284"/>
      <c r="S17" s="285"/>
      <c r="T17" s="280"/>
      <c r="U17" s="290">
        <f t="shared" si="1"/>
        <v>2749.1900000000005</v>
      </c>
      <c r="V17" s="291">
        <f t="shared" si="1"/>
        <v>0</v>
      </c>
      <c r="W17" s="284">
        <v>0</v>
      </c>
      <c r="X17" s="284">
        <v>254.82</v>
      </c>
      <c r="Y17" s="284">
        <v>0</v>
      </c>
      <c r="Z17" s="284">
        <v>0</v>
      </c>
      <c r="AA17" s="284">
        <v>123.84</v>
      </c>
      <c r="AB17" s="284">
        <v>47.68</v>
      </c>
      <c r="AC17" s="284">
        <v>10000</v>
      </c>
      <c r="AD17" s="284"/>
      <c r="AE17" s="285"/>
      <c r="AF17" s="281">
        <f t="shared" si="15"/>
        <v>10426.34</v>
      </c>
      <c r="AG17" s="289">
        <f t="shared" si="14"/>
        <v>10468.058</v>
      </c>
      <c r="AH17" s="266">
        <f t="shared" si="2"/>
        <v>10000</v>
      </c>
      <c r="AI17" s="266">
        <f t="shared" si="2"/>
        <v>0</v>
      </c>
      <c r="AJ17" s="267"/>
      <c r="AK17" s="247">
        <f t="shared" si="3"/>
        <v>233.69600000000003</v>
      </c>
      <c r="AL17" s="247">
        <f t="shared" si="4"/>
        <v>69.76</v>
      </c>
      <c r="AM17" s="247">
        <f t="shared" si="5"/>
        <v>348.8</v>
      </c>
      <c r="AN17" s="247">
        <f t="shared" si="6"/>
        <v>73.248</v>
      </c>
      <c r="AO17" s="282">
        <v>0</v>
      </c>
      <c r="AP17" s="247">
        <f t="shared" si="7"/>
        <v>359.264</v>
      </c>
      <c r="AQ17" s="247">
        <f t="shared" si="8"/>
        <v>261.6</v>
      </c>
      <c r="AR17" s="247">
        <f t="shared" si="9"/>
        <v>261.6</v>
      </c>
      <c r="AS17" s="31"/>
      <c r="AT17" s="268"/>
      <c r="AU17" s="269"/>
      <c r="AV17" s="269"/>
      <c r="AW17" s="269"/>
      <c r="AX17" s="269"/>
      <c r="AY17" s="250"/>
      <c r="AZ17" s="268"/>
      <c r="BA17" s="268"/>
      <c r="BB17" s="268"/>
      <c r="BC17" s="238">
        <f t="shared" si="10"/>
        <v>1607.9679999999998</v>
      </c>
      <c r="BD17" s="270"/>
      <c r="BE17" s="253">
        <f t="shared" si="13"/>
        <v>1607.9679999999998</v>
      </c>
      <c r="BF17" s="253">
        <f t="shared" si="11"/>
        <v>8860.09</v>
      </c>
      <c r="BG17" s="253">
        <f t="shared" si="12"/>
        <v>7677.15</v>
      </c>
    </row>
    <row r="18" spans="1:59" ht="12.75">
      <c r="A18" s="237" t="s">
        <v>46</v>
      </c>
      <c r="B18" s="254">
        <v>348.8</v>
      </c>
      <c r="C18" s="72">
        <f t="shared" si="0"/>
        <v>2714.3616</v>
      </c>
      <c r="D18" s="526">
        <v>41.718</v>
      </c>
      <c r="E18" s="284"/>
      <c r="F18" s="284"/>
      <c r="G18" s="284">
        <v>1643.15</v>
      </c>
      <c r="H18" s="284"/>
      <c r="I18" s="284"/>
      <c r="J18" s="284"/>
      <c r="K18" s="284"/>
      <c r="L18" s="284"/>
      <c r="M18" s="284">
        <v>798.49</v>
      </c>
      <c r="N18" s="284"/>
      <c r="O18" s="284">
        <v>307.55</v>
      </c>
      <c r="P18" s="284"/>
      <c r="Q18" s="284"/>
      <c r="R18" s="284"/>
      <c r="S18" s="285"/>
      <c r="T18" s="292"/>
      <c r="U18" s="292">
        <f t="shared" si="1"/>
        <v>2749.1900000000005</v>
      </c>
      <c r="V18" s="293">
        <f t="shared" si="1"/>
        <v>0</v>
      </c>
      <c r="W18" s="284">
        <v>0</v>
      </c>
      <c r="X18" s="284">
        <v>0</v>
      </c>
      <c r="Y18" s="284">
        <v>0</v>
      </c>
      <c r="Z18" s="284">
        <v>0</v>
      </c>
      <c r="AA18" s="284">
        <v>0</v>
      </c>
      <c r="AB18" s="284">
        <v>0</v>
      </c>
      <c r="AC18" s="284"/>
      <c r="AD18" s="284"/>
      <c r="AE18" s="285"/>
      <c r="AF18" s="281">
        <f t="shared" si="15"/>
        <v>0</v>
      </c>
      <c r="AG18" s="289">
        <f t="shared" si="14"/>
        <v>41.718</v>
      </c>
      <c r="AH18" s="266">
        <f t="shared" si="2"/>
        <v>0</v>
      </c>
      <c r="AI18" s="266">
        <f t="shared" si="2"/>
        <v>0</v>
      </c>
      <c r="AJ18" s="267"/>
      <c r="AK18" s="247">
        <f>0.67*B18</f>
        <v>233.69600000000003</v>
      </c>
      <c r="AL18" s="247">
        <f>B18*0.2</f>
        <v>69.76</v>
      </c>
      <c r="AM18" s="247">
        <f t="shared" si="5"/>
        <v>348.8</v>
      </c>
      <c r="AN18" s="247">
        <f t="shared" si="6"/>
        <v>73.248</v>
      </c>
      <c r="AO18" s="282">
        <v>0</v>
      </c>
      <c r="AP18" s="247">
        <f t="shared" si="7"/>
        <v>359.264</v>
      </c>
      <c r="AQ18" s="247">
        <f t="shared" si="8"/>
        <v>261.6</v>
      </c>
      <c r="AR18" s="247">
        <f t="shared" si="9"/>
        <v>261.6</v>
      </c>
      <c r="AS18" s="31"/>
      <c r="AT18" s="268"/>
      <c r="AU18" s="269"/>
      <c r="AV18" s="269"/>
      <c r="AW18" s="269"/>
      <c r="AX18" s="269"/>
      <c r="AY18" s="250"/>
      <c r="AZ18" s="268"/>
      <c r="BA18" s="268"/>
      <c r="BB18" s="268"/>
      <c r="BC18" s="238">
        <f t="shared" si="10"/>
        <v>1607.9679999999998</v>
      </c>
      <c r="BD18" s="270"/>
      <c r="BE18" s="253">
        <f t="shared" si="13"/>
        <v>1607.9679999999998</v>
      </c>
      <c r="BF18" s="253">
        <f t="shared" si="11"/>
        <v>-1566.2499999999998</v>
      </c>
      <c r="BG18" s="253">
        <f t="shared" si="12"/>
        <v>-2749.1900000000005</v>
      </c>
    </row>
    <row r="19" spans="1:59" ht="12.75">
      <c r="A19" s="237" t="s">
        <v>47</v>
      </c>
      <c r="B19" s="254">
        <v>348.8</v>
      </c>
      <c r="C19" s="72">
        <f t="shared" si="0"/>
        <v>2714.3616</v>
      </c>
      <c r="D19" s="526">
        <v>41.718</v>
      </c>
      <c r="E19" s="274"/>
      <c r="F19" s="274"/>
      <c r="G19" s="274">
        <v>1643.15</v>
      </c>
      <c r="H19" s="274"/>
      <c r="I19" s="274"/>
      <c r="J19" s="274"/>
      <c r="K19" s="274"/>
      <c r="L19" s="274"/>
      <c r="M19" s="274">
        <v>798.49</v>
      </c>
      <c r="N19" s="274"/>
      <c r="O19" s="274">
        <v>307.55</v>
      </c>
      <c r="P19" s="274"/>
      <c r="Q19" s="274"/>
      <c r="R19" s="274"/>
      <c r="S19" s="280"/>
      <c r="T19" s="294"/>
      <c r="U19" s="295">
        <f t="shared" si="1"/>
        <v>2749.1900000000005</v>
      </c>
      <c r="V19" s="296">
        <f t="shared" si="1"/>
        <v>0</v>
      </c>
      <c r="W19" s="274">
        <v>0</v>
      </c>
      <c r="X19" s="274">
        <v>1173.37</v>
      </c>
      <c r="Y19" s="274">
        <v>0</v>
      </c>
      <c r="Z19" s="274">
        <v>0</v>
      </c>
      <c r="AA19" s="274">
        <v>570.28</v>
      </c>
      <c r="AB19" s="274">
        <v>219.56</v>
      </c>
      <c r="AC19" s="274"/>
      <c r="AD19" s="274"/>
      <c r="AE19" s="280"/>
      <c r="AF19" s="281">
        <f t="shared" si="15"/>
        <v>1963.2099999999998</v>
      </c>
      <c r="AG19" s="289">
        <f t="shared" si="14"/>
        <v>2004.9279999999999</v>
      </c>
      <c r="AH19" s="266">
        <f t="shared" si="2"/>
        <v>0</v>
      </c>
      <c r="AI19" s="266">
        <f t="shared" si="2"/>
        <v>0</v>
      </c>
      <c r="AJ19" s="267"/>
      <c r="AK19" s="247">
        <f>0.67*B19</f>
        <v>233.69600000000003</v>
      </c>
      <c r="AL19" s="247">
        <f>B19*0.2</f>
        <v>69.76</v>
      </c>
      <c r="AM19" s="247">
        <f t="shared" si="5"/>
        <v>348.8</v>
      </c>
      <c r="AN19" s="247">
        <f t="shared" si="6"/>
        <v>73.248</v>
      </c>
      <c r="AO19" s="282">
        <v>0</v>
      </c>
      <c r="AP19" s="247">
        <f t="shared" si="7"/>
        <v>359.264</v>
      </c>
      <c r="AQ19" s="247">
        <f t="shared" si="8"/>
        <v>261.6</v>
      </c>
      <c r="AR19" s="247">
        <f t="shared" si="9"/>
        <v>261.6</v>
      </c>
      <c r="AS19" s="321">
        <f>B19*1.15</f>
        <v>401.12</v>
      </c>
      <c r="AT19" s="268"/>
      <c r="AU19" s="269"/>
      <c r="AV19" s="269"/>
      <c r="AW19" s="269"/>
      <c r="AX19" s="269"/>
      <c r="AY19" s="250"/>
      <c r="AZ19" s="268"/>
      <c r="BA19" s="268"/>
      <c r="BB19" s="268"/>
      <c r="BC19" s="238">
        <f t="shared" si="10"/>
        <v>2009.0879999999997</v>
      </c>
      <c r="BD19" s="270"/>
      <c r="BE19" s="253">
        <f t="shared" si="13"/>
        <v>2009.0879999999997</v>
      </c>
      <c r="BF19" s="253">
        <f t="shared" si="11"/>
        <v>-4.1599999999998545</v>
      </c>
      <c r="BG19" s="253">
        <f t="shared" si="12"/>
        <v>-785.9800000000007</v>
      </c>
    </row>
    <row r="20" spans="1:59" ht="12.75">
      <c r="A20" s="237" t="s">
        <v>48</v>
      </c>
      <c r="B20" s="322">
        <v>347.5</v>
      </c>
      <c r="C20" s="72">
        <f t="shared" si="0"/>
        <v>2704.245</v>
      </c>
      <c r="D20" s="526">
        <v>41.718</v>
      </c>
      <c r="E20" s="274"/>
      <c r="F20" s="274"/>
      <c r="G20" s="274">
        <v>1637.1</v>
      </c>
      <c r="H20" s="274"/>
      <c r="I20" s="274"/>
      <c r="J20" s="274"/>
      <c r="K20" s="274"/>
      <c r="L20" s="274"/>
      <c r="M20" s="274">
        <v>795.55</v>
      </c>
      <c r="N20" s="274"/>
      <c r="O20" s="274">
        <v>306.42</v>
      </c>
      <c r="P20" s="274"/>
      <c r="Q20" s="274"/>
      <c r="R20" s="274"/>
      <c r="S20" s="280"/>
      <c r="T20" s="294"/>
      <c r="U20" s="295">
        <f t="shared" si="1"/>
        <v>2739.0699999999997</v>
      </c>
      <c r="V20" s="296">
        <f t="shared" si="1"/>
        <v>0</v>
      </c>
      <c r="W20" s="274">
        <v>0</v>
      </c>
      <c r="X20" s="274">
        <v>254.89</v>
      </c>
      <c r="Y20" s="274">
        <v>0</v>
      </c>
      <c r="Z20" s="274">
        <v>0</v>
      </c>
      <c r="AA20" s="274">
        <v>123.88</v>
      </c>
      <c r="AB20" s="274">
        <v>47.69</v>
      </c>
      <c r="AC20" s="274"/>
      <c r="AD20" s="274"/>
      <c r="AE20" s="280"/>
      <c r="AF20" s="281">
        <f t="shared" si="15"/>
        <v>426.46</v>
      </c>
      <c r="AG20" s="289">
        <f t="shared" si="14"/>
        <v>468.178</v>
      </c>
      <c r="AH20" s="266">
        <f t="shared" si="2"/>
        <v>0</v>
      </c>
      <c r="AI20" s="266">
        <f t="shared" si="2"/>
        <v>0</v>
      </c>
      <c r="AJ20" s="267"/>
      <c r="AK20" s="247">
        <f>0.67*B20</f>
        <v>232.82500000000002</v>
      </c>
      <c r="AL20" s="247">
        <f>B20*0.2</f>
        <v>69.5</v>
      </c>
      <c r="AM20" s="247">
        <f t="shared" si="5"/>
        <v>347.5</v>
      </c>
      <c r="AN20" s="247">
        <f t="shared" si="6"/>
        <v>72.975</v>
      </c>
      <c r="AO20" s="282">
        <v>0</v>
      </c>
      <c r="AP20" s="247">
        <f t="shared" si="7"/>
        <v>357.925</v>
      </c>
      <c r="AQ20" s="247">
        <f t="shared" si="8"/>
        <v>260.625</v>
      </c>
      <c r="AR20" s="247">
        <f t="shared" si="9"/>
        <v>260.625</v>
      </c>
      <c r="AS20" s="321">
        <f>B20*1.15</f>
        <v>399.62499999999994</v>
      </c>
      <c r="AT20" s="268"/>
      <c r="AU20" s="269"/>
      <c r="AV20" s="269"/>
      <c r="AW20" s="269"/>
      <c r="AX20" s="269"/>
      <c r="AY20" s="250"/>
      <c r="AZ20" s="268"/>
      <c r="BA20" s="268"/>
      <c r="BB20" s="268"/>
      <c r="BC20" s="238">
        <f t="shared" si="10"/>
        <v>2001.6000000000001</v>
      </c>
      <c r="BD20" s="270"/>
      <c r="BE20" s="253">
        <f t="shared" si="13"/>
        <v>2001.6000000000001</v>
      </c>
      <c r="BF20" s="253">
        <f t="shared" si="11"/>
        <v>-1533.422</v>
      </c>
      <c r="BG20" s="253">
        <f t="shared" si="12"/>
        <v>-2312.6099999999997</v>
      </c>
    </row>
    <row r="21" spans="1:59" ht="13.5" thickBot="1">
      <c r="A21" s="237" t="s">
        <v>49</v>
      </c>
      <c r="B21" s="254">
        <v>347.5</v>
      </c>
      <c r="C21" s="72">
        <f t="shared" si="0"/>
        <v>2704.245</v>
      </c>
      <c r="D21" s="526">
        <v>41.718</v>
      </c>
      <c r="E21" s="298"/>
      <c r="F21" s="298"/>
      <c r="G21" s="298">
        <v>1637.1</v>
      </c>
      <c r="H21" s="298"/>
      <c r="I21" s="298"/>
      <c r="J21" s="298"/>
      <c r="K21" s="298"/>
      <c r="L21" s="298"/>
      <c r="M21" s="298">
        <v>795.55</v>
      </c>
      <c r="N21" s="298"/>
      <c r="O21" s="298">
        <v>306.42</v>
      </c>
      <c r="P21" s="298"/>
      <c r="Q21" s="298"/>
      <c r="R21" s="298"/>
      <c r="S21" s="299"/>
      <c r="T21" s="300"/>
      <c r="U21" s="295">
        <f t="shared" si="1"/>
        <v>2739.0699999999997</v>
      </c>
      <c r="V21" s="296">
        <f t="shared" si="1"/>
        <v>0</v>
      </c>
      <c r="W21" s="274">
        <v>0</v>
      </c>
      <c r="X21" s="274">
        <v>254.54</v>
      </c>
      <c r="Y21" s="274">
        <v>0</v>
      </c>
      <c r="Z21" s="274">
        <v>0</v>
      </c>
      <c r="AA21" s="274">
        <v>123.72</v>
      </c>
      <c r="AB21" s="274">
        <v>47.63</v>
      </c>
      <c r="AC21" s="274"/>
      <c r="AD21" s="274"/>
      <c r="AE21" s="280"/>
      <c r="AF21" s="281">
        <f t="shared" si="15"/>
        <v>425.89</v>
      </c>
      <c r="AG21" s="289">
        <f t="shared" si="14"/>
        <v>467.608</v>
      </c>
      <c r="AH21" s="266">
        <f t="shared" si="2"/>
        <v>0</v>
      </c>
      <c r="AI21" s="266">
        <f t="shared" si="2"/>
        <v>0</v>
      </c>
      <c r="AJ21" s="267"/>
      <c r="AK21" s="247">
        <f>0.67*B21</f>
        <v>232.82500000000002</v>
      </c>
      <c r="AL21" s="247">
        <f>B21*0.2</f>
        <v>69.5</v>
      </c>
      <c r="AM21" s="247">
        <f t="shared" si="5"/>
        <v>347.5</v>
      </c>
      <c r="AN21" s="247">
        <f t="shared" si="6"/>
        <v>72.975</v>
      </c>
      <c r="AO21" s="282">
        <v>0</v>
      </c>
      <c r="AP21" s="247">
        <f t="shared" si="7"/>
        <v>357.925</v>
      </c>
      <c r="AQ21" s="247">
        <f t="shared" si="8"/>
        <v>260.625</v>
      </c>
      <c r="AR21" s="247">
        <f t="shared" si="9"/>
        <v>260.625</v>
      </c>
      <c r="AS21" s="321">
        <f>B21*1.15</f>
        <v>399.62499999999994</v>
      </c>
      <c r="AT21" s="268"/>
      <c r="AU21" s="269"/>
      <c r="AV21" s="269"/>
      <c r="AW21" s="269"/>
      <c r="AX21" s="269"/>
      <c r="AY21" s="250"/>
      <c r="AZ21" s="268"/>
      <c r="BA21" s="268"/>
      <c r="BB21" s="268"/>
      <c r="BC21" s="238">
        <f t="shared" si="10"/>
        <v>2001.6000000000001</v>
      </c>
      <c r="BD21" s="270"/>
      <c r="BE21" s="253">
        <f t="shared" si="13"/>
        <v>2001.6000000000001</v>
      </c>
      <c r="BF21" s="253">
        <f t="shared" si="11"/>
        <v>-1533.9920000000002</v>
      </c>
      <c r="BG21" s="253">
        <f t="shared" si="12"/>
        <v>-2313.18</v>
      </c>
    </row>
    <row r="22" spans="1:59" s="9" customFormat="1" ht="13.5" thickBot="1">
      <c r="A22" s="301" t="s">
        <v>5</v>
      </c>
      <c r="B22" s="302"/>
      <c r="C22" s="302">
        <f aca="true" t="shared" si="16" ref="C22:AY22">SUM(C10:C21)</f>
        <v>32552.106</v>
      </c>
      <c r="D22" s="302">
        <f t="shared" si="16"/>
        <v>500.61600000000016</v>
      </c>
      <c r="E22" s="302">
        <f t="shared" si="16"/>
        <v>0</v>
      </c>
      <c r="F22" s="302">
        <f t="shared" si="16"/>
        <v>0</v>
      </c>
      <c r="G22" s="302">
        <f t="shared" si="16"/>
        <v>18108.229999999996</v>
      </c>
      <c r="H22" s="302">
        <f t="shared" si="16"/>
        <v>0</v>
      </c>
      <c r="I22" s="302">
        <f t="shared" si="16"/>
        <v>0</v>
      </c>
      <c r="J22" s="302">
        <f t="shared" si="16"/>
        <v>0</v>
      </c>
      <c r="K22" s="302">
        <f t="shared" si="16"/>
        <v>0</v>
      </c>
      <c r="L22" s="302">
        <f t="shared" si="16"/>
        <v>0</v>
      </c>
      <c r="M22" s="302">
        <f t="shared" si="16"/>
        <v>9178.459999999997</v>
      </c>
      <c r="N22" s="302">
        <f t="shared" si="16"/>
        <v>0</v>
      </c>
      <c r="O22" s="302">
        <f t="shared" si="16"/>
        <v>3535.3000000000006</v>
      </c>
      <c r="P22" s="302">
        <f t="shared" si="16"/>
        <v>0</v>
      </c>
      <c r="Q22" s="302">
        <f t="shared" si="16"/>
        <v>0</v>
      </c>
      <c r="R22" s="302">
        <f t="shared" si="16"/>
        <v>0</v>
      </c>
      <c r="S22" s="302">
        <f t="shared" si="16"/>
        <v>0</v>
      </c>
      <c r="T22" s="302">
        <f t="shared" si="16"/>
        <v>0</v>
      </c>
      <c r="U22" s="302">
        <f t="shared" si="16"/>
        <v>30821.990000000005</v>
      </c>
      <c r="V22" s="302">
        <f t="shared" si="16"/>
        <v>0</v>
      </c>
      <c r="W22" s="302">
        <f t="shared" si="16"/>
        <v>228.51000000000002</v>
      </c>
      <c r="X22" s="302">
        <f t="shared" si="16"/>
        <v>3662.39</v>
      </c>
      <c r="Y22" s="302">
        <f t="shared" si="16"/>
        <v>84.95</v>
      </c>
      <c r="Z22" s="302">
        <f t="shared" si="16"/>
        <v>464.04</v>
      </c>
      <c r="AA22" s="302">
        <f t="shared" si="16"/>
        <v>2559.06</v>
      </c>
      <c r="AB22" s="302">
        <f t="shared" si="16"/>
        <v>910.5100000000001</v>
      </c>
      <c r="AC22" s="302">
        <f t="shared" si="16"/>
        <v>17638.1</v>
      </c>
      <c r="AD22" s="302">
        <f t="shared" si="16"/>
        <v>0</v>
      </c>
      <c r="AE22" s="302">
        <f t="shared" si="16"/>
        <v>0</v>
      </c>
      <c r="AF22" s="302">
        <f t="shared" si="16"/>
        <v>25547.559999999998</v>
      </c>
      <c r="AG22" s="302">
        <f t="shared" si="16"/>
        <v>26048.176</v>
      </c>
      <c r="AH22" s="302">
        <f t="shared" si="16"/>
        <v>17638.1</v>
      </c>
      <c r="AI22" s="302">
        <f t="shared" si="16"/>
        <v>0</v>
      </c>
      <c r="AJ22" s="302">
        <f t="shared" si="16"/>
        <v>0</v>
      </c>
      <c r="AK22" s="302">
        <f t="shared" si="16"/>
        <v>2802.609999999999</v>
      </c>
      <c r="AL22" s="302">
        <f t="shared" si="16"/>
        <v>836.6</v>
      </c>
      <c r="AM22" s="302">
        <f t="shared" si="16"/>
        <v>4183.000000000001</v>
      </c>
      <c r="AN22" s="302">
        <f t="shared" si="16"/>
        <v>878.4300000000002</v>
      </c>
      <c r="AO22" s="302">
        <f t="shared" si="16"/>
        <v>0</v>
      </c>
      <c r="AP22" s="302">
        <f t="shared" si="16"/>
        <v>4308.490000000001</v>
      </c>
      <c r="AQ22" s="302">
        <f t="shared" si="16"/>
        <v>3137.2499999999995</v>
      </c>
      <c r="AR22" s="302">
        <f t="shared" si="16"/>
        <v>3137.2499999999995</v>
      </c>
      <c r="AS22" s="302">
        <f t="shared" si="16"/>
        <v>1200.37</v>
      </c>
      <c r="AT22" s="302">
        <f t="shared" si="16"/>
        <v>0</v>
      </c>
      <c r="AU22" s="302">
        <f t="shared" si="16"/>
        <v>0</v>
      </c>
      <c r="AV22" s="302">
        <f t="shared" si="16"/>
        <v>0</v>
      </c>
      <c r="AW22" s="302">
        <f t="shared" si="16"/>
        <v>0</v>
      </c>
      <c r="AX22" s="302">
        <f t="shared" si="16"/>
        <v>83.86000000000001</v>
      </c>
      <c r="AY22" s="302">
        <f t="shared" si="16"/>
        <v>0</v>
      </c>
      <c r="AZ22" s="302">
        <f>SUM(BB10:BB21)</f>
        <v>0</v>
      </c>
      <c r="BA22" s="302">
        <f>SUM(BC10:BC21)</f>
        <v>20567.859999999997</v>
      </c>
      <c r="BB22" s="302">
        <f aca="true" t="shared" si="17" ref="BB22:BG22">SUM(BB10:BB21)</f>
        <v>0</v>
      </c>
      <c r="BC22" s="302">
        <f t="shared" si="17"/>
        <v>20567.859999999997</v>
      </c>
      <c r="BD22" s="302">
        <f t="shared" si="17"/>
        <v>0</v>
      </c>
      <c r="BE22" s="527">
        <f t="shared" si="17"/>
        <v>20567.859999999997</v>
      </c>
      <c r="BF22" s="527">
        <f t="shared" si="17"/>
        <v>5480.315999999999</v>
      </c>
      <c r="BG22" s="527">
        <f t="shared" si="17"/>
        <v>-5274.430000000004</v>
      </c>
    </row>
    <row r="23" spans="1:59" s="9" customFormat="1" ht="13.5" thickBot="1">
      <c r="A23" s="303"/>
      <c r="B23" s="304"/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4"/>
      <c r="R23" s="304"/>
      <c r="S23" s="304"/>
      <c r="T23" s="304"/>
      <c r="U23" s="304"/>
      <c r="V23" s="304"/>
      <c r="W23" s="304"/>
      <c r="X23" s="304"/>
      <c r="Y23" s="304"/>
      <c r="Z23" s="304"/>
      <c r="AA23" s="304"/>
      <c r="AB23" s="304"/>
      <c r="AC23" s="304"/>
      <c r="AD23" s="304"/>
      <c r="AE23" s="304"/>
      <c r="AF23" s="304"/>
      <c r="AG23" s="304"/>
      <c r="AH23" s="304"/>
      <c r="AI23" s="304"/>
      <c r="AJ23" s="304"/>
      <c r="AK23" s="304"/>
      <c r="AL23" s="304"/>
      <c r="AM23" s="304"/>
      <c r="AN23" s="304"/>
      <c r="AO23" s="304"/>
      <c r="AP23" s="304"/>
      <c r="AQ23" s="304"/>
      <c r="AR23" s="304"/>
      <c r="AS23" s="304"/>
      <c r="AT23" s="304"/>
      <c r="AU23" s="304"/>
      <c r="AV23" s="304"/>
      <c r="AW23" s="304"/>
      <c r="AX23" s="304"/>
      <c r="AY23" s="304"/>
      <c r="AZ23" s="304"/>
      <c r="BA23" s="304"/>
      <c r="BB23" s="304"/>
      <c r="BC23" s="304"/>
      <c r="BD23" s="304"/>
      <c r="BE23" s="528"/>
      <c r="BF23" s="529"/>
      <c r="BG23" s="530"/>
    </row>
    <row r="24" spans="1:59" s="9" customFormat="1" ht="13.5" thickBot="1">
      <c r="A24" s="13" t="s">
        <v>53</v>
      </c>
      <c r="B24" s="304"/>
      <c r="C24" s="307">
        <f aca="true" t="shared" si="18" ref="C24:L24">C22+C8</f>
        <v>150558.00100000002</v>
      </c>
      <c r="D24" s="307">
        <f t="shared" si="18"/>
        <v>87434.27965075</v>
      </c>
      <c r="E24" s="307">
        <f t="shared" si="18"/>
        <v>7830.499999999999</v>
      </c>
      <c r="F24" s="307">
        <f t="shared" si="18"/>
        <v>538.6800000000001</v>
      </c>
      <c r="G24" s="307">
        <f t="shared" si="18"/>
        <v>18108.229999999996</v>
      </c>
      <c r="H24" s="307">
        <f t="shared" si="18"/>
        <v>0</v>
      </c>
      <c r="I24" s="307">
        <f t="shared" si="18"/>
        <v>3129.6899999999996</v>
      </c>
      <c r="J24" s="307">
        <f t="shared" si="18"/>
        <v>219.32</v>
      </c>
      <c r="K24" s="307">
        <f t="shared" si="18"/>
        <v>15259.559999999998</v>
      </c>
      <c r="L24" s="307">
        <f t="shared" si="18"/>
        <v>1019.78</v>
      </c>
      <c r="M24" s="307" t="e">
        <f>#REF!</f>
        <v>#REF!</v>
      </c>
      <c r="N24" s="307">
        <f aca="true" t="shared" si="19" ref="N24:BG24">N22+N8</f>
        <v>1473.1400000000003</v>
      </c>
      <c r="O24" s="307">
        <f t="shared" si="19"/>
        <v>9800.020000000002</v>
      </c>
      <c r="P24" s="307">
        <f t="shared" si="19"/>
        <v>430.99999999999994</v>
      </c>
      <c r="Q24" s="307">
        <f t="shared" si="19"/>
        <v>0</v>
      </c>
      <c r="R24" s="307">
        <f t="shared" si="19"/>
        <v>0</v>
      </c>
      <c r="S24" s="307">
        <f t="shared" si="19"/>
        <v>237647.13</v>
      </c>
      <c r="T24" s="307">
        <f t="shared" si="19"/>
        <v>12122.47</v>
      </c>
      <c r="U24" s="307">
        <f t="shared" si="19"/>
        <v>322985.33999999997</v>
      </c>
      <c r="V24" s="307">
        <f t="shared" si="19"/>
        <v>15804.39</v>
      </c>
      <c r="W24" s="307">
        <f t="shared" si="19"/>
        <v>5387.620000000001</v>
      </c>
      <c r="X24" s="307">
        <f t="shared" si="19"/>
        <v>3662.39</v>
      </c>
      <c r="Y24" s="307">
        <f t="shared" si="19"/>
        <v>2204.3199999999997</v>
      </c>
      <c r="Z24" s="307">
        <f t="shared" si="19"/>
        <v>10263.27</v>
      </c>
      <c r="AA24" s="307">
        <f t="shared" si="19"/>
        <v>16714.66</v>
      </c>
      <c r="AB24" s="307">
        <f t="shared" si="19"/>
        <v>5037.95</v>
      </c>
      <c r="AC24" s="307">
        <f t="shared" si="19"/>
        <v>178812.00000000003</v>
      </c>
      <c r="AD24" s="307">
        <f t="shared" si="19"/>
        <v>0</v>
      </c>
      <c r="AE24" s="307">
        <f t="shared" si="19"/>
        <v>0</v>
      </c>
      <c r="AF24" s="307">
        <f t="shared" si="19"/>
        <v>222082.21</v>
      </c>
      <c r="AG24" s="307">
        <f t="shared" si="19"/>
        <v>325320.87965074996</v>
      </c>
      <c r="AH24" s="307">
        <f t="shared" si="19"/>
        <v>17638.1</v>
      </c>
      <c r="AI24" s="307">
        <f t="shared" si="19"/>
        <v>0</v>
      </c>
      <c r="AJ24" s="307">
        <f t="shared" si="19"/>
        <v>0</v>
      </c>
      <c r="AK24" s="307">
        <f t="shared" si="19"/>
        <v>8382.31</v>
      </c>
      <c r="AL24" s="307">
        <f t="shared" si="19"/>
        <v>2706.272455</v>
      </c>
      <c r="AM24" s="307">
        <f t="shared" si="19"/>
        <v>13445.034710225005</v>
      </c>
      <c r="AN24" s="307">
        <f t="shared" si="19"/>
        <v>878.4300000000002</v>
      </c>
      <c r="AO24" s="307">
        <f t="shared" si="19"/>
        <v>2747.5992209979995</v>
      </c>
      <c r="AP24" s="307">
        <f t="shared" si="19"/>
        <v>24975.276534316</v>
      </c>
      <c r="AQ24" s="307">
        <f t="shared" si="19"/>
        <v>3137.2499999999995</v>
      </c>
      <c r="AR24" s="307">
        <f t="shared" si="19"/>
        <v>3137.2499999999995</v>
      </c>
      <c r="AS24" s="307">
        <f t="shared" si="19"/>
        <v>1200.37</v>
      </c>
      <c r="AT24" s="307">
        <f t="shared" si="19"/>
        <v>8165.718000000001</v>
      </c>
      <c r="AU24" s="307">
        <f t="shared" si="19"/>
        <v>31170.883599999997</v>
      </c>
      <c r="AV24" s="307">
        <f t="shared" si="19"/>
        <v>0</v>
      </c>
      <c r="AW24" s="308">
        <f t="shared" si="19"/>
        <v>4132.400000000001</v>
      </c>
      <c r="AX24" s="308">
        <f t="shared" si="19"/>
        <v>12374.86</v>
      </c>
      <c r="AY24" s="308">
        <f t="shared" si="19"/>
        <v>359198.446</v>
      </c>
      <c r="AZ24" s="308">
        <f t="shared" si="19"/>
        <v>0</v>
      </c>
      <c r="BA24" s="308">
        <f t="shared" si="19"/>
        <v>20567.859999999997</v>
      </c>
      <c r="BB24" s="308">
        <f t="shared" si="19"/>
        <v>0</v>
      </c>
      <c r="BC24" s="308">
        <f t="shared" si="19"/>
        <v>475652.100520539</v>
      </c>
      <c r="BD24" s="308">
        <f t="shared" si="19"/>
        <v>0</v>
      </c>
      <c r="BE24" s="531">
        <f t="shared" si="19"/>
        <v>475652.100520539</v>
      </c>
      <c r="BF24" s="531">
        <f>BF22+BF8</f>
        <v>-150331.31086978898</v>
      </c>
      <c r="BG24" s="531">
        <f t="shared" si="19"/>
        <v>-100903.13000000002</v>
      </c>
    </row>
    <row r="25" spans="1:59" ht="12.75">
      <c r="A25" s="10" t="s">
        <v>122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532"/>
      <c r="BF25" s="533"/>
      <c r="BG25" s="534"/>
    </row>
    <row r="26" spans="1:59" ht="12.75">
      <c r="A26" s="237" t="s">
        <v>38</v>
      </c>
      <c r="B26" s="254">
        <v>347.5</v>
      </c>
      <c r="C26" s="72">
        <f>(B26*0.87)+((B26*5.17*0.9)+(B26*2.51*0.9))</f>
        <v>2704.245</v>
      </c>
      <c r="D26" s="297">
        <v>41.717999999999996</v>
      </c>
      <c r="E26" s="274"/>
      <c r="F26" s="274"/>
      <c r="G26" s="274">
        <v>822.88</v>
      </c>
      <c r="H26" s="274"/>
      <c r="I26" s="274"/>
      <c r="J26" s="274"/>
      <c r="K26" s="274"/>
      <c r="L26" s="274"/>
      <c r="M26" s="274">
        <v>399.82</v>
      </c>
      <c r="N26" s="274"/>
      <c r="O26" s="274">
        <v>154.08</v>
      </c>
      <c r="P26" s="274"/>
      <c r="Q26" s="274"/>
      <c r="R26" s="274"/>
      <c r="S26" s="280"/>
      <c r="T26" s="300"/>
      <c r="U26" s="295">
        <f aca="true" t="shared" si="20" ref="U26:V31">E26+G26+I26+K26+M26+O26+Q26+S26</f>
        <v>1376.78</v>
      </c>
      <c r="V26" s="296">
        <f t="shared" si="20"/>
        <v>0</v>
      </c>
      <c r="W26" s="274">
        <v>0</v>
      </c>
      <c r="X26" s="274">
        <v>963.03</v>
      </c>
      <c r="Y26" s="274">
        <v>0</v>
      </c>
      <c r="Z26" s="274">
        <v>0</v>
      </c>
      <c r="AA26" s="274">
        <v>467.53</v>
      </c>
      <c r="AB26" s="274">
        <v>180.7</v>
      </c>
      <c r="AC26" s="274"/>
      <c r="AD26" s="274"/>
      <c r="AE26" s="280"/>
      <c r="AF26" s="281">
        <f aca="true" t="shared" si="21" ref="AF26:AF31">SUM(W26:AE26)</f>
        <v>1611.26</v>
      </c>
      <c r="AG26" s="289">
        <f aca="true" t="shared" si="22" ref="AG26:AG37">D26+V26+AF26</f>
        <v>1652.978</v>
      </c>
      <c r="AH26" s="266">
        <f aca="true" t="shared" si="23" ref="AH26:AI37">AC26</f>
        <v>0</v>
      </c>
      <c r="AI26" s="266">
        <f t="shared" si="23"/>
        <v>0</v>
      </c>
      <c r="AJ26" s="267"/>
      <c r="AK26" s="247">
        <f aca="true" t="shared" si="24" ref="AK26:AK31">0.67*B26</f>
        <v>232.82500000000002</v>
      </c>
      <c r="AL26" s="247">
        <f aca="true" t="shared" si="25" ref="AL26:AL37">B26*0.2</f>
        <v>69.5</v>
      </c>
      <c r="AM26" s="247">
        <f aca="true" t="shared" si="26" ref="AM26:AM37">B26*1</f>
        <v>347.5</v>
      </c>
      <c r="AN26" s="247">
        <f aca="true" t="shared" si="27" ref="AN26:AN37">B26*0.21</f>
        <v>72.975</v>
      </c>
      <c r="AO26" s="282">
        <v>0</v>
      </c>
      <c r="AP26" s="247">
        <f aca="true" t="shared" si="28" ref="AP26:AP37">B26*1.03</f>
        <v>357.925</v>
      </c>
      <c r="AQ26" s="247">
        <f aca="true" t="shared" si="29" ref="AQ26:AQ37">B26*0.75</f>
        <v>260.625</v>
      </c>
      <c r="AR26" s="247">
        <f aca="true" t="shared" si="30" ref="AR26:AR37">B26*0.75</f>
        <v>260.625</v>
      </c>
      <c r="AS26" s="321">
        <f>B26*1.15</f>
        <v>399.62499999999994</v>
      </c>
      <c r="AT26" s="268"/>
      <c r="AU26" s="269"/>
      <c r="AV26" s="269"/>
      <c r="AW26" s="269"/>
      <c r="AX26" s="269"/>
      <c r="AY26" s="269"/>
      <c r="AZ26" s="269"/>
      <c r="BA26" s="250"/>
      <c r="BB26" s="268"/>
      <c r="BC26" s="283">
        <f>SUM(AK26:BB26)</f>
        <v>2001.6000000000001</v>
      </c>
      <c r="BD26" s="270"/>
      <c r="BE26" s="253">
        <f>BC26</f>
        <v>2001.6000000000001</v>
      </c>
      <c r="BF26" s="253">
        <f>AG26-BE26</f>
        <v>-348.62200000000007</v>
      </c>
      <c r="BG26" s="253">
        <f aca="true" t="shared" si="31" ref="BG26:BG37">AF26-U26</f>
        <v>234.48000000000002</v>
      </c>
    </row>
    <row r="27" spans="1:59" ht="12.75">
      <c r="A27" s="237" t="s">
        <v>39</v>
      </c>
      <c r="B27" s="254">
        <v>347.5</v>
      </c>
      <c r="C27" s="72">
        <f>(B27*0.87)+((B27*5.17*0.9)+(B27*2.51*0.9))</f>
        <v>2704.245</v>
      </c>
      <c r="D27" s="297">
        <v>41.717999999999996</v>
      </c>
      <c r="E27" s="284"/>
      <c r="F27" s="284"/>
      <c r="G27" s="284">
        <v>1637.1</v>
      </c>
      <c r="H27" s="284"/>
      <c r="I27" s="284"/>
      <c r="J27" s="284"/>
      <c r="K27" s="284"/>
      <c r="L27" s="284"/>
      <c r="M27" s="284">
        <v>795.55</v>
      </c>
      <c r="N27" s="284"/>
      <c r="O27" s="284">
        <v>306.42</v>
      </c>
      <c r="P27" s="284"/>
      <c r="Q27" s="284"/>
      <c r="R27" s="284"/>
      <c r="S27" s="285"/>
      <c r="T27" s="300"/>
      <c r="U27" s="295">
        <f t="shared" si="20"/>
        <v>2739.0699999999997</v>
      </c>
      <c r="V27" s="296">
        <f t="shared" si="20"/>
        <v>0</v>
      </c>
      <c r="W27" s="284">
        <v>0</v>
      </c>
      <c r="X27" s="284">
        <v>894.57</v>
      </c>
      <c r="Y27" s="284">
        <v>0</v>
      </c>
      <c r="Z27" s="284">
        <v>0</v>
      </c>
      <c r="AA27" s="284">
        <v>434.45</v>
      </c>
      <c r="AB27" s="284">
        <v>167.71</v>
      </c>
      <c r="AC27" s="284"/>
      <c r="AD27" s="284"/>
      <c r="AE27" s="285"/>
      <c r="AF27" s="281">
        <f t="shared" si="21"/>
        <v>1496.73</v>
      </c>
      <c r="AG27" s="289">
        <f t="shared" si="22"/>
        <v>1538.448</v>
      </c>
      <c r="AH27" s="266">
        <f t="shared" si="23"/>
        <v>0</v>
      </c>
      <c r="AI27" s="266">
        <f t="shared" si="23"/>
        <v>0</v>
      </c>
      <c r="AJ27" s="267"/>
      <c r="AK27" s="256">
        <f t="shared" si="24"/>
        <v>232.82500000000002</v>
      </c>
      <c r="AL27" s="247">
        <f t="shared" si="25"/>
        <v>69.5</v>
      </c>
      <c r="AM27" s="247">
        <f t="shared" si="26"/>
        <v>347.5</v>
      </c>
      <c r="AN27" s="247">
        <f t="shared" si="27"/>
        <v>72.975</v>
      </c>
      <c r="AO27" s="282">
        <v>0</v>
      </c>
      <c r="AP27" s="247">
        <f t="shared" si="28"/>
        <v>357.925</v>
      </c>
      <c r="AQ27" s="247">
        <f t="shared" si="29"/>
        <v>260.625</v>
      </c>
      <c r="AR27" s="247">
        <f t="shared" si="30"/>
        <v>260.625</v>
      </c>
      <c r="AS27" s="321">
        <f>B27*1.15</f>
        <v>399.62499999999994</v>
      </c>
      <c r="AT27" s="268"/>
      <c r="AU27" s="269"/>
      <c r="AV27" s="269"/>
      <c r="AW27" s="269"/>
      <c r="AX27" s="269"/>
      <c r="AY27" s="269"/>
      <c r="AZ27" s="269"/>
      <c r="BA27" s="250"/>
      <c r="BB27" s="268"/>
      <c r="BC27" s="238">
        <f>SUM(AK27:BB27)</f>
        <v>2001.6000000000001</v>
      </c>
      <c r="BD27" s="270"/>
      <c r="BE27" s="253">
        <f aca="true" t="shared" si="32" ref="BE27:BE37">BC27</f>
        <v>2001.6000000000001</v>
      </c>
      <c r="BF27" s="253">
        <f aca="true" t="shared" si="33" ref="BF27:BF37">AG27-BE27</f>
        <v>-463.15200000000004</v>
      </c>
      <c r="BG27" s="253">
        <f aca="true" t="shared" si="34" ref="BG27:BG37">AF27-U27</f>
        <v>-1242.3399999999997</v>
      </c>
    </row>
    <row r="28" spans="1:59" ht="12.75">
      <c r="A28" s="237" t="s">
        <v>40</v>
      </c>
      <c r="B28" s="254">
        <v>347.5</v>
      </c>
      <c r="C28" s="72">
        <f>(B28*0.87)+((B28*5.17*0.9)+(B28*2.51*0.9))</f>
        <v>2704.245</v>
      </c>
      <c r="D28" s="297">
        <v>41.717999999999996</v>
      </c>
      <c r="E28" s="284"/>
      <c r="F28" s="284"/>
      <c r="G28" s="284">
        <v>1629.9</v>
      </c>
      <c r="H28" s="284"/>
      <c r="I28" s="284"/>
      <c r="J28" s="284"/>
      <c r="K28" s="284"/>
      <c r="L28" s="284"/>
      <c r="M28" s="284">
        <v>792.09</v>
      </c>
      <c r="N28" s="284"/>
      <c r="O28" s="284">
        <v>305.03</v>
      </c>
      <c r="P28" s="284"/>
      <c r="Q28" s="284"/>
      <c r="R28" s="284"/>
      <c r="S28" s="285"/>
      <c r="T28" s="300"/>
      <c r="U28" s="295">
        <f t="shared" si="20"/>
        <v>2727.0200000000004</v>
      </c>
      <c r="V28" s="296">
        <f t="shared" si="20"/>
        <v>0</v>
      </c>
      <c r="W28" s="274">
        <v>0</v>
      </c>
      <c r="X28" s="274">
        <v>465.03</v>
      </c>
      <c r="Y28" s="274">
        <v>0</v>
      </c>
      <c r="Z28" s="274">
        <v>0</v>
      </c>
      <c r="AA28" s="274">
        <v>225.91</v>
      </c>
      <c r="AB28" s="274">
        <v>87.13</v>
      </c>
      <c r="AC28" s="274"/>
      <c r="AD28" s="274"/>
      <c r="AE28" s="280"/>
      <c r="AF28" s="281">
        <f t="shared" si="21"/>
        <v>778.0699999999999</v>
      </c>
      <c r="AG28" s="289">
        <f t="shared" si="22"/>
        <v>819.7879999999999</v>
      </c>
      <c r="AH28" s="266">
        <f t="shared" si="23"/>
        <v>0</v>
      </c>
      <c r="AI28" s="266">
        <f t="shared" si="23"/>
        <v>0</v>
      </c>
      <c r="AJ28" s="267"/>
      <c r="AK28" s="256">
        <f t="shared" si="24"/>
        <v>232.82500000000002</v>
      </c>
      <c r="AL28" s="247">
        <f t="shared" si="25"/>
        <v>69.5</v>
      </c>
      <c r="AM28" s="247">
        <f t="shared" si="26"/>
        <v>347.5</v>
      </c>
      <c r="AN28" s="247">
        <f t="shared" si="27"/>
        <v>72.975</v>
      </c>
      <c r="AO28" s="282">
        <v>0</v>
      </c>
      <c r="AP28" s="247">
        <f t="shared" si="28"/>
        <v>357.925</v>
      </c>
      <c r="AQ28" s="247">
        <f t="shared" si="29"/>
        <v>260.625</v>
      </c>
      <c r="AR28" s="247">
        <f t="shared" si="30"/>
        <v>260.625</v>
      </c>
      <c r="AS28" s="321">
        <f>B28*1.15</f>
        <v>399.62499999999994</v>
      </c>
      <c r="AT28" s="268"/>
      <c r="AU28" s="269"/>
      <c r="AV28" s="269"/>
      <c r="AW28" s="269"/>
      <c r="AX28" s="269"/>
      <c r="AY28" s="269"/>
      <c r="AZ28" s="269"/>
      <c r="BA28" s="250"/>
      <c r="BB28" s="268"/>
      <c r="BC28" s="283">
        <f>SUM(AK28:BB28)</f>
        <v>2001.6000000000001</v>
      </c>
      <c r="BD28" s="270"/>
      <c r="BE28" s="253">
        <f t="shared" si="32"/>
        <v>2001.6000000000001</v>
      </c>
      <c r="BF28" s="253">
        <f t="shared" si="33"/>
        <v>-1181.8120000000004</v>
      </c>
      <c r="BG28" s="253">
        <f t="shared" si="34"/>
        <v>-1948.9500000000005</v>
      </c>
    </row>
    <row r="29" spans="1:59" ht="12.75">
      <c r="A29" s="237" t="s">
        <v>41</v>
      </c>
      <c r="B29" s="254">
        <v>347.5</v>
      </c>
      <c r="C29" s="72">
        <f>(B29*0.87)+((B29*5.17*0.9)+(B29*2.51*0.9))</f>
        <v>2704.245</v>
      </c>
      <c r="D29" s="297">
        <v>41.717999999999996</v>
      </c>
      <c r="E29" s="284"/>
      <c r="F29" s="284"/>
      <c r="G29" s="284">
        <v>1619.94</v>
      </c>
      <c r="H29" s="284"/>
      <c r="I29" s="284"/>
      <c r="J29" s="284"/>
      <c r="K29" s="284"/>
      <c r="L29" s="284"/>
      <c r="M29" s="284">
        <v>787.3</v>
      </c>
      <c r="N29" s="284"/>
      <c r="O29" s="284">
        <v>303.12</v>
      </c>
      <c r="P29" s="284"/>
      <c r="Q29" s="284"/>
      <c r="R29" s="284"/>
      <c r="S29" s="285"/>
      <c r="T29" s="300"/>
      <c r="U29" s="295">
        <f t="shared" si="20"/>
        <v>2710.3599999999997</v>
      </c>
      <c r="V29" s="296">
        <f t="shared" si="20"/>
        <v>0</v>
      </c>
      <c r="W29" s="298">
        <v>0</v>
      </c>
      <c r="X29" s="298">
        <v>255.42</v>
      </c>
      <c r="Y29" s="298">
        <v>0</v>
      </c>
      <c r="Z29" s="298">
        <v>0</v>
      </c>
      <c r="AA29" s="298">
        <v>123.66</v>
      </c>
      <c r="AB29" s="298">
        <v>47.61</v>
      </c>
      <c r="AC29" s="298"/>
      <c r="AD29" s="298"/>
      <c r="AE29" s="299"/>
      <c r="AF29" s="281">
        <f t="shared" si="21"/>
        <v>426.69</v>
      </c>
      <c r="AG29" s="289">
        <f t="shared" si="22"/>
        <v>468.408</v>
      </c>
      <c r="AH29" s="266">
        <f t="shared" si="23"/>
        <v>0</v>
      </c>
      <c r="AI29" s="266">
        <f t="shared" si="23"/>
        <v>0</v>
      </c>
      <c r="AJ29" s="267"/>
      <c r="AK29" s="256">
        <f t="shared" si="24"/>
        <v>232.82500000000002</v>
      </c>
      <c r="AL29" s="247">
        <f t="shared" si="25"/>
        <v>69.5</v>
      </c>
      <c r="AM29" s="247">
        <f t="shared" si="26"/>
        <v>347.5</v>
      </c>
      <c r="AN29" s="247">
        <f t="shared" si="27"/>
        <v>72.975</v>
      </c>
      <c r="AO29" s="282">
        <v>0</v>
      </c>
      <c r="AP29" s="247">
        <f t="shared" si="28"/>
        <v>357.925</v>
      </c>
      <c r="AQ29" s="247">
        <f t="shared" si="29"/>
        <v>260.625</v>
      </c>
      <c r="AR29" s="247">
        <f t="shared" si="30"/>
        <v>260.625</v>
      </c>
      <c r="AS29" s="321"/>
      <c r="AT29" s="268"/>
      <c r="AU29" s="269"/>
      <c r="AV29" s="269"/>
      <c r="AW29" s="269"/>
      <c r="AX29" s="269"/>
      <c r="AY29" s="269"/>
      <c r="AZ29" s="269"/>
      <c r="BA29" s="250"/>
      <c r="BB29" s="268"/>
      <c r="BC29" s="283">
        <f>SUM(AK29:BB29)</f>
        <v>1601.9750000000001</v>
      </c>
      <c r="BD29" s="270"/>
      <c r="BE29" s="253">
        <f t="shared" si="32"/>
        <v>1601.9750000000001</v>
      </c>
      <c r="BF29" s="253">
        <f t="shared" si="33"/>
        <v>-1133.567</v>
      </c>
      <c r="BG29" s="253">
        <f t="shared" si="34"/>
        <v>-2283.6699999999996</v>
      </c>
    </row>
    <row r="30" spans="1:59" ht="12.75">
      <c r="A30" s="237" t="s">
        <v>42</v>
      </c>
      <c r="B30" s="254">
        <v>347.5</v>
      </c>
      <c r="C30" s="72">
        <f>(B30*0.87)+((B30*5.17*0.9)+(B30*2.51*0.9))</f>
        <v>2704.245</v>
      </c>
      <c r="D30" s="297">
        <v>41.717999999999996</v>
      </c>
      <c r="E30" s="284"/>
      <c r="F30" s="284"/>
      <c r="G30" s="284">
        <v>1619.94</v>
      </c>
      <c r="H30" s="284"/>
      <c r="I30" s="284"/>
      <c r="J30" s="284"/>
      <c r="K30" s="284"/>
      <c r="L30" s="284"/>
      <c r="M30" s="284">
        <v>787.3</v>
      </c>
      <c r="N30" s="284"/>
      <c r="O30" s="284">
        <v>303.12</v>
      </c>
      <c r="P30" s="284"/>
      <c r="Q30" s="284"/>
      <c r="R30" s="284"/>
      <c r="S30" s="285"/>
      <c r="T30" s="300"/>
      <c r="U30" s="295">
        <f t="shared" si="20"/>
        <v>2710.3599999999997</v>
      </c>
      <c r="V30" s="296">
        <f t="shared" si="20"/>
        <v>0</v>
      </c>
      <c r="W30" s="298">
        <v>0</v>
      </c>
      <c r="X30" s="298">
        <v>1942.28</v>
      </c>
      <c r="Y30" s="298">
        <v>0</v>
      </c>
      <c r="Z30" s="298">
        <v>0</v>
      </c>
      <c r="AA30" s="298">
        <v>201.22</v>
      </c>
      <c r="AB30" s="298">
        <v>77.46</v>
      </c>
      <c r="AC30" s="298"/>
      <c r="AD30" s="298"/>
      <c r="AE30" s="298"/>
      <c r="AF30" s="281">
        <f t="shared" si="21"/>
        <v>2220.96</v>
      </c>
      <c r="AG30" s="289">
        <f t="shared" si="22"/>
        <v>2262.678</v>
      </c>
      <c r="AH30" s="266">
        <f t="shared" si="23"/>
        <v>0</v>
      </c>
      <c r="AI30" s="266">
        <f t="shared" si="23"/>
        <v>0</v>
      </c>
      <c r="AJ30" s="267"/>
      <c r="AK30" s="256">
        <f t="shared" si="24"/>
        <v>232.82500000000002</v>
      </c>
      <c r="AL30" s="247">
        <f t="shared" si="25"/>
        <v>69.5</v>
      </c>
      <c r="AM30" s="247">
        <f t="shared" si="26"/>
        <v>347.5</v>
      </c>
      <c r="AN30" s="247">
        <f t="shared" si="27"/>
        <v>72.975</v>
      </c>
      <c r="AO30" s="282">
        <v>0</v>
      </c>
      <c r="AP30" s="247">
        <f t="shared" si="28"/>
        <v>357.925</v>
      </c>
      <c r="AQ30" s="247">
        <f t="shared" si="29"/>
        <v>260.625</v>
      </c>
      <c r="AR30" s="247">
        <f t="shared" si="30"/>
        <v>260.625</v>
      </c>
      <c r="AS30" s="321"/>
      <c r="AT30" s="268"/>
      <c r="AU30" s="269"/>
      <c r="AV30" s="269"/>
      <c r="AW30" s="269"/>
      <c r="AX30" s="269"/>
      <c r="AY30" s="269"/>
      <c r="AZ30" s="269"/>
      <c r="BA30" s="250"/>
      <c r="BB30" s="268"/>
      <c r="BC30" s="283">
        <f>SUM(AK30:BB30)</f>
        <v>1601.9750000000001</v>
      </c>
      <c r="BD30" s="270"/>
      <c r="BE30" s="253">
        <f t="shared" si="32"/>
        <v>1601.9750000000001</v>
      </c>
      <c r="BF30" s="253">
        <f t="shared" si="33"/>
        <v>660.7029999999997</v>
      </c>
      <c r="BG30" s="253">
        <f t="shared" si="34"/>
        <v>-489.39999999999964</v>
      </c>
    </row>
    <row r="31" spans="1:59" ht="12.75">
      <c r="A31" s="237" t="s">
        <v>43</v>
      </c>
      <c r="B31" s="254">
        <v>347.5</v>
      </c>
      <c r="C31" s="72">
        <f>(B31*0.87)+((B31*5.17*0.9)+(B31*2.51*0.9))</f>
        <v>2704.245</v>
      </c>
      <c r="D31" s="297">
        <v>41.717999999999996</v>
      </c>
      <c r="E31" s="284"/>
      <c r="F31" s="284"/>
      <c r="G31" s="284">
        <v>1619.94</v>
      </c>
      <c r="H31" s="284"/>
      <c r="I31" s="284"/>
      <c r="J31" s="284"/>
      <c r="K31" s="284"/>
      <c r="L31" s="284"/>
      <c r="M31" s="284">
        <v>787.29</v>
      </c>
      <c r="N31" s="284"/>
      <c r="O31" s="284">
        <v>303.13</v>
      </c>
      <c r="P31" s="284"/>
      <c r="Q31" s="284"/>
      <c r="R31" s="284"/>
      <c r="S31" s="285"/>
      <c r="T31" s="300"/>
      <c r="U31" s="295">
        <f t="shared" si="20"/>
        <v>2710.36</v>
      </c>
      <c r="V31" s="296">
        <f t="shared" si="20"/>
        <v>0</v>
      </c>
      <c r="W31" s="298"/>
      <c r="X31" s="535">
        <v>1112.84</v>
      </c>
      <c r="Y31" s="298"/>
      <c r="Z31" s="298"/>
      <c r="AA31" s="535">
        <v>187.52</v>
      </c>
      <c r="AB31" s="535">
        <v>72.11</v>
      </c>
      <c r="AC31" s="298"/>
      <c r="AD31" s="535"/>
      <c r="AE31" s="536"/>
      <c r="AF31" s="281">
        <f t="shared" si="21"/>
        <v>1372.4699999999998</v>
      </c>
      <c r="AG31" s="289">
        <f t="shared" si="22"/>
        <v>1414.1879999999999</v>
      </c>
      <c r="AH31" s="266">
        <f t="shared" si="23"/>
        <v>0</v>
      </c>
      <c r="AI31" s="266">
        <f t="shared" si="23"/>
        <v>0</v>
      </c>
      <c r="AJ31" s="267"/>
      <c r="AK31" s="256">
        <f t="shared" si="24"/>
        <v>232.82500000000002</v>
      </c>
      <c r="AL31" s="247">
        <f t="shared" si="25"/>
        <v>69.5</v>
      </c>
      <c r="AM31" s="247">
        <f t="shared" si="26"/>
        <v>347.5</v>
      </c>
      <c r="AN31" s="247">
        <f t="shared" si="27"/>
        <v>72.975</v>
      </c>
      <c r="AO31" s="282">
        <v>0</v>
      </c>
      <c r="AP31" s="247">
        <f t="shared" si="28"/>
        <v>357.925</v>
      </c>
      <c r="AQ31" s="247">
        <f t="shared" si="29"/>
        <v>260.625</v>
      </c>
      <c r="AR31" s="247">
        <f t="shared" si="30"/>
        <v>260.625</v>
      </c>
      <c r="AS31" s="321"/>
      <c r="AT31" s="268"/>
      <c r="AU31" s="269"/>
      <c r="AV31" s="269"/>
      <c r="AW31" s="269"/>
      <c r="AX31" s="269"/>
      <c r="AY31" s="269"/>
      <c r="AZ31" s="269"/>
      <c r="BA31" s="250"/>
      <c r="BB31" s="268"/>
      <c r="BC31" s="283">
        <f>SUM(AK31:BB31)</f>
        <v>1601.9750000000001</v>
      </c>
      <c r="BD31" s="270"/>
      <c r="BE31" s="253">
        <f t="shared" si="32"/>
        <v>1601.9750000000001</v>
      </c>
      <c r="BF31" s="253">
        <f t="shared" si="33"/>
        <v>-187.78700000000026</v>
      </c>
      <c r="BG31" s="253">
        <f t="shared" si="34"/>
        <v>-1337.8900000000003</v>
      </c>
    </row>
    <row r="32" spans="1:59" ht="12.75">
      <c r="A32" s="237" t="s">
        <v>44</v>
      </c>
      <c r="B32" s="254">
        <v>347.5</v>
      </c>
      <c r="C32" s="72">
        <f>(B32*9.51*0.9)</f>
        <v>2974.2525</v>
      </c>
      <c r="D32" s="297">
        <v>55.8285</v>
      </c>
      <c r="E32" s="284"/>
      <c r="F32" s="284"/>
      <c r="G32" s="284">
        <v>2982</v>
      </c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5"/>
      <c r="T32" s="300"/>
      <c r="U32" s="295">
        <f aca="true" t="shared" si="35" ref="U32:V37">G32+M32+O32+Q32+S32</f>
        <v>2982</v>
      </c>
      <c r="V32" s="537">
        <f t="shared" si="35"/>
        <v>0</v>
      </c>
      <c r="W32" s="298"/>
      <c r="X32" s="274">
        <v>622.46</v>
      </c>
      <c r="Y32" s="298"/>
      <c r="Z32" s="298"/>
      <c r="AA32" s="274">
        <v>163.59</v>
      </c>
      <c r="AB32" s="274">
        <v>62.94</v>
      </c>
      <c r="AC32" s="298"/>
      <c r="AD32" s="274"/>
      <c r="AE32" s="280"/>
      <c r="AF32" s="281">
        <f aca="true" t="shared" si="36" ref="AF32:AF37">SUM(X32:AE32)</f>
        <v>848.99</v>
      </c>
      <c r="AG32" s="289">
        <f t="shared" si="22"/>
        <v>904.8185</v>
      </c>
      <c r="AH32" s="538">
        <v>0</v>
      </c>
      <c r="AI32" s="266">
        <f t="shared" si="23"/>
        <v>0</v>
      </c>
      <c r="AJ32" s="267"/>
      <c r="AK32" s="247">
        <f aca="true" t="shared" si="37" ref="AK32:AK37">0.75*B32</f>
        <v>260.625</v>
      </c>
      <c r="AL32" s="247">
        <f t="shared" si="25"/>
        <v>69.5</v>
      </c>
      <c r="AM32" s="247">
        <f t="shared" si="26"/>
        <v>347.5</v>
      </c>
      <c r="AN32" s="247">
        <f t="shared" si="27"/>
        <v>72.975</v>
      </c>
      <c r="AO32" s="282">
        <v>0</v>
      </c>
      <c r="AP32" s="247">
        <f t="shared" si="28"/>
        <v>357.925</v>
      </c>
      <c r="AQ32" s="247">
        <f t="shared" si="29"/>
        <v>260.625</v>
      </c>
      <c r="AR32" s="247">
        <f t="shared" si="30"/>
        <v>260.625</v>
      </c>
      <c r="AS32" s="321"/>
      <c r="AT32" s="268"/>
      <c r="AU32" s="269"/>
      <c r="AV32" s="269"/>
      <c r="AW32" s="269"/>
      <c r="AX32" s="269"/>
      <c r="AY32" s="269"/>
      <c r="AZ32" s="269"/>
      <c r="BA32" s="250"/>
      <c r="BB32" s="268"/>
      <c r="BC32" s="283">
        <f>SUM(AK32:BB32)</f>
        <v>1629.775</v>
      </c>
      <c r="BD32" s="270"/>
      <c r="BE32" s="253">
        <f t="shared" si="32"/>
        <v>1629.775</v>
      </c>
      <c r="BF32" s="253">
        <f t="shared" si="33"/>
        <v>-724.9565000000001</v>
      </c>
      <c r="BG32" s="253">
        <f t="shared" si="34"/>
        <v>-2133.01</v>
      </c>
    </row>
    <row r="33" spans="1:59" ht="12.75">
      <c r="A33" s="237" t="s">
        <v>45</v>
      </c>
      <c r="B33" s="254">
        <v>347.5</v>
      </c>
      <c r="C33" s="72">
        <f>(B33*9.51*0.9)</f>
        <v>2974.2525</v>
      </c>
      <c r="D33" s="297"/>
      <c r="E33" s="284"/>
      <c r="F33" s="284"/>
      <c r="G33" s="284">
        <v>2982.01</v>
      </c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5"/>
      <c r="T33" s="300"/>
      <c r="U33" s="295">
        <f t="shared" si="35"/>
        <v>2982.01</v>
      </c>
      <c r="V33" s="537">
        <f t="shared" si="35"/>
        <v>0</v>
      </c>
      <c r="W33" s="298"/>
      <c r="X33" s="274">
        <v>881.38</v>
      </c>
      <c r="Y33" s="298"/>
      <c r="Z33" s="298"/>
      <c r="AA33" s="274">
        <v>29.51</v>
      </c>
      <c r="AB33" s="274">
        <v>11.32</v>
      </c>
      <c r="AC33" s="298"/>
      <c r="AD33" s="274"/>
      <c r="AE33" s="280"/>
      <c r="AF33" s="281">
        <f t="shared" si="36"/>
        <v>922.21</v>
      </c>
      <c r="AG33" s="289">
        <f t="shared" si="22"/>
        <v>922.21</v>
      </c>
      <c r="AH33" s="538">
        <v>0</v>
      </c>
      <c r="AI33" s="266">
        <f t="shared" si="23"/>
        <v>0</v>
      </c>
      <c r="AJ33" s="267"/>
      <c r="AK33" s="247">
        <f t="shared" si="37"/>
        <v>260.625</v>
      </c>
      <c r="AL33" s="247">
        <f t="shared" si="25"/>
        <v>69.5</v>
      </c>
      <c r="AM33" s="247">
        <f t="shared" si="26"/>
        <v>347.5</v>
      </c>
      <c r="AN33" s="247">
        <f t="shared" si="27"/>
        <v>72.975</v>
      </c>
      <c r="AO33" s="282">
        <v>0</v>
      </c>
      <c r="AP33" s="247">
        <f t="shared" si="28"/>
        <v>357.925</v>
      </c>
      <c r="AQ33" s="247">
        <f t="shared" si="29"/>
        <v>260.625</v>
      </c>
      <c r="AR33" s="247">
        <f t="shared" si="30"/>
        <v>260.625</v>
      </c>
      <c r="AS33" s="321"/>
      <c r="AT33" s="268"/>
      <c r="AU33" s="269"/>
      <c r="AV33" s="269"/>
      <c r="AW33" s="269"/>
      <c r="AX33" s="269"/>
      <c r="AY33" s="269"/>
      <c r="AZ33" s="269"/>
      <c r="BA33" s="250"/>
      <c r="BB33" s="268"/>
      <c r="BC33" s="283">
        <f>SUM(AK33:BB33)</f>
        <v>1629.775</v>
      </c>
      <c r="BD33" s="270"/>
      <c r="BE33" s="253">
        <f t="shared" si="32"/>
        <v>1629.775</v>
      </c>
      <c r="BF33" s="253">
        <f t="shared" si="33"/>
        <v>-707.565</v>
      </c>
      <c r="BG33" s="253">
        <f t="shared" si="34"/>
        <v>-2059.8</v>
      </c>
    </row>
    <row r="34" spans="1:59" ht="12.75">
      <c r="A34" s="237" t="s">
        <v>46</v>
      </c>
      <c r="B34" s="254">
        <v>347.5</v>
      </c>
      <c r="C34" s="72">
        <f>(B34*9.51*0.9)</f>
        <v>2974.2525</v>
      </c>
      <c r="D34" s="297"/>
      <c r="E34" s="284"/>
      <c r="F34" s="284"/>
      <c r="G34" s="284">
        <v>2982.01</v>
      </c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4"/>
      <c r="S34" s="285"/>
      <c r="T34" s="300"/>
      <c r="U34" s="295">
        <f t="shared" si="35"/>
        <v>2982.01</v>
      </c>
      <c r="V34" s="537">
        <f t="shared" si="35"/>
        <v>0</v>
      </c>
      <c r="W34" s="298"/>
      <c r="X34" s="274">
        <v>474.02</v>
      </c>
      <c r="Y34" s="298"/>
      <c r="Z34" s="298"/>
      <c r="AA34" s="274">
        <v>0</v>
      </c>
      <c r="AB34" s="274">
        <v>0</v>
      </c>
      <c r="AC34" s="298"/>
      <c r="AD34" s="274"/>
      <c r="AE34" s="280"/>
      <c r="AF34" s="281">
        <f t="shared" si="36"/>
        <v>474.02</v>
      </c>
      <c r="AG34" s="289">
        <f t="shared" si="22"/>
        <v>474.02</v>
      </c>
      <c r="AH34" s="538">
        <v>0</v>
      </c>
      <c r="AI34" s="266">
        <f t="shared" si="23"/>
        <v>0</v>
      </c>
      <c r="AJ34" s="267"/>
      <c r="AK34" s="247">
        <f t="shared" si="37"/>
        <v>260.625</v>
      </c>
      <c r="AL34" s="247">
        <f t="shared" si="25"/>
        <v>69.5</v>
      </c>
      <c r="AM34" s="247">
        <f t="shared" si="26"/>
        <v>347.5</v>
      </c>
      <c r="AN34" s="247">
        <f t="shared" si="27"/>
        <v>72.975</v>
      </c>
      <c r="AO34" s="282">
        <v>0</v>
      </c>
      <c r="AP34" s="247">
        <f t="shared" si="28"/>
        <v>357.925</v>
      </c>
      <c r="AQ34" s="247">
        <f t="shared" si="29"/>
        <v>260.625</v>
      </c>
      <c r="AR34" s="247">
        <f t="shared" si="30"/>
        <v>260.625</v>
      </c>
      <c r="AS34" s="321"/>
      <c r="AT34" s="268"/>
      <c r="AU34" s="269"/>
      <c r="AV34" s="269"/>
      <c r="AW34" s="269"/>
      <c r="AX34" s="269"/>
      <c r="AY34" s="269"/>
      <c r="AZ34" s="269"/>
      <c r="BA34" s="250"/>
      <c r="BB34" s="268"/>
      <c r="BC34" s="283">
        <f>SUM(AK34:BB34)</f>
        <v>1629.775</v>
      </c>
      <c r="BD34" s="270"/>
      <c r="BE34" s="253">
        <f t="shared" si="32"/>
        <v>1629.775</v>
      </c>
      <c r="BF34" s="253">
        <f t="shared" si="33"/>
        <v>-1155.755</v>
      </c>
      <c r="BG34" s="253">
        <f t="shared" si="34"/>
        <v>-2507.9900000000002</v>
      </c>
    </row>
    <row r="35" spans="1:59" ht="12.75">
      <c r="A35" s="237" t="s">
        <v>47</v>
      </c>
      <c r="B35" s="254">
        <v>347.5</v>
      </c>
      <c r="C35" s="72">
        <f>(B35*9.51*0.9)</f>
        <v>2974.2525</v>
      </c>
      <c r="D35" s="297"/>
      <c r="E35" s="284"/>
      <c r="F35" s="284"/>
      <c r="G35" s="284">
        <v>2982.01</v>
      </c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5"/>
      <c r="T35" s="300"/>
      <c r="U35" s="295">
        <f t="shared" si="35"/>
        <v>2982.01</v>
      </c>
      <c r="V35" s="537">
        <f t="shared" si="35"/>
        <v>0</v>
      </c>
      <c r="W35" s="298"/>
      <c r="X35" s="274">
        <v>2032.42</v>
      </c>
      <c r="Y35" s="298"/>
      <c r="Z35" s="298"/>
      <c r="AA35" s="274">
        <v>148.3</v>
      </c>
      <c r="AB35" s="274">
        <v>57.06</v>
      </c>
      <c r="AC35" s="298"/>
      <c r="AD35" s="274"/>
      <c r="AE35" s="280"/>
      <c r="AF35" s="281">
        <f t="shared" si="36"/>
        <v>2237.78</v>
      </c>
      <c r="AG35" s="289">
        <f t="shared" si="22"/>
        <v>2237.78</v>
      </c>
      <c r="AH35" s="538">
        <v>0</v>
      </c>
      <c r="AI35" s="266">
        <f t="shared" si="23"/>
        <v>0</v>
      </c>
      <c r="AJ35" s="267"/>
      <c r="AK35" s="247">
        <f t="shared" si="37"/>
        <v>260.625</v>
      </c>
      <c r="AL35" s="247">
        <f t="shared" si="25"/>
        <v>69.5</v>
      </c>
      <c r="AM35" s="247">
        <f t="shared" si="26"/>
        <v>347.5</v>
      </c>
      <c r="AN35" s="247">
        <f t="shared" si="27"/>
        <v>72.975</v>
      </c>
      <c r="AO35" s="282">
        <v>0</v>
      </c>
      <c r="AP35" s="247">
        <f t="shared" si="28"/>
        <v>357.925</v>
      </c>
      <c r="AQ35" s="247">
        <f t="shared" si="29"/>
        <v>260.625</v>
      </c>
      <c r="AR35" s="247">
        <f t="shared" si="30"/>
        <v>260.625</v>
      </c>
      <c r="AS35" s="321">
        <f>B35*1.15</f>
        <v>399.62499999999994</v>
      </c>
      <c r="AT35" s="268"/>
      <c r="AU35" s="539"/>
      <c r="AV35" s="269"/>
      <c r="AW35" s="269"/>
      <c r="AX35" s="269"/>
      <c r="AY35" s="269"/>
      <c r="AZ35" s="269"/>
      <c r="BA35" s="250"/>
      <c r="BB35" s="268"/>
      <c r="BC35" s="283">
        <f>SUM(AK35:BB35)</f>
        <v>2029.4</v>
      </c>
      <c r="BD35" s="270"/>
      <c r="BE35" s="253">
        <f t="shared" si="32"/>
        <v>2029.4</v>
      </c>
      <c r="BF35" s="253">
        <f t="shared" si="33"/>
        <v>208.3800000000001</v>
      </c>
      <c r="BG35" s="253">
        <f t="shared" si="34"/>
        <v>-744.23</v>
      </c>
    </row>
    <row r="36" spans="1:59" ht="12.75">
      <c r="A36" s="237" t="s">
        <v>48</v>
      </c>
      <c r="B36" s="540">
        <v>347.5</v>
      </c>
      <c r="C36" s="72">
        <f>(B36*9.51*0.9)</f>
        <v>2974.2525</v>
      </c>
      <c r="D36" s="297"/>
      <c r="E36" s="284"/>
      <c r="F36" s="284"/>
      <c r="G36" s="274">
        <v>2982.01</v>
      </c>
      <c r="H36" s="274"/>
      <c r="I36" s="284"/>
      <c r="J36" s="284"/>
      <c r="K36" s="284"/>
      <c r="L36" s="284"/>
      <c r="M36" s="274"/>
      <c r="N36" s="274"/>
      <c r="O36" s="274"/>
      <c r="P36" s="274"/>
      <c r="Q36" s="274"/>
      <c r="R36" s="274"/>
      <c r="S36" s="280"/>
      <c r="T36" s="300"/>
      <c r="U36" s="295">
        <f t="shared" si="35"/>
        <v>2982.01</v>
      </c>
      <c r="V36" s="537">
        <f t="shared" si="35"/>
        <v>0</v>
      </c>
      <c r="W36" s="298"/>
      <c r="X36" s="274">
        <v>892.97</v>
      </c>
      <c r="Y36" s="298"/>
      <c r="Z36" s="298"/>
      <c r="AA36" s="274">
        <v>7.47</v>
      </c>
      <c r="AB36" s="274">
        <v>2.87</v>
      </c>
      <c r="AC36" s="298"/>
      <c r="AD36" s="274"/>
      <c r="AE36" s="280"/>
      <c r="AF36" s="281">
        <f t="shared" si="36"/>
        <v>903.3100000000001</v>
      </c>
      <c r="AG36" s="289">
        <f t="shared" si="22"/>
        <v>903.3100000000001</v>
      </c>
      <c r="AH36" s="538">
        <v>0</v>
      </c>
      <c r="AI36" s="266">
        <f t="shared" si="23"/>
        <v>0</v>
      </c>
      <c r="AJ36" s="267"/>
      <c r="AK36" s="247">
        <f t="shared" si="37"/>
        <v>260.625</v>
      </c>
      <c r="AL36" s="247">
        <f t="shared" si="25"/>
        <v>69.5</v>
      </c>
      <c r="AM36" s="247">
        <f t="shared" si="26"/>
        <v>347.5</v>
      </c>
      <c r="AN36" s="247">
        <f t="shared" si="27"/>
        <v>72.975</v>
      </c>
      <c r="AO36" s="282">
        <v>0</v>
      </c>
      <c r="AP36" s="247">
        <f t="shared" si="28"/>
        <v>357.925</v>
      </c>
      <c r="AQ36" s="247">
        <f t="shared" si="29"/>
        <v>260.625</v>
      </c>
      <c r="AR36" s="247">
        <f t="shared" si="30"/>
        <v>260.625</v>
      </c>
      <c r="AS36" s="321">
        <f>B36*1.15</f>
        <v>399.62499999999994</v>
      </c>
      <c r="AT36" s="268"/>
      <c r="AU36" s="269"/>
      <c r="AV36" s="269"/>
      <c r="AW36" s="269"/>
      <c r="AX36" s="269"/>
      <c r="AY36" s="269"/>
      <c r="AZ36" s="269"/>
      <c r="BA36" s="250"/>
      <c r="BB36" s="268"/>
      <c r="BC36" s="283">
        <f>SUM(AK36:BB36)</f>
        <v>2029.4</v>
      </c>
      <c r="BD36" s="270"/>
      <c r="BE36" s="253">
        <f t="shared" si="32"/>
        <v>2029.4</v>
      </c>
      <c r="BF36" s="253">
        <f t="shared" si="33"/>
        <v>-1126.0900000000001</v>
      </c>
      <c r="BG36" s="253">
        <f t="shared" si="34"/>
        <v>-2078.7000000000003</v>
      </c>
    </row>
    <row r="37" spans="1:59" ht="13.5" thickBot="1">
      <c r="A37" s="237" t="s">
        <v>49</v>
      </c>
      <c r="B37" s="540">
        <v>347.5</v>
      </c>
      <c r="C37" s="72">
        <f>(B37*9.51*0.9)</f>
        <v>2974.2525</v>
      </c>
      <c r="D37" s="297"/>
      <c r="E37" s="274"/>
      <c r="F37" s="274"/>
      <c r="G37" s="274">
        <v>1483.15</v>
      </c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80"/>
      <c r="T37" s="300"/>
      <c r="U37" s="295">
        <f t="shared" si="35"/>
        <v>1483.15</v>
      </c>
      <c r="V37" s="537">
        <f t="shared" si="35"/>
        <v>0</v>
      </c>
      <c r="W37" s="298"/>
      <c r="X37" s="274">
        <v>362.42</v>
      </c>
      <c r="Y37" s="274"/>
      <c r="Z37" s="274"/>
      <c r="AA37" s="274">
        <v>3.29</v>
      </c>
      <c r="AB37" s="274">
        <v>1.26</v>
      </c>
      <c r="AC37" s="274"/>
      <c r="AD37" s="274"/>
      <c r="AE37" s="280"/>
      <c r="AF37" s="281">
        <f t="shared" si="36"/>
        <v>366.97</v>
      </c>
      <c r="AG37" s="289">
        <f t="shared" si="22"/>
        <v>366.97</v>
      </c>
      <c r="AH37" s="538">
        <v>0</v>
      </c>
      <c r="AI37" s="266">
        <f t="shared" si="23"/>
        <v>0</v>
      </c>
      <c r="AJ37" s="267"/>
      <c r="AK37" s="247">
        <f t="shared" si="37"/>
        <v>260.625</v>
      </c>
      <c r="AL37" s="247">
        <f t="shared" si="25"/>
        <v>69.5</v>
      </c>
      <c r="AM37" s="247">
        <f t="shared" si="26"/>
        <v>347.5</v>
      </c>
      <c r="AN37" s="247">
        <f t="shared" si="27"/>
        <v>72.975</v>
      </c>
      <c r="AO37" s="282">
        <v>0</v>
      </c>
      <c r="AP37" s="247">
        <f t="shared" si="28"/>
        <v>357.925</v>
      </c>
      <c r="AQ37" s="247">
        <f t="shared" si="29"/>
        <v>260.625</v>
      </c>
      <c r="AR37" s="247">
        <f t="shared" si="30"/>
        <v>260.625</v>
      </c>
      <c r="AS37" s="321">
        <f>B37*1.15</f>
        <v>399.62499999999994</v>
      </c>
      <c r="AT37" s="268"/>
      <c r="AU37" s="269"/>
      <c r="AV37" s="269"/>
      <c r="AW37" s="269"/>
      <c r="AX37" s="269">
        <f>1884</f>
        <v>1884</v>
      </c>
      <c r="AY37" s="269"/>
      <c r="AZ37" s="269"/>
      <c r="BA37" s="250"/>
      <c r="BB37" s="268"/>
      <c r="BC37" s="283">
        <f>SUM(AK37:BB37)</f>
        <v>3913.4</v>
      </c>
      <c r="BD37" s="270"/>
      <c r="BE37" s="253">
        <f t="shared" si="32"/>
        <v>3913.4</v>
      </c>
      <c r="BF37" s="253">
        <f t="shared" si="33"/>
        <v>-3546.4300000000003</v>
      </c>
      <c r="BG37" s="253">
        <f t="shared" si="34"/>
        <v>-1116.18</v>
      </c>
    </row>
    <row r="38" spans="1:59" s="9" customFormat="1" ht="13.5" thickBot="1">
      <c r="A38" s="301" t="s">
        <v>5</v>
      </c>
      <c r="B38" s="302"/>
      <c r="C38" s="302">
        <f aca="true" t="shared" si="38" ref="C38:AX38">SUM(C26:C37)</f>
        <v>34070.98499999999</v>
      </c>
      <c r="D38" s="302">
        <f t="shared" si="38"/>
        <v>306.13649999999996</v>
      </c>
      <c r="E38" s="302">
        <f t="shared" si="38"/>
        <v>0</v>
      </c>
      <c r="F38" s="302">
        <f t="shared" si="38"/>
        <v>0</v>
      </c>
      <c r="G38" s="302">
        <f t="shared" si="38"/>
        <v>25342.890000000007</v>
      </c>
      <c r="H38" s="302">
        <f t="shared" si="38"/>
        <v>0</v>
      </c>
      <c r="I38" s="302">
        <f t="shared" si="38"/>
        <v>0</v>
      </c>
      <c r="J38" s="302">
        <f t="shared" si="38"/>
        <v>0</v>
      </c>
      <c r="K38" s="302">
        <f t="shared" si="38"/>
        <v>0</v>
      </c>
      <c r="L38" s="302">
        <f t="shared" si="38"/>
        <v>0</v>
      </c>
      <c r="M38" s="302">
        <f t="shared" si="38"/>
        <v>4349.35</v>
      </c>
      <c r="N38" s="302">
        <f t="shared" si="38"/>
        <v>0</v>
      </c>
      <c r="O38" s="302">
        <f t="shared" si="38"/>
        <v>1674.9</v>
      </c>
      <c r="P38" s="302">
        <f t="shared" si="38"/>
        <v>0</v>
      </c>
      <c r="Q38" s="302">
        <f t="shared" si="38"/>
        <v>0</v>
      </c>
      <c r="R38" s="302">
        <f t="shared" si="38"/>
        <v>0</v>
      </c>
      <c r="S38" s="302">
        <f t="shared" si="38"/>
        <v>0</v>
      </c>
      <c r="T38" s="302">
        <f t="shared" si="38"/>
        <v>0</v>
      </c>
      <c r="U38" s="302">
        <f t="shared" si="38"/>
        <v>31367.140000000007</v>
      </c>
      <c r="V38" s="302">
        <f t="shared" si="38"/>
        <v>0</v>
      </c>
      <c r="W38" s="302">
        <f t="shared" si="38"/>
        <v>0</v>
      </c>
      <c r="X38" s="302">
        <f t="shared" si="38"/>
        <v>10898.84</v>
      </c>
      <c r="Y38" s="302">
        <f t="shared" si="38"/>
        <v>0</v>
      </c>
      <c r="Z38" s="302">
        <f t="shared" si="38"/>
        <v>0</v>
      </c>
      <c r="AA38" s="302">
        <f t="shared" si="38"/>
        <v>1992.45</v>
      </c>
      <c r="AB38" s="302">
        <f t="shared" si="38"/>
        <v>768.1700000000002</v>
      </c>
      <c r="AC38" s="302">
        <f t="shared" si="38"/>
        <v>0</v>
      </c>
      <c r="AD38" s="302">
        <f t="shared" si="38"/>
        <v>0</v>
      </c>
      <c r="AE38" s="302">
        <f t="shared" si="38"/>
        <v>0</v>
      </c>
      <c r="AF38" s="302">
        <f t="shared" si="38"/>
        <v>13659.459999999997</v>
      </c>
      <c r="AG38" s="302">
        <f t="shared" si="38"/>
        <v>13965.596500000001</v>
      </c>
      <c r="AH38" s="302">
        <f t="shared" si="38"/>
        <v>0</v>
      </c>
      <c r="AI38" s="302">
        <f t="shared" si="38"/>
        <v>0</v>
      </c>
      <c r="AJ38" s="302">
        <f t="shared" si="38"/>
        <v>0</v>
      </c>
      <c r="AK38" s="302">
        <f t="shared" si="38"/>
        <v>2960.7</v>
      </c>
      <c r="AL38" s="302">
        <f t="shared" si="38"/>
        <v>834</v>
      </c>
      <c r="AM38" s="302">
        <f t="shared" si="38"/>
        <v>4170</v>
      </c>
      <c r="AN38" s="302">
        <f t="shared" si="38"/>
        <v>875.7000000000002</v>
      </c>
      <c r="AO38" s="302">
        <f t="shared" si="38"/>
        <v>0</v>
      </c>
      <c r="AP38" s="302">
        <f t="shared" si="38"/>
        <v>4295.100000000001</v>
      </c>
      <c r="AQ38" s="302">
        <f t="shared" si="38"/>
        <v>3127.5</v>
      </c>
      <c r="AR38" s="302">
        <f t="shared" si="38"/>
        <v>3127.5</v>
      </c>
      <c r="AS38" s="302">
        <f t="shared" si="38"/>
        <v>2397.7499999999995</v>
      </c>
      <c r="AT38" s="302">
        <f t="shared" si="38"/>
        <v>0</v>
      </c>
      <c r="AU38" s="302">
        <f t="shared" si="38"/>
        <v>0</v>
      </c>
      <c r="AV38" s="302">
        <f t="shared" si="38"/>
        <v>0</v>
      </c>
      <c r="AW38" s="302">
        <f t="shared" si="38"/>
        <v>0</v>
      </c>
      <c r="AX38" s="302">
        <f t="shared" si="38"/>
        <v>1884</v>
      </c>
      <c r="AY38" s="302">
        <f>SUM(BA26:BA37)</f>
        <v>0</v>
      </c>
      <c r="AZ38" s="302">
        <f>SUM(AZ26:AZ37)</f>
        <v>0</v>
      </c>
      <c r="BA38" s="302">
        <f>SUM(BA26:BA37)</f>
        <v>0</v>
      </c>
      <c r="BB38" s="302">
        <f>SUM(BB26:BB37)</f>
        <v>0</v>
      </c>
      <c r="BC38" s="302">
        <f>SUM(BC26:BC37)</f>
        <v>23672.250000000004</v>
      </c>
      <c r="BD38" s="302">
        <f>SUM(BD26:BD37)</f>
        <v>0</v>
      </c>
      <c r="BE38" s="302">
        <f>SUM(BE26:BE37)</f>
        <v>23672.250000000004</v>
      </c>
      <c r="BF38" s="302">
        <f>SUM(BF26:BF37)</f>
        <v>-9706.6535</v>
      </c>
      <c r="BG38" s="302">
        <f>SUM(BG26:BG37)</f>
        <v>-17707.679999999997</v>
      </c>
    </row>
    <row r="39" spans="1:59" s="9" customFormat="1" ht="13.5" thickBot="1">
      <c r="A39" s="303"/>
      <c r="B39" s="304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304"/>
      <c r="X39" s="304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5"/>
      <c r="BF39" s="304"/>
      <c r="BG39" s="306"/>
    </row>
    <row r="40" spans="1:59" s="9" customFormat="1" ht="13.5" thickBot="1">
      <c r="A40" s="13" t="s">
        <v>53</v>
      </c>
      <c r="B40" s="304"/>
      <c r="C40" s="307">
        <f aca="true" t="shared" si="39" ref="C40:L40">C38+C24</f>
        <v>184628.986</v>
      </c>
      <c r="D40" s="307">
        <f t="shared" si="39"/>
        <v>87740.41615075</v>
      </c>
      <c r="E40" s="307">
        <f t="shared" si="39"/>
        <v>7830.499999999999</v>
      </c>
      <c r="F40" s="307">
        <f t="shared" si="39"/>
        <v>538.6800000000001</v>
      </c>
      <c r="G40" s="307">
        <f t="shared" si="39"/>
        <v>43451.12</v>
      </c>
      <c r="H40" s="307">
        <f t="shared" si="39"/>
        <v>0</v>
      </c>
      <c r="I40" s="307">
        <f t="shared" si="39"/>
        <v>3129.6899999999996</v>
      </c>
      <c r="J40" s="307">
        <f t="shared" si="39"/>
        <v>219.32</v>
      </c>
      <c r="K40" s="307">
        <f t="shared" si="39"/>
        <v>15259.559999999998</v>
      </c>
      <c r="L40" s="307">
        <f t="shared" si="39"/>
        <v>1019.78</v>
      </c>
      <c r="M40" s="307" t="e">
        <f>#REF!</f>
        <v>#REF!</v>
      </c>
      <c r="N40" s="307">
        <f aca="true" t="shared" si="40" ref="N40:BE40">N38+N24</f>
        <v>1473.1400000000003</v>
      </c>
      <c r="O40" s="307">
        <f t="shared" si="40"/>
        <v>11474.920000000002</v>
      </c>
      <c r="P40" s="307">
        <f t="shared" si="40"/>
        <v>430.99999999999994</v>
      </c>
      <c r="Q40" s="307">
        <f t="shared" si="40"/>
        <v>0</v>
      </c>
      <c r="R40" s="307">
        <f t="shared" si="40"/>
        <v>0</v>
      </c>
      <c r="S40" s="307">
        <f t="shared" si="40"/>
        <v>237647.13</v>
      </c>
      <c r="T40" s="307">
        <f t="shared" si="40"/>
        <v>12122.47</v>
      </c>
      <c r="U40" s="307">
        <f t="shared" si="40"/>
        <v>354352.48</v>
      </c>
      <c r="V40" s="307">
        <f t="shared" si="40"/>
        <v>15804.39</v>
      </c>
      <c r="W40" s="307">
        <f t="shared" si="40"/>
        <v>5387.620000000001</v>
      </c>
      <c r="X40" s="307">
        <f t="shared" si="40"/>
        <v>14561.23</v>
      </c>
      <c r="Y40" s="307">
        <f t="shared" si="40"/>
        <v>2204.3199999999997</v>
      </c>
      <c r="Z40" s="307">
        <f t="shared" si="40"/>
        <v>10263.27</v>
      </c>
      <c r="AA40" s="307">
        <f t="shared" si="40"/>
        <v>18707.11</v>
      </c>
      <c r="AB40" s="307">
        <f t="shared" si="40"/>
        <v>5806.12</v>
      </c>
      <c r="AC40" s="307">
        <f t="shared" si="40"/>
        <v>178812.00000000003</v>
      </c>
      <c r="AD40" s="307">
        <f t="shared" si="40"/>
        <v>0</v>
      </c>
      <c r="AE40" s="307">
        <f t="shared" si="40"/>
        <v>0</v>
      </c>
      <c r="AF40" s="307">
        <f t="shared" si="40"/>
        <v>235741.66999999998</v>
      </c>
      <c r="AG40" s="307">
        <f t="shared" si="40"/>
        <v>339286.47615074995</v>
      </c>
      <c r="AH40" s="307">
        <f t="shared" si="40"/>
        <v>17638.1</v>
      </c>
      <c r="AI40" s="307">
        <f t="shared" si="40"/>
        <v>0</v>
      </c>
      <c r="AJ40" s="307">
        <f t="shared" si="40"/>
        <v>0</v>
      </c>
      <c r="AK40" s="307">
        <f t="shared" si="40"/>
        <v>11343.009999999998</v>
      </c>
      <c r="AL40" s="307">
        <f t="shared" si="40"/>
        <v>3540.272455</v>
      </c>
      <c r="AM40" s="307">
        <f t="shared" si="40"/>
        <v>17615.034710225005</v>
      </c>
      <c r="AN40" s="307">
        <f t="shared" si="40"/>
        <v>1754.1300000000003</v>
      </c>
      <c r="AO40" s="307">
        <f t="shared" si="40"/>
        <v>2747.5992209979995</v>
      </c>
      <c r="AP40" s="307">
        <f t="shared" si="40"/>
        <v>29270.376534316</v>
      </c>
      <c r="AQ40" s="307">
        <f t="shared" si="40"/>
        <v>6264.75</v>
      </c>
      <c r="AR40" s="307">
        <f t="shared" si="40"/>
        <v>6264.75</v>
      </c>
      <c r="AS40" s="307">
        <f t="shared" si="40"/>
        <v>3598.1199999999994</v>
      </c>
      <c r="AT40" s="307">
        <f t="shared" si="40"/>
        <v>8165.718000000001</v>
      </c>
      <c r="AU40" s="307">
        <f t="shared" si="40"/>
        <v>31170.883599999997</v>
      </c>
      <c r="AV40" s="307">
        <f t="shared" si="40"/>
        <v>0</v>
      </c>
      <c r="AW40" s="308">
        <f t="shared" si="40"/>
        <v>4132.400000000001</v>
      </c>
      <c r="AX40" s="308">
        <f t="shared" si="40"/>
        <v>14258.86</v>
      </c>
      <c r="AY40" s="308">
        <f t="shared" si="40"/>
        <v>359198.446</v>
      </c>
      <c r="AZ40" s="308">
        <f t="shared" si="40"/>
        <v>0</v>
      </c>
      <c r="BA40" s="308">
        <f t="shared" si="40"/>
        <v>20567.859999999997</v>
      </c>
      <c r="BB40" s="308">
        <f t="shared" si="40"/>
        <v>0</v>
      </c>
      <c r="BC40" s="308">
        <f t="shared" si="40"/>
        <v>499324.350520539</v>
      </c>
      <c r="BD40" s="308">
        <f t="shared" si="40"/>
        <v>0</v>
      </c>
      <c r="BE40" s="308">
        <f t="shared" si="40"/>
        <v>499324.350520539</v>
      </c>
      <c r="BF40" s="308">
        <f>BF38+BF24</f>
        <v>-160037.964369789</v>
      </c>
      <c r="BG40" s="308">
        <f>BG38+BG24</f>
        <v>-118610.81000000001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2">
      <selection activeCell="E10" sqref="E10:F10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11.75390625" style="2" customWidth="1"/>
    <col min="7" max="7" width="11.00390625" style="2" customWidth="1"/>
    <col min="8" max="8" width="11.25390625" style="2" customWidth="1"/>
    <col min="9" max="9" width="10.625" style="2" customWidth="1"/>
    <col min="10" max="10" width="9.25390625" style="2" customWidth="1"/>
    <col min="11" max="11" width="11.25390625" style="2" customWidth="1"/>
    <col min="12" max="12" width="9.625" style="2" customWidth="1"/>
    <col min="13" max="13" width="11.25390625" style="2" customWidth="1"/>
    <col min="14" max="14" width="11.625" style="2" customWidth="1"/>
    <col min="15" max="15" width="13.625" style="2" customWidth="1"/>
    <col min="16" max="16384" width="9.125" style="2" customWidth="1"/>
  </cols>
  <sheetData>
    <row r="1" spans="2:8" ht="20.25" customHeight="1">
      <c r="B1" s="391" t="s">
        <v>68</v>
      </c>
      <c r="C1" s="391"/>
      <c r="D1" s="391"/>
      <c r="E1" s="391"/>
      <c r="F1" s="391"/>
      <c r="G1" s="391"/>
      <c r="H1" s="391"/>
    </row>
    <row r="2" spans="2:11" ht="21" customHeight="1">
      <c r="B2" s="391" t="s">
        <v>69</v>
      </c>
      <c r="C2" s="391"/>
      <c r="D2" s="391"/>
      <c r="E2" s="391"/>
      <c r="F2" s="391"/>
      <c r="G2" s="391"/>
      <c r="H2" s="391"/>
      <c r="J2" s="1"/>
      <c r="K2" s="1"/>
    </row>
    <row r="5" spans="1:12" ht="12.75">
      <c r="A5" s="403" t="s">
        <v>121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</row>
    <row r="6" spans="1:12" ht="12.75">
      <c r="A6" s="524" t="s">
        <v>123</v>
      </c>
      <c r="B6" s="524"/>
      <c r="C6" s="524"/>
      <c r="D6" s="524"/>
      <c r="E6" s="524"/>
      <c r="F6" s="524"/>
      <c r="G6" s="524"/>
      <c r="H6" s="50"/>
      <c r="I6" s="50"/>
      <c r="J6" s="50"/>
      <c r="K6" s="50"/>
      <c r="L6" s="50"/>
    </row>
    <row r="7" spans="1:13" ht="13.5" thickBot="1">
      <c r="A7" s="392" t="s">
        <v>61</v>
      </c>
      <c r="B7" s="392"/>
      <c r="C7" s="392"/>
      <c r="D7" s="392"/>
      <c r="E7" s="525">
        <v>8.56</v>
      </c>
      <c r="F7" s="392"/>
      <c r="I7" s="309"/>
      <c r="J7" s="309"/>
      <c r="K7" s="309"/>
      <c r="L7" s="309"/>
      <c r="M7" s="309"/>
    </row>
    <row r="8" spans="1:15" ht="12.75" customHeight="1">
      <c r="A8" s="374" t="s">
        <v>56</v>
      </c>
      <c r="B8" s="398" t="s">
        <v>1</v>
      </c>
      <c r="C8" s="511" t="s">
        <v>125</v>
      </c>
      <c r="D8" s="514" t="s">
        <v>3</v>
      </c>
      <c r="E8" s="517" t="s">
        <v>58</v>
      </c>
      <c r="F8" s="492"/>
      <c r="G8" s="520" t="s">
        <v>117</v>
      </c>
      <c r="H8" s="521"/>
      <c r="I8" s="496" t="s">
        <v>8</v>
      </c>
      <c r="J8" s="497"/>
      <c r="K8" s="497"/>
      <c r="L8" s="497"/>
      <c r="M8" s="498"/>
      <c r="N8" s="502" t="s">
        <v>67</v>
      </c>
      <c r="O8" s="502" t="s">
        <v>54</v>
      </c>
    </row>
    <row r="9" spans="1:15" ht="12.75">
      <c r="A9" s="375"/>
      <c r="B9" s="399"/>
      <c r="C9" s="512"/>
      <c r="D9" s="515"/>
      <c r="E9" s="518"/>
      <c r="F9" s="519"/>
      <c r="G9" s="522"/>
      <c r="H9" s="523"/>
      <c r="I9" s="499"/>
      <c r="J9" s="500"/>
      <c r="K9" s="500"/>
      <c r="L9" s="500"/>
      <c r="M9" s="501"/>
      <c r="N9" s="503"/>
      <c r="O9" s="503"/>
    </row>
    <row r="10" spans="1:15" ht="26.25" customHeight="1">
      <c r="A10" s="375"/>
      <c r="B10" s="399"/>
      <c r="C10" s="512"/>
      <c r="D10" s="515"/>
      <c r="E10" s="505" t="s">
        <v>59</v>
      </c>
      <c r="F10" s="493"/>
      <c r="G10" s="310" t="s">
        <v>63</v>
      </c>
      <c r="H10" s="506" t="s">
        <v>7</v>
      </c>
      <c r="I10" s="508" t="s">
        <v>64</v>
      </c>
      <c r="J10" s="388" t="s">
        <v>118</v>
      </c>
      <c r="K10" s="388" t="s">
        <v>66</v>
      </c>
      <c r="L10" s="388" t="s">
        <v>35</v>
      </c>
      <c r="M10" s="507" t="s">
        <v>37</v>
      </c>
      <c r="N10" s="503"/>
      <c r="O10" s="503"/>
    </row>
    <row r="11" spans="1:15" ht="66.75" customHeight="1" thickBot="1">
      <c r="A11" s="418"/>
      <c r="B11" s="400"/>
      <c r="C11" s="513"/>
      <c r="D11" s="516"/>
      <c r="E11" s="311" t="s">
        <v>60</v>
      </c>
      <c r="F11" s="312" t="s">
        <v>17</v>
      </c>
      <c r="G11" s="313" t="s">
        <v>119</v>
      </c>
      <c r="H11" s="507"/>
      <c r="I11" s="509"/>
      <c r="J11" s="389"/>
      <c r="K11" s="389"/>
      <c r="L11" s="389"/>
      <c r="M11" s="510"/>
      <c r="N11" s="504"/>
      <c r="O11" s="504"/>
    </row>
    <row r="12" spans="1:15" ht="13.5" thickBot="1">
      <c r="A12" s="323">
        <v>1</v>
      </c>
      <c r="B12" s="324">
        <v>2</v>
      </c>
      <c r="C12" s="323">
        <v>3</v>
      </c>
      <c r="D12" s="324">
        <v>4</v>
      </c>
      <c r="E12" s="323">
        <v>5</v>
      </c>
      <c r="F12" s="324">
        <v>6</v>
      </c>
      <c r="G12" s="324">
        <v>7</v>
      </c>
      <c r="H12" s="323">
        <v>8</v>
      </c>
      <c r="I12" s="324">
        <v>9</v>
      </c>
      <c r="J12" s="324">
        <v>10</v>
      </c>
      <c r="K12" s="323">
        <v>11</v>
      </c>
      <c r="L12" s="324">
        <v>12</v>
      </c>
      <c r="M12" s="324">
        <v>13</v>
      </c>
      <c r="N12" s="323">
        <v>14</v>
      </c>
      <c r="O12" s="324">
        <v>15</v>
      </c>
    </row>
    <row r="13" spans="1:15" ht="13.5" hidden="1" thickBot="1">
      <c r="A13" s="94" t="s">
        <v>5</v>
      </c>
      <c r="B13" s="333"/>
      <c r="C13" s="333">
        <f>'2012 полн'!C8</f>
        <v>118005.89500000002</v>
      </c>
      <c r="D13" s="333">
        <f>'2012 полн'!D8</f>
        <v>86933.66365075001</v>
      </c>
      <c r="E13" s="333">
        <f>'2012 полн'!U8</f>
        <v>292163.35</v>
      </c>
      <c r="F13" s="333">
        <f>'2012 полн'!V8</f>
        <v>15804.39</v>
      </c>
      <c r="G13" s="333">
        <f>'2012 полн'!AF8</f>
        <v>196534.65</v>
      </c>
      <c r="H13" s="333">
        <f>'2012 полн'!AG8</f>
        <v>299272.70365075</v>
      </c>
      <c r="I13" s="333">
        <f>'2012 полн'!AK8</f>
        <v>5579.700000000001</v>
      </c>
      <c r="J13" s="333">
        <f>'2012 полн'!AL8</f>
        <v>1869.672455</v>
      </c>
      <c r="K13" s="333">
        <f>'2012 полн'!AM8+'2012 полн'!AO8+'2012 полн'!AP8+'2012 полн'!AT8+'2012 полн'!AX8+'2012 полн'!AY8</f>
        <v>412331.58446553897</v>
      </c>
      <c r="L13" s="333">
        <f>'2012 полн'!AU8+'2012 полн'!AV8+'2012 полн'!AW8</f>
        <v>35303.283599999995</v>
      </c>
      <c r="M13" s="333">
        <f>'2012 полн'!BE8</f>
        <v>455084.240520539</v>
      </c>
      <c r="N13" s="333">
        <f>'2012 полн'!BF8</f>
        <v>-155811.62686978898</v>
      </c>
      <c r="O13" s="334">
        <f>'2012 полн'!BG8</f>
        <v>-95628.70000000001</v>
      </c>
    </row>
    <row r="14" spans="1:17" ht="13.5" hidden="1" thickBot="1">
      <c r="A14" s="94" t="s">
        <v>116</v>
      </c>
      <c r="B14" s="328"/>
      <c r="C14" s="329"/>
      <c r="D14" s="329"/>
      <c r="E14" s="330"/>
      <c r="F14" s="330"/>
      <c r="G14" s="330"/>
      <c r="H14" s="330"/>
      <c r="I14" s="330"/>
      <c r="J14" s="330"/>
      <c r="K14" s="330"/>
      <c r="L14" s="331"/>
      <c r="M14" s="330"/>
      <c r="N14" s="330"/>
      <c r="O14" s="332"/>
      <c r="P14" s="1"/>
      <c r="Q14" s="1"/>
    </row>
    <row r="15" spans="1:17" ht="12.75" hidden="1">
      <c r="A15" s="326" t="s">
        <v>38</v>
      </c>
      <c r="B15" s="327">
        <f>'2012 полн'!B10</f>
        <v>348.8</v>
      </c>
      <c r="C15" s="327">
        <f>'2012 полн'!C10</f>
        <v>2714.3616</v>
      </c>
      <c r="D15" s="314">
        <f>'2012 полн'!D10</f>
        <v>41.718</v>
      </c>
      <c r="E15" s="315">
        <f>'2012 полн'!U10</f>
        <v>2437.75</v>
      </c>
      <c r="F15" s="315">
        <f>'2012 полн'!V10</f>
        <v>0</v>
      </c>
      <c r="G15" s="317">
        <f>'2012 полн'!AF10</f>
        <v>7159.66</v>
      </c>
      <c r="H15" s="317">
        <f>'2012 полн'!AG10</f>
        <v>7201.378</v>
      </c>
      <c r="I15" s="317">
        <f>'2012 полн'!AK10</f>
        <v>233.69600000000003</v>
      </c>
      <c r="J15" s="317">
        <f>'2012 полн'!AL10</f>
        <v>69.76</v>
      </c>
      <c r="K15" s="315">
        <f>'2012 полн'!AM10+'2012 полн'!AN10+'2012 полн'!AP10+'2012 полн'!AQ10+'2012 полн'!AR10+'2012 полн'!AS10+'2012 полн'!AX10</f>
        <v>1304.5120000000002</v>
      </c>
      <c r="L15" s="325">
        <f>'2012 полн'!AU10+'2012 полн'!AV10+'2012 полн'!AW10</f>
        <v>0</v>
      </c>
      <c r="M15" s="316">
        <f>'2012 полн'!BE10</f>
        <v>1607.9679999999998</v>
      </c>
      <c r="N15" s="316">
        <f>'2012 полн'!BF10</f>
        <v>5593.41</v>
      </c>
      <c r="O15" s="316">
        <f>'2012 полн'!BG10</f>
        <v>4721.91</v>
      </c>
      <c r="P15" s="1"/>
      <c r="Q15" s="1"/>
    </row>
    <row r="16" spans="1:17" ht="12.75" hidden="1">
      <c r="A16" s="237" t="s">
        <v>39</v>
      </c>
      <c r="B16" s="327">
        <f>'2012 полн'!B11</f>
        <v>348.8</v>
      </c>
      <c r="C16" s="327">
        <f>'2012 полн'!C11</f>
        <v>2714.3616</v>
      </c>
      <c r="D16" s="314">
        <f>'2012 полн'!D11</f>
        <v>41.718</v>
      </c>
      <c r="E16" s="315">
        <f>'2012 полн'!U11</f>
        <v>2437.75</v>
      </c>
      <c r="F16" s="315">
        <f>'2012 полн'!V11</f>
        <v>0</v>
      </c>
      <c r="G16" s="317">
        <f>'2012 полн'!AF11</f>
        <v>378.5</v>
      </c>
      <c r="H16" s="317">
        <f>'2012 полн'!AG11</f>
        <v>420.218</v>
      </c>
      <c r="I16" s="317">
        <f>'2012 полн'!AK11</f>
        <v>233.69600000000003</v>
      </c>
      <c r="J16" s="317">
        <f>'2012 полн'!AL11</f>
        <v>69.76</v>
      </c>
      <c r="K16" s="315">
        <f>'2012 полн'!AM11+'2012 полн'!AN11+'2012 полн'!AP11+'2012 полн'!AQ11+'2012 полн'!AR11+'2012 полн'!AS11+'2012 полн'!AX11</f>
        <v>1304.5120000000002</v>
      </c>
      <c r="L16" s="325">
        <f>'2012 полн'!AU11+'2012 полн'!AV11+'2012 полн'!AW11</f>
        <v>0</v>
      </c>
      <c r="M16" s="316">
        <f>'2012 полн'!BE11</f>
        <v>1607.9679999999998</v>
      </c>
      <c r="N16" s="316">
        <f>'2012 полн'!BF11</f>
        <v>-1187.7499999999998</v>
      </c>
      <c r="O16" s="316">
        <f>'2012 полн'!BG11</f>
        <v>-2059.25</v>
      </c>
      <c r="P16" s="1"/>
      <c r="Q16" s="1"/>
    </row>
    <row r="17" spans="1:17" ht="12.75" hidden="1">
      <c r="A17" s="237" t="s">
        <v>40</v>
      </c>
      <c r="B17" s="327">
        <f>'2012 полн'!B12</f>
        <v>348.8</v>
      </c>
      <c r="C17" s="327">
        <f>'2012 полн'!C12</f>
        <v>2714.3616</v>
      </c>
      <c r="D17" s="314">
        <f>'2012 полн'!D12</f>
        <v>41.718</v>
      </c>
      <c r="E17" s="315">
        <f>'2012 полн'!U12</f>
        <v>1224.02</v>
      </c>
      <c r="F17" s="315">
        <f>'2012 полн'!V12</f>
        <v>0</v>
      </c>
      <c r="G17" s="317">
        <f>'2012 полн'!AF12</f>
        <v>3109.88</v>
      </c>
      <c r="H17" s="317">
        <f>'2012 полн'!AG12</f>
        <v>3151.598</v>
      </c>
      <c r="I17" s="317">
        <f>'2012 полн'!AK12</f>
        <v>233.69600000000003</v>
      </c>
      <c r="J17" s="317">
        <f>'2012 полн'!AL12</f>
        <v>69.76</v>
      </c>
      <c r="K17" s="315">
        <f>'2012 полн'!AM12+'2012 полн'!AN12+'2012 полн'!AP12+'2012 полн'!AQ12+'2012 полн'!AR12+'2012 полн'!AS12+'2012 полн'!AX12</f>
        <v>1304.5120000000002</v>
      </c>
      <c r="L17" s="325">
        <f>'2012 полн'!AU12+'2012 полн'!AV12+'2012 полн'!AW12</f>
        <v>0</v>
      </c>
      <c r="M17" s="316">
        <f>'2012 полн'!BE12</f>
        <v>1607.9679999999998</v>
      </c>
      <c r="N17" s="316">
        <f>'2012 полн'!BF12</f>
        <v>1543.63</v>
      </c>
      <c r="O17" s="316">
        <f>'2012 полн'!BG12</f>
        <v>1885.8600000000001</v>
      </c>
      <c r="P17" s="1"/>
      <c r="Q17" s="1"/>
    </row>
    <row r="18" spans="1:17" ht="12.75" hidden="1">
      <c r="A18" s="237" t="s">
        <v>41</v>
      </c>
      <c r="B18" s="327">
        <f>'2012 полн'!B13</f>
        <v>348.8</v>
      </c>
      <c r="C18" s="327">
        <f>'2012 полн'!C13</f>
        <v>2714.3616</v>
      </c>
      <c r="D18" s="314">
        <f>'2012 полн'!D13</f>
        <v>41.718</v>
      </c>
      <c r="E18" s="315">
        <f>'2012 полн'!U13</f>
        <v>2749.1900000000005</v>
      </c>
      <c r="F18" s="315">
        <f>'2012 полн'!V13</f>
        <v>0</v>
      </c>
      <c r="G18" s="317">
        <f>'2012 полн'!AF13</f>
        <v>378.65999999999997</v>
      </c>
      <c r="H18" s="317">
        <f>'2012 полн'!AG13</f>
        <v>420.378</v>
      </c>
      <c r="I18" s="317">
        <f>'2012 полн'!AK13</f>
        <v>233.69600000000003</v>
      </c>
      <c r="J18" s="317">
        <f>'2012 полн'!AL13</f>
        <v>69.76</v>
      </c>
      <c r="K18" s="315">
        <f>'2012 полн'!AM13+'2012 полн'!AN13+'2012 полн'!AP13+'2012 полн'!AQ13+'2012 полн'!AR13+'2012 полн'!AS13+'2012 полн'!AX13</f>
        <v>1304.5120000000002</v>
      </c>
      <c r="L18" s="325">
        <f>'2012 полн'!AU13+'2012 полн'!AV13+'2012 полн'!AW13</f>
        <v>0</v>
      </c>
      <c r="M18" s="316">
        <f>'2012 полн'!BE13</f>
        <v>1607.9679999999998</v>
      </c>
      <c r="N18" s="316">
        <f>'2012 полн'!BF13</f>
        <v>-1187.59</v>
      </c>
      <c r="O18" s="316">
        <f>'2012 полн'!BG13</f>
        <v>-2370.5300000000007</v>
      </c>
      <c r="P18" s="1"/>
      <c r="Q18" s="1"/>
    </row>
    <row r="19" spans="1:17" ht="12.75" hidden="1">
      <c r="A19" s="237" t="s">
        <v>42</v>
      </c>
      <c r="B19" s="327">
        <f>'2012 полн'!B14</f>
        <v>348.8</v>
      </c>
      <c r="C19" s="327">
        <f>'2012 полн'!C14</f>
        <v>2714.3616</v>
      </c>
      <c r="D19" s="314">
        <f>'2012 полн'!D14</f>
        <v>41.718</v>
      </c>
      <c r="E19" s="315">
        <f>'2012 полн'!U14</f>
        <v>2749.1900000000005</v>
      </c>
      <c r="F19" s="315">
        <f>'2012 полн'!V14</f>
        <v>0</v>
      </c>
      <c r="G19" s="317">
        <f>'2012 полн'!AF14</f>
        <v>426.28</v>
      </c>
      <c r="H19" s="317">
        <f>'2012 полн'!AG14</f>
        <v>467.998</v>
      </c>
      <c r="I19" s="317">
        <f>'2012 полн'!AK14</f>
        <v>233.69600000000003</v>
      </c>
      <c r="J19" s="317">
        <f>'2012 полн'!AL14</f>
        <v>69.76</v>
      </c>
      <c r="K19" s="315">
        <f>'2012 полн'!AM14+'2012 полн'!AN14+'2012 полн'!AP14+'2012 полн'!AQ14+'2012 полн'!AR14+'2012 полн'!AS14+'2012 полн'!AX14</f>
        <v>1304.5120000000002</v>
      </c>
      <c r="L19" s="325">
        <f>'2012 полн'!AU14+'2012 полн'!AV14+'2012 полн'!AW14</f>
        <v>0</v>
      </c>
      <c r="M19" s="316">
        <f>'2012 полн'!BE14</f>
        <v>1607.9679999999998</v>
      </c>
      <c r="N19" s="316">
        <f>'2012 полн'!BF14</f>
        <v>-1139.9699999999998</v>
      </c>
      <c r="O19" s="316">
        <f>'2012 полн'!BG14</f>
        <v>-2322.9100000000008</v>
      </c>
      <c r="P19" s="1"/>
      <c r="Q19" s="1"/>
    </row>
    <row r="20" spans="1:17" ht="12.75" hidden="1">
      <c r="A20" s="237" t="s">
        <v>43</v>
      </c>
      <c r="B20" s="327">
        <f>'2012 полн'!B15</f>
        <v>348.8</v>
      </c>
      <c r="C20" s="327">
        <f>'2012 полн'!C15</f>
        <v>2714.3616</v>
      </c>
      <c r="D20" s="314">
        <f>'2012 полн'!D15</f>
        <v>41.718</v>
      </c>
      <c r="E20" s="315">
        <f>'2012 полн'!U15</f>
        <v>2749.1900000000005</v>
      </c>
      <c r="F20" s="315">
        <f>'2012 полн'!V15</f>
        <v>0</v>
      </c>
      <c r="G20" s="317">
        <f>'2012 полн'!AF15</f>
        <v>423.98</v>
      </c>
      <c r="H20" s="317">
        <f>'2012 полн'!AG15</f>
        <v>465.69800000000004</v>
      </c>
      <c r="I20" s="317">
        <f>'2012 полн'!AK15</f>
        <v>233.69600000000003</v>
      </c>
      <c r="J20" s="317">
        <f>'2012 полн'!AL15</f>
        <v>69.76</v>
      </c>
      <c r="K20" s="315">
        <f>'2012 полн'!AM15+'2012 полн'!AN15+'2012 полн'!AP15+'2012 полн'!AQ15+'2012 полн'!AR15+'2012 полн'!AS15+'2012 полн'!AX15</f>
        <v>1304.5120000000002</v>
      </c>
      <c r="L20" s="325">
        <f>'2012 полн'!AU15+'2012 полн'!AV15+'2012 полн'!AW15</f>
        <v>0</v>
      </c>
      <c r="M20" s="316">
        <f>'2012 полн'!BE15</f>
        <v>1607.9679999999998</v>
      </c>
      <c r="N20" s="316">
        <f>'2012 полн'!BF15</f>
        <v>-1142.2699999999998</v>
      </c>
      <c r="O20" s="316">
        <f>'2012 полн'!BG15</f>
        <v>-2325.2100000000005</v>
      </c>
      <c r="P20" s="1"/>
      <c r="Q20" s="1"/>
    </row>
    <row r="21" spans="1:15" ht="12.75" hidden="1">
      <c r="A21" s="237" t="s">
        <v>44</v>
      </c>
      <c r="B21" s="327">
        <f>'2012 полн'!B16</f>
        <v>348.8</v>
      </c>
      <c r="C21" s="327">
        <f>'2012 полн'!C16</f>
        <v>2714.3616</v>
      </c>
      <c r="D21" s="314">
        <f>'2012 полн'!D16</f>
        <v>41.718</v>
      </c>
      <c r="E21" s="315">
        <f>'2012 полн'!U16</f>
        <v>2749.1900000000005</v>
      </c>
      <c r="F21" s="315">
        <f>'2012 полн'!V16</f>
        <v>0</v>
      </c>
      <c r="G21" s="317">
        <f>'2012 полн'!AF16</f>
        <v>428.70000000000005</v>
      </c>
      <c r="H21" s="317">
        <f>'2012 полн'!AG16</f>
        <v>470.41800000000006</v>
      </c>
      <c r="I21" s="317">
        <f>'2012 полн'!AK16</f>
        <v>233.69600000000003</v>
      </c>
      <c r="J21" s="317">
        <f>'2012 полн'!AL16</f>
        <v>69.76</v>
      </c>
      <c r="K21" s="315">
        <f>'2012 полн'!AM16+'2012 полн'!AN16+'2012 полн'!AP16+'2012 полн'!AQ16+'2012 полн'!AR16+'2012 полн'!AS16+'2012 полн'!AX16</f>
        <v>1388.3720000000003</v>
      </c>
      <c r="L21" s="325">
        <f>'2012 полн'!AU16+'2012 полн'!AV16+'2012 полн'!AW16</f>
        <v>0</v>
      </c>
      <c r="M21" s="316">
        <f>'2012 полн'!BE16</f>
        <v>1691.828</v>
      </c>
      <c r="N21" s="316">
        <f>'2012 полн'!BF16</f>
        <v>-1221.4099999999999</v>
      </c>
      <c r="O21" s="316">
        <f>'2012 полн'!BG16</f>
        <v>-2320.4900000000007</v>
      </c>
    </row>
    <row r="22" spans="1:15" ht="12.75" hidden="1">
      <c r="A22" s="237" t="s">
        <v>45</v>
      </c>
      <c r="B22" s="327">
        <f>'2012 полн'!B17</f>
        <v>348.8</v>
      </c>
      <c r="C22" s="327">
        <f>'2012 полн'!C17</f>
        <v>2714.3616</v>
      </c>
      <c r="D22" s="314">
        <f>'2012 полн'!D17</f>
        <v>41.718</v>
      </c>
      <c r="E22" s="315">
        <f>'2012 полн'!U17</f>
        <v>2749.1900000000005</v>
      </c>
      <c r="F22" s="315">
        <f>'2012 полн'!V17</f>
        <v>0</v>
      </c>
      <c r="G22" s="317">
        <f>'2012 полн'!AF17</f>
        <v>10426.34</v>
      </c>
      <c r="H22" s="317">
        <f>'2012 полн'!AG17</f>
        <v>10468.058</v>
      </c>
      <c r="I22" s="317">
        <f>'2012 полн'!AK17</f>
        <v>233.69600000000003</v>
      </c>
      <c r="J22" s="317">
        <f>'2012 полн'!AL17</f>
        <v>69.76</v>
      </c>
      <c r="K22" s="315">
        <f>'2012 полн'!AM17+'2012 полн'!AN17+'2012 полн'!AP17+'2012 полн'!AQ17+'2012 полн'!AR17+'2012 полн'!AS17+'2012 полн'!AX17</f>
        <v>1304.5120000000002</v>
      </c>
      <c r="L22" s="325">
        <f>'2012 полн'!AU17+'2012 полн'!AV17+'2012 полн'!AW17</f>
        <v>0</v>
      </c>
      <c r="M22" s="316">
        <f>'2012 полн'!BE17</f>
        <v>1607.9679999999998</v>
      </c>
      <c r="N22" s="316">
        <f>'2012 полн'!BF17</f>
        <v>8860.09</v>
      </c>
      <c r="O22" s="316">
        <f>'2012 полн'!BG17</f>
        <v>7677.15</v>
      </c>
    </row>
    <row r="23" spans="1:15" ht="12.75" hidden="1">
      <c r="A23" s="237" t="s">
        <v>46</v>
      </c>
      <c r="B23" s="327">
        <f>'2012 полн'!B18</f>
        <v>348.8</v>
      </c>
      <c r="C23" s="327">
        <f>'2012 полн'!C18</f>
        <v>2714.3616</v>
      </c>
      <c r="D23" s="314">
        <f>'2012 полн'!D18</f>
        <v>41.718</v>
      </c>
      <c r="E23" s="315">
        <f>'2012 полн'!U18</f>
        <v>2749.1900000000005</v>
      </c>
      <c r="F23" s="315">
        <f>'2012 полн'!V18</f>
        <v>0</v>
      </c>
      <c r="G23" s="317">
        <f>'2012 полн'!AF18</f>
        <v>0</v>
      </c>
      <c r="H23" s="317">
        <f>'2012 полн'!AG18</f>
        <v>41.718</v>
      </c>
      <c r="I23" s="317">
        <f>'2012 полн'!AK18</f>
        <v>233.69600000000003</v>
      </c>
      <c r="J23" s="317">
        <f>'2012 полн'!AL18</f>
        <v>69.76</v>
      </c>
      <c r="K23" s="315">
        <f>'2012 полн'!AM18+'2012 полн'!AN18+'2012 полн'!AP18+'2012 полн'!AQ18+'2012 полн'!AR18+'2012 полн'!AS18+'2012 полн'!AX18</f>
        <v>1304.5120000000002</v>
      </c>
      <c r="L23" s="325">
        <f>'2012 полн'!AU18+'2012 полн'!AV18+'2012 полн'!AW18</f>
        <v>0</v>
      </c>
      <c r="M23" s="316">
        <f>'2012 полн'!BE18</f>
        <v>1607.9679999999998</v>
      </c>
      <c r="N23" s="316">
        <f>'2012 полн'!BF18</f>
        <v>-1566.2499999999998</v>
      </c>
      <c r="O23" s="316">
        <f>'2012 полн'!BG18</f>
        <v>-2749.1900000000005</v>
      </c>
    </row>
    <row r="24" spans="1:15" ht="12.75" hidden="1">
      <c r="A24" s="237" t="s">
        <v>47</v>
      </c>
      <c r="B24" s="327">
        <f>'2012 полн'!B19</f>
        <v>348.8</v>
      </c>
      <c r="C24" s="327">
        <f>'2012 полн'!C19</f>
        <v>2714.3616</v>
      </c>
      <c r="D24" s="314">
        <f>'2012 полн'!D19</f>
        <v>41.718</v>
      </c>
      <c r="E24" s="315">
        <f>'2012 полн'!U19</f>
        <v>2749.1900000000005</v>
      </c>
      <c r="F24" s="315">
        <f>'2012 полн'!V19</f>
        <v>0</v>
      </c>
      <c r="G24" s="317">
        <f>'2012 полн'!AF19</f>
        <v>1963.2099999999998</v>
      </c>
      <c r="H24" s="317">
        <f>'2012 полн'!AG19</f>
        <v>2004.9279999999999</v>
      </c>
      <c r="I24" s="317">
        <f>'2012 полн'!AK19</f>
        <v>233.69600000000003</v>
      </c>
      <c r="J24" s="317">
        <f>'2012 полн'!AL19</f>
        <v>69.76</v>
      </c>
      <c r="K24" s="315">
        <f>'2012 полн'!AM19+'2012 полн'!AN19+'2012 полн'!AP19+'2012 полн'!AQ19+'2012 полн'!AR19+'2012 полн'!AS19+'2012 полн'!AX19</f>
        <v>1705.632</v>
      </c>
      <c r="L24" s="325">
        <f>'2012 полн'!AU19+'2012 полн'!AV19+'2012 полн'!AW19</f>
        <v>0</v>
      </c>
      <c r="M24" s="316">
        <f>'2012 полн'!BE19</f>
        <v>2009.0879999999997</v>
      </c>
      <c r="N24" s="316">
        <f>'2012 полн'!BF19</f>
        <v>-4.1599999999998545</v>
      </c>
      <c r="O24" s="316">
        <f>'2012 полн'!BG19</f>
        <v>-785.9800000000007</v>
      </c>
    </row>
    <row r="25" spans="1:15" ht="12.75" hidden="1">
      <c r="A25" s="237" t="s">
        <v>48</v>
      </c>
      <c r="B25" s="327">
        <f>'2012 полн'!B20</f>
        <v>347.5</v>
      </c>
      <c r="C25" s="327">
        <f>'2012 полн'!C20</f>
        <v>2704.245</v>
      </c>
      <c r="D25" s="314">
        <f>'2012 полн'!D20</f>
        <v>41.718</v>
      </c>
      <c r="E25" s="315">
        <f>'2012 полн'!U20</f>
        <v>2739.0699999999997</v>
      </c>
      <c r="F25" s="315">
        <f>'2012 полн'!V20</f>
        <v>0</v>
      </c>
      <c r="G25" s="317">
        <f>'2012 полн'!AF20</f>
        <v>426.46</v>
      </c>
      <c r="H25" s="317">
        <f>'2012 полн'!AG20</f>
        <v>468.178</v>
      </c>
      <c r="I25" s="317">
        <f>'2012 полн'!AK20</f>
        <v>232.82500000000002</v>
      </c>
      <c r="J25" s="317">
        <f>'2012 полн'!AL20</f>
        <v>69.5</v>
      </c>
      <c r="K25" s="315">
        <f>'2012 полн'!AM20+'2012 полн'!AN20+'2012 полн'!AP20+'2012 полн'!AQ20+'2012 полн'!AR20+'2012 полн'!AS20+'2012 полн'!AX20</f>
        <v>1699.275</v>
      </c>
      <c r="L25" s="325">
        <f>'2012 полн'!AU20+'2012 полн'!AV20+'2012 полн'!AW20</f>
        <v>0</v>
      </c>
      <c r="M25" s="316">
        <f>'2012 полн'!BE20</f>
        <v>2001.6000000000001</v>
      </c>
      <c r="N25" s="316">
        <f>'2012 полн'!BF20</f>
        <v>-1533.422</v>
      </c>
      <c r="O25" s="316">
        <f>'2012 полн'!BG20</f>
        <v>-2312.6099999999997</v>
      </c>
    </row>
    <row r="26" spans="1:15" ht="13.5" hidden="1" thickBot="1">
      <c r="A26" s="318" t="s">
        <v>49</v>
      </c>
      <c r="B26" s="327">
        <f>'2012 полн'!B21</f>
        <v>347.5</v>
      </c>
      <c r="C26" s="327">
        <f>'2012 полн'!C21</f>
        <v>2704.245</v>
      </c>
      <c r="D26" s="314">
        <f>'2012 полн'!D21</f>
        <v>41.718</v>
      </c>
      <c r="E26" s="315">
        <f>'2012 полн'!U21</f>
        <v>2739.0699999999997</v>
      </c>
      <c r="F26" s="315">
        <f>'2012 полн'!V21</f>
        <v>0</v>
      </c>
      <c r="G26" s="317">
        <f>'2012 полн'!AF21</f>
        <v>425.89</v>
      </c>
      <c r="H26" s="317">
        <f>'2012 полн'!AG21</f>
        <v>467.608</v>
      </c>
      <c r="I26" s="317">
        <f>'2012 полн'!AK21</f>
        <v>232.82500000000002</v>
      </c>
      <c r="J26" s="317">
        <f>'2012 полн'!AL21</f>
        <v>69.5</v>
      </c>
      <c r="K26" s="315">
        <f>'2012 полн'!AM21+'2012 полн'!AN21+'2012 полн'!AP21+'2012 полн'!AQ21+'2012 полн'!AR21+'2012 полн'!AS21+'2012 полн'!AX21</f>
        <v>1699.275</v>
      </c>
      <c r="L26" s="325">
        <f>'2012 полн'!AU21+'2012 полн'!AV21+'2012 полн'!AW21</f>
        <v>0</v>
      </c>
      <c r="M26" s="338">
        <f>'2012 полн'!BE21</f>
        <v>2001.6000000000001</v>
      </c>
      <c r="N26" s="316">
        <f>'2012 полн'!BF21</f>
        <v>-1533.9920000000002</v>
      </c>
      <c r="O26" s="316">
        <f>'2012 полн'!BG21</f>
        <v>-2313.18</v>
      </c>
    </row>
    <row r="27" spans="1:15" ht="13.5" hidden="1" thickBot="1">
      <c r="A27" s="120" t="s">
        <v>5</v>
      </c>
      <c r="B27" s="123"/>
      <c r="C27" s="343">
        <f>SUM(C15:C26)</f>
        <v>32552.106</v>
      </c>
      <c r="D27" s="343">
        <f aca="true" t="shared" si="0" ref="D27:O27">SUM(D15:D26)</f>
        <v>500.61600000000016</v>
      </c>
      <c r="E27" s="343">
        <f t="shared" si="0"/>
        <v>30821.990000000005</v>
      </c>
      <c r="F27" s="343">
        <f t="shared" si="0"/>
        <v>0</v>
      </c>
      <c r="G27" s="343">
        <f t="shared" si="0"/>
        <v>25547.559999999998</v>
      </c>
      <c r="H27" s="343">
        <f t="shared" si="0"/>
        <v>26048.176</v>
      </c>
      <c r="I27" s="343">
        <f t="shared" si="0"/>
        <v>2802.609999999999</v>
      </c>
      <c r="J27" s="343">
        <f t="shared" si="0"/>
        <v>836.6</v>
      </c>
      <c r="K27" s="343">
        <f t="shared" si="0"/>
        <v>16928.650000000005</v>
      </c>
      <c r="L27" s="343">
        <f t="shared" si="0"/>
        <v>0</v>
      </c>
      <c r="M27" s="343">
        <f t="shared" si="0"/>
        <v>20567.859999999997</v>
      </c>
      <c r="N27" s="343">
        <f t="shared" si="0"/>
        <v>5480.315999999999</v>
      </c>
      <c r="O27" s="343">
        <f t="shared" si="0"/>
        <v>-5274.430000000004</v>
      </c>
    </row>
    <row r="28" spans="1:15" ht="13.5" hidden="1" thickBot="1">
      <c r="A28" s="494" t="s">
        <v>57</v>
      </c>
      <c r="B28" s="495"/>
      <c r="C28" s="495"/>
      <c r="D28" s="495"/>
      <c r="E28" s="121"/>
      <c r="F28" s="121"/>
      <c r="G28" s="342"/>
      <c r="H28" s="121"/>
      <c r="I28" s="342"/>
      <c r="J28" s="121"/>
      <c r="K28" s="121"/>
      <c r="L28" s="121"/>
      <c r="M28" s="339"/>
      <c r="N28" s="340"/>
      <c r="O28" s="341"/>
    </row>
    <row r="29" spans="1:17" s="9" customFormat="1" ht="13.5" thickBot="1">
      <c r="A29" s="125" t="s">
        <v>53</v>
      </c>
      <c r="B29" s="20"/>
      <c r="C29" s="23">
        <f>C27+C13</f>
        <v>150558.00100000002</v>
      </c>
      <c r="D29" s="23">
        <f>D27+D13</f>
        <v>87434.27965075</v>
      </c>
      <c r="E29" s="23">
        <f>E27+E13</f>
        <v>322985.33999999997</v>
      </c>
      <c r="F29" s="23">
        <f>F27+F13</f>
        <v>15804.39</v>
      </c>
      <c r="G29" s="23">
        <f>G27+G13</f>
        <v>222082.21</v>
      </c>
      <c r="H29" s="23">
        <f>H27+H13</f>
        <v>325320.87965074996</v>
      </c>
      <c r="I29" s="23">
        <f>I27+I13</f>
        <v>8382.31</v>
      </c>
      <c r="J29" s="23">
        <f>J27+J13</f>
        <v>2706.272455</v>
      </c>
      <c r="K29" s="23">
        <f>K27+K13</f>
        <v>429260.234465539</v>
      </c>
      <c r="L29" s="23">
        <f>L27+L13</f>
        <v>35303.283599999995</v>
      </c>
      <c r="M29" s="23">
        <f>M27+M13</f>
        <v>475652.100520539</v>
      </c>
      <c r="N29" s="23">
        <f>N27+N13</f>
        <v>-150331.31086978898</v>
      </c>
      <c r="O29" s="23">
        <f>O27+O13</f>
        <v>-100903.13000000002</v>
      </c>
      <c r="P29" s="129"/>
      <c r="Q29" s="90"/>
    </row>
    <row r="30" spans="1:17" ht="13.5" thickBot="1">
      <c r="A30" s="94" t="s">
        <v>122</v>
      </c>
      <c r="B30" s="328"/>
      <c r="C30" s="329"/>
      <c r="D30" s="329"/>
      <c r="E30" s="330"/>
      <c r="F30" s="330"/>
      <c r="G30" s="330"/>
      <c r="H30" s="330"/>
      <c r="I30" s="330"/>
      <c r="J30" s="330"/>
      <c r="K30" s="330"/>
      <c r="L30" s="331"/>
      <c r="M30" s="330"/>
      <c r="N30" s="330"/>
      <c r="O30" s="332"/>
      <c r="P30" s="1"/>
      <c r="Q30" s="1"/>
    </row>
    <row r="31" spans="1:17" ht="12.75">
      <c r="A31" s="326" t="s">
        <v>38</v>
      </c>
      <c r="B31" s="327">
        <f>'2012 полн'!B26</f>
        <v>347.5</v>
      </c>
      <c r="C31" s="327">
        <f>'2012 полн'!C26</f>
        <v>2704.245</v>
      </c>
      <c r="D31" s="314">
        <f>'2012 полн'!D26</f>
        <v>41.717999999999996</v>
      </c>
      <c r="E31" s="315">
        <f>'2012 полн'!U26</f>
        <v>1376.78</v>
      </c>
      <c r="F31" s="315">
        <f>'2012 полн'!V26</f>
        <v>0</v>
      </c>
      <c r="G31" s="317">
        <f>'2012 полн'!AF26</f>
        <v>1611.26</v>
      </c>
      <c r="H31" s="317">
        <f>'2012 полн'!AG26</f>
        <v>1652.978</v>
      </c>
      <c r="I31" s="317">
        <f>'2012 полн'!AK26</f>
        <v>232.82500000000002</v>
      </c>
      <c r="J31" s="317">
        <f>'2012 полн'!AL26</f>
        <v>69.5</v>
      </c>
      <c r="K31" s="315">
        <f>'2012 полн'!AM26+'2012 полн'!AN26+'2012 полн'!AP26+'2012 полн'!AQ26+'2012 полн'!AR26+'2012 полн'!AS26</f>
        <v>1699.275</v>
      </c>
      <c r="L31" s="325">
        <f>'2012 полн'!AU26+'2012 полн'!AV26+'2012 полн'!AW26+'2012 полн'!AX26</f>
        <v>0</v>
      </c>
      <c r="M31" s="316">
        <f>'2012 полн'!BE26</f>
        <v>2001.6000000000001</v>
      </c>
      <c r="N31" s="316">
        <f>'2012 полн'!BF26</f>
        <v>-348.62200000000007</v>
      </c>
      <c r="O31" s="316">
        <f>'2012 полн'!BG26</f>
        <v>234.48000000000002</v>
      </c>
      <c r="P31" s="1"/>
      <c r="Q31" s="1"/>
    </row>
    <row r="32" spans="1:17" ht="12.75">
      <c r="A32" s="237" t="s">
        <v>39</v>
      </c>
      <c r="B32" s="327">
        <f>'2012 полн'!B27</f>
        <v>347.5</v>
      </c>
      <c r="C32" s="327">
        <f>'2012 полн'!C27</f>
        <v>2704.245</v>
      </c>
      <c r="D32" s="314">
        <f>'2012 полн'!D27</f>
        <v>41.717999999999996</v>
      </c>
      <c r="E32" s="315">
        <f>'2012 полн'!U27</f>
        <v>2739.0699999999997</v>
      </c>
      <c r="F32" s="315">
        <f>'2012 полн'!V27</f>
        <v>0</v>
      </c>
      <c r="G32" s="317">
        <f>'2012 полн'!AF27</f>
        <v>1496.73</v>
      </c>
      <c r="H32" s="317">
        <f>'2012 полн'!AG27</f>
        <v>1538.448</v>
      </c>
      <c r="I32" s="317">
        <f>'2012 полн'!AK27</f>
        <v>232.82500000000002</v>
      </c>
      <c r="J32" s="317">
        <f>'2012 полн'!AL27</f>
        <v>69.5</v>
      </c>
      <c r="K32" s="315">
        <f>'2012 полн'!AM27+'2012 полн'!AN27+'2012 полн'!AP27+'2012 полн'!AQ27+'2012 полн'!AR27+'2012 полн'!AS27</f>
        <v>1699.275</v>
      </c>
      <c r="L32" s="325">
        <f>'2012 полн'!AU27+'2012 полн'!AV27+'2012 полн'!AW27+'2012 полн'!AX27</f>
        <v>0</v>
      </c>
      <c r="M32" s="316">
        <f>'2012 полн'!BE27</f>
        <v>2001.6000000000001</v>
      </c>
      <c r="N32" s="316">
        <f>'2012 полн'!BF27</f>
        <v>-463.15200000000004</v>
      </c>
      <c r="O32" s="316">
        <f>'2012 полн'!BG27</f>
        <v>-1242.3399999999997</v>
      </c>
      <c r="P32" s="1"/>
      <c r="Q32" s="1"/>
    </row>
    <row r="33" spans="1:17" ht="12.75">
      <c r="A33" s="237" t="s">
        <v>40</v>
      </c>
      <c r="B33" s="327">
        <f>'2012 полн'!B28</f>
        <v>347.5</v>
      </c>
      <c r="C33" s="327">
        <f>'2012 полн'!C28</f>
        <v>2704.245</v>
      </c>
      <c r="D33" s="314">
        <f>'2012 полн'!D28</f>
        <v>41.717999999999996</v>
      </c>
      <c r="E33" s="315">
        <f>'2012 полн'!U28</f>
        <v>2727.0200000000004</v>
      </c>
      <c r="F33" s="315">
        <f>'2012 полн'!V28</f>
        <v>0</v>
      </c>
      <c r="G33" s="317">
        <f>'2012 полн'!AF28</f>
        <v>778.0699999999999</v>
      </c>
      <c r="H33" s="317">
        <f>'2012 полн'!AG28</f>
        <v>819.7879999999999</v>
      </c>
      <c r="I33" s="317">
        <f>'2012 полн'!AK28</f>
        <v>232.82500000000002</v>
      </c>
      <c r="J33" s="317">
        <f>'2012 полн'!AL28</f>
        <v>69.5</v>
      </c>
      <c r="K33" s="315">
        <f>'2012 полн'!AM28+'2012 полн'!AN28+'2012 полн'!AP28+'2012 полн'!AQ28+'2012 полн'!AR28+'2012 полн'!AS28</f>
        <v>1699.275</v>
      </c>
      <c r="L33" s="325">
        <f>'2012 полн'!AU28+'2012 полн'!AV28+'2012 полн'!AW28+'2012 полн'!AX28</f>
        <v>0</v>
      </c>
      <c r="M33" s="316">
        <f>'2012 полн'!BE28</f>
        <v>2001.6000000000001</v>
      </c>
      <c r="N33" s="316">
        <f>'2012 полн'!BF28</f>
        <v>-1181.8120000000004</v>
      </c>
      <c r="O33" s="316">
        <f>'2012 полн'!BG28</f>
        <v>-1948.9500000000005</v>
      </c>
      <c r="P33" s="1"/>
      <c r="Q33" s="1"/>
    </row>
    <row r="34" spans="1:17" ht="12.75">
      <c r="A34" s="237" t="s">
        <v>41</v>
      </c>
      <c r="B34" s="327">
        <f>'2012 полн'!B29</f>
        <v>347.5</v>
      </c>
      <c r="C34" s="327">
        <f>'2012 полн'!C29</f>
        <v>2704.245</v>
      </c>
      <c r="D34" s="314">
        <f>'2012 полн'!D29</f>
        <v>41.717999999999996</v>
      </c>
      <c r="E34" s="315">
        <f>'2012 полн'!U29</f>
        <v>2710.3599999999997</v>
      </c>
      <c r="F34" s="315">
        <f>'2012 полн'!V29</f>
        <v>0</v>
      </c>
      <c r="G34" s="317">
        <f>'2012 полн'!AF29</f>
        <v>426.69</v>
      </c>
      <c r="H34" s="317">
        <f>'2012 полн'!AG29</f>
        <v>468.408</v>
      </c>
      <c r="I34" s="317">
        <f>'2012 полн'!AK29</f>
        <v>232.82500000000002</v>
      </c>
      <c r="J34" s="317">
        <f>'2012 полн'!AL29</f>
        <v>69.5</v>
      </c>
      <c r="K34" s="315">
        <f>'2012 полн'!AM29+'2012 полн'!AN29+'2012 полн'!AP29+'2012 полн'!AQ29+'2012 полн'!AR29+'2012 полн'!AS29</f>
        <v>1299.65</v>
      </c>
      <c r="L34" s="325">
        <f>'2012 полн'!AU29+'2012 полн'!AV29+'2012 полн'!AW29+'2012 полн'!AX29</f>
        <v>0</v>
      </c>
      <c r="M34" s="316">
        <f>'2012 полн'!BE29</f>
        <v>1601.9750000000001</v>
      </c>
      <c r="N34" s="316">
        <f>'2012 полн'!BF29</f>
        <v>-1133.567</v>
      </c>
      <c r="O34" s="316">
        <f>'2012 полн'!BG29</f>
        <v>-2283.6699999999996</v>
      </c>
      <c r="P34" s="1"/>
      <c r="Q34" s="1"/>
    </row>
    <row r="35" spans="1:17" ht="12.75">
      <c r="A35" s="237" t="s">
        <v>42</v>
      </c>
      <c r="B35" s="327">
        <f>'2012 полн'!B30</f>
        <v>347.5</v>
      </c>
      <c r="C35" s="327">
        <f>'2012 полн'!C30</f>
        <v>2704.245</v>
      </c>
      <c r="D35" s="314">
        <f>'2012 полн'!D30</f>
        <v>41.717999999999996</v>
      </c>
      <c r="E35" s="315">
        <f>'2012 полн'!U30</f>
        <v>2710.3599999999997</v>
      </c>
      <c r="F35" s="315">
        <f>'2012 полн'!V30</f>
        <v>0</v>
      </c>
      <c r="G35" s="317">
        <f>'2012 полн'!AF30</f>
        <v>2220.96</v>
      </c>
      <c r="H35" s="317">
        <f>'2012 полн'!AG30</f>
        <v>2262.678</v>
      </c>
      <c r="I35" s="317">
        <f>'2012 полн'!AK30</f>
        <v>232.82500000000002</v>
      </c>
      <c r="J35" s="317">
        <f>'2012 полн'!AL30</f>
        <v>69.5</v>
      </c>
      <c r="K35" s="315">
        <f>'2012 полн'!AM30+'2012 полн'!AN30+'2012 полн'!AP30+'2012 полн'!AQ30+'2012 полн'!AR30+'2012 полн'!AS30</f>
        <v>1299.65</v>
      </c>
      <c r="L35" s="325">
        <f>'2012 полн'!AU30+'2012 полн'!AV30+'2012 полн'!AW30+'2012 полн'!AX30</f>
        <v>0</v>
      </c>
      <c r="M35" s="316">
        <f>'2012 полн'!BE30</f>
        <v>1601.9750000000001</v>
      </c>
      <c r="N35" s="316">
        <f>'2012 полн'!BF30</f>
        <v>660.7029999999997</v>
      </c>
      <c r="O35" s="316">
        <f>'2012 полн'!BG30</f>
        <v>-489.39999999999964</v>
      </c>
      <c r="P35" s="1"/>
      <c r="Q35" s="1"/>
    </row>
    <row r="36" spans="1:17" ht="12.75">
      <c r="A36" s="237" t="s">
        <v>43</v>
      </c>
      <c r="B36" s="327">
        <f>'2012 полн'!B31</f>
        <v>347.5</v>
      </c>
      <c r="C36" s="327">
        <f>'2012 полн'!C31</f>
        <v>2704.245</v>
      </c>
      <c r="D36" s="314">
        <f>'2012 полн'!D31</f>
        <v>41.717999999999996</v>
      </c>
      <c r="E36" s="315">
        <f>'2012 полн'!U31</f>
        <v>2710.36</v>
      </c>
      <c r="F36" s="315">
        <f>'2012 полн'!V31</f>
        <v>0</v>
      </c>
      <c r="G36" s="317">
        <f>'2012 полн'!AF31</f>
        <v>1372.4699999999998</v>
      </c>
      <c r="H36" s="317">
        <f>'2012 полн'!AG31</f>
        <v>1414.1879999999999</v>
      </c>
      <c r="I36" s="317">
        <f>'2012 полн'!AK31</f>
        <v>232.82500000000002</v>
      </c>
      <c r="J36" s="317">
        <f>'2012 полн'!AL31</f>
        <v>69.5</v>
      </c>
      <c r="K36" s="315">
        <f>'2012 полн'!AM31+'2012 полн'!AN31+'2012 полн'!AP31+'2012 полн'!AQ31+'2012 полн'!AR31+'2012 полн'!AS31</f>
        <v>1299.65</v>
      </c>
      <c r="L36" s="325">
        <f>'2012 полн'!AU31+'2012 полн'!AV31+'2012 полн'!AW31+'2012 полн'!AX31</f>
        <v>0</v>
      </c>
      <c r="M36" s="316">
        <f>'2012 полн'!BE31</f>
        <v>1601.9750000000001</v>
      </c>
      <c r="N36" s="316">
        <f>'2012 полн'!BF31</f>
        <v>-187.78700000000026</v>
      </c>
      <c r="O36" s="316">
        <f>'2012 полн'!BG31</f>
        <v>-1337.8900000000003</v>
      </c>
      <c r="P36" s="1"/>
      <c r="Q36" s="1"/>
    </row>
    <row r="37" spans="1:15" ht="12.75">
      <c r="A37" s="237" t="s">
        <v>44</v>
      </c>
      <c r="B37" s="327">
        <f>'2012 полн'!B32</f>
        <v>347.5</v>
      </c>
      <c r="C37" s="327">
        <f>'2012 полн'!C32</f>
        <v>2974.2525</v>
      </c>
      <c r="D37" s="314">
        <f>'2012 полн'!D32</f>
        <v>55.8285</v>
      </c>
      <c r="E37" s="315">
        <f>'2012 полн'!U32</f>
        <v>2982</v>
      </c>
      <c r="F37" s="315">
        <f>'2012 полн'!V32</f>
        <v>0</v>
      </c>
      <c r="G37" s="317">
        <f>'2012 полн'!AF32</f>
        <v>848.99</v>
      </c>
      <c r="H37" s="317">
        <f>'2012 полн'!AG32</f>
        <v>904.8185</v>
      </c>
      <c r="I37" s="317">
        <f>'2012 полн'!AK32</f>
        <v>260.625</v>
      </c>
      <c r="J37" s="317">
        <f>'2012 полн'!AL32</f>
        <v>69.5</v>
      </c>
      <c r="K37" s="315">
        <f>'2012 полн'!AM32+'2012 полн'!AN32+'2012 полн'!AP32+'2012 полн'!AQ32+'2012 полн'!AR32+'2012 полн'!AS32</f>
        <v>1299.65</v>
      </c>
      <c r="L37" s="325">
        <f>'2012 полн'!AU32+'2012 полн'!AV32+'2012 полн'!AW32+'2012 полн'!AX32</f>
        <v>0</v>
      </c>
      <c r="M37" s="316">
        <f>'2012 полн'!BE32</f>
        <v>1629.775</v>
      </c>
      <c r="N37" s="316">
        <f>'2012 полн'!BF32</f>
        <v>-724.9565000000001</v>
      </c>
      <c r="O37" s="316">
        <f>'2012 полн'!BG32</f>
        <v>-2133.01</v>
      </c>
    </row>
    <row r="38" spans="1:15" ht="12.75">
      <c r="A38" s="237" t="s">
        <v>45</v>
      </c>
      <c r="B38" s="327">
        <f>'2012 полн'!B33</f>
        <v>347.5</v>
      </c>
      <c r="C38" s="327">
        <f>'2012 полн'!C33</f>
        <v>2974.2525</v>
      </c>
      <c r="D38" s="314">
        <f>'2012 полн'!D33</f>
        <v>0</v>
      </c>
      <c r="E38" s="315">
        <f>'2012 полн'!U33</f>
        <v>2982.01</v>
      </c>
      <c r="F38" s="315">
        <f>'2012 полн'!V33</f>
        <v>0</v>
      </c>
      <c r="G38" s="317">
        <f>'2012 полн'!AF33</f>
        <v>922.21</v>
      </c>
      <c r="H38" s="317">
        <f>'2012 полн'!AG33</f>
        <v>922.21</v>
      </c>
      <c r="I38" s="317">
        <f>'2012 полн'!AK33</f>
        <v>260.625</v>
      </c>
      <c r="J38" s="317">
        <f>'2012 полн'!AL33</f>
        <v>69.5</v>
      </c>
      <c r="K38" s="315">
        <f>'2012 полн'!AM33+'2012 полн'!AN33+'2012 полн'!AP33+'2012 полн'!AQ33+'2012 полн'!AR33+'2012 полн'!AS33</f>
        <v>1299.65</v>
      </c>
      <c r="L38" s="325">
        <f>'2012 полн'!AU33+'2012 полн'!AV33+'2012 полн'!AW33+'2012 полн'!AX33</f>
        <v>0</v>
      </c>
      <c r="M38" s="316">
        <f>'2012 полн'!BE33</f>
        <v>1629.775</v>
      </c>
      <c r="N38" s="316">
        <f>'2012 полн'!BF33</f>
        <v>-707.565</v>
      </c>
      <c r="O38" s="316">
        <f>'2012 полн'!BG33</f>
        <v>-2059.8</v>
      </c>
    </row>
    <row r="39" spans="1:15" ht="12.75">
      <c r="A39" s="237" t="s">
        <v>46</v>
      </c>
      <c r="B39" s="327">
        <f>'2012 полн'!B34</f>
        <v>347.5</v>
      </c>
      <c r="C39" s="327">
        <f>'2012 полн'!C34</f>
        <v>2974.2525</v>
      </c>
      <c r="D39" s="314">
        <f>'2012 полн'!D34</f>
        <v>0</v>
      </c>
      <c r="E39" s="315">
        <f>'2012 полн'!U34</f>
        <v>2982.01</v>
      </c>
      <c r="F39" s="315">
        <f>'2012 полн'!V34</f>
        <v>0</v>
      </c>
      <c r="G39" s="317">
        <f>'2012 полн'!AF34</f>
        <v>474.02</v>
      </c>
      <c r="H39" s="317">
        <f>'2012 полн'!AG34</f>
        <v>474.02</v>
      </c>
      <c r="I39" s="317">
        <f>'2012 полн'!AK34</f>
        <v>260.625</v>
      </c>
      <c r="J39" s="317">
        <f>'2012 полн'!AL34</f>
        <v>69.5</v>
      </c>
      <c r="K39" s="315">
        <f>'2012 полн'!AM34+'2012 полн'!AN34+'2012 полн'!AP34+'2012 полн'!AQ34+'2012 полн'!AR34+'2012 полн'!AS34</f>
        <v>1299.65</v>
      </c>
      <c r="L39" s="325">
        <f>'2012 полн'!AU34+'2012 полн'!AV34+'2012 полн'!AW34+'2012 полн'!AX34</f>
        <v>0</v>
      </c>
      <c r="M39" s="316">
        <f>'2012 полн'!BE34</f>
        <v>1629.775</v>
      </c>
      <c r="N39" s="316">
        <f>'2012 полн'!BF34</f>
        <v>-1155.755</v>
      </c>
      <c r="O39" s="316">
        <f>'2012 полн'!BG34</f>
        <v>-2507.9900000000002</v>
      </c>
    </row>
    <row r="40" spans="1:15" ht="12.75">
      <c r="A40" s="237" t="s">
        <v>47</v>
      </c>
      <c r="B40" s="327">
        <f>'2012 полн'!B35</f>
        <v>347.5</v>
      </c>
      <c r="C40" s="327">
        <f>'2012 полн'!C35</f>
        <v>2974.2525</v>
      </c>
      <c r="D40" s="314">
        <f>'2012 полн'!D35</f>
        <v>0</v>
      </c>
      <c r="E40" s="315">
        <f>'2012 полн'!U35</f>
        <v>2982.01</v>
      </c>
      <c r="F40" s="315">
        <f>'2012 полн'!V35</f>
        <v>0</v>
      </c>
      <c r="G40" s="317">
        <f>'2012 полн'!AF35</f>
        <v>2237.78</v>
      </c>
      <c r="H40" s="317">
        <f>'2012 полн'!AG35</f>
        <v>2237.78</v>
      </c>
      <c r="I40" s="317">
        <f>'2012 полн'!AK35</f>
        <v>260.625</v>
      </c>
      <c r="J40" s="317">
        <f>'2012 полн'!AL35</f>
        <v>69.5</v>
      </c>
      <c r="K40" s="315">
        <f>'2012 полн'!AM35+'2012 полн'!AN35+'2012 полн'!AP35+'2012 полн'!AQ35+'2012 полн'!AR35+'2012 полн'!AS35</f>
        <v>1699.275</v>
      </c>
      <c r="L40" s="325">
        <f>'2012 полн'!AU35+'2012 полн'!AV35+'2012 полн'!AW35+'2012 полн'!AX35</f>
        <v>0</v>
      </c>
      <c r="M40" s="316">
        <f>'2012 полн'!BE35</f>
        <v>2029.4</v>
      </c>
      <c r="N40" s="316">
        <f>'2012 полн'!BF35</f>
        <v>208.3800000000001</v>
      </c>
      <c r="O40" s="316">
        <f>'2012 полн'!BG35</f>
        <v>-744.23</v>
      </c>
    </row>
    <row r="41" spans="1:15" ht="12.75">
      <c r="A41" s="237" t="s">
        <v>48</v>
      </c>
      <c r="B41" s="327">
        <f>'2012 полн'!B36</f>
        <v>347.5</v>
      </c>
      <c r="C41" s="327">
        <f>'2012 полн'!C36</f>
        <v>2974.2525</v>
      </c>
      <c r="D41" s="314">
        <f>'2012 полн'!D36</f>
        <v>0</v>
      </c>
      <c r="E41" s="315">
        <f>'2012 полн'!U36</f>
        <v>2982.01</v>
      </c>
      <c r="F41" s="315">
        <f>'2012 полн'!V36</f>
        <v>0</v>
      </c>
      <c r="G41" s="317">
        <f>'2012 полн'!AF36</f>
        <v>903.3100000000001</v>
      </c>
      <c r="H41" s="317">
        <f>'2012 полн'!AG36</f>
        <v>903.3100000000001</v>
      </c>
      <c r="I41" s="317">
        <f>'2012 полн'!AK36</f>
        <v>260.625</v>
      </c>
      <c r="J41" s="317">
        <f>'2012 полн'!AL36</f>
        <v>69.5</v>
      </c>
      <c r="K41" s="315">
        <f>'2012 полн'!AM36+'2012 полн'!AN36+'2012 полн'!AP36+'2012 полн'!AQ36+'2012 полн'!AR36+'2012 полн'!AS36</f>
        <v>1699.275</v>
      </c>
      <c r="L41" s="325">
        <f>'2012 полн'!AU36+'2012 полн'!AV36+'2012 полн'!AW36+'2012 полн'!AX36</f>
        <v>0</v>
      </c>
      <c r="M41" s="316">
        <f>'2012 полн'!BE36</f>
        <v>2029.4</v>
      </c>
      <c r="N41" s="316">
        <f>'2012 полн'!BF36</f>
        <v>-1126.0900000000001</v>
      </c>
      <c r="O41" s="316">
        <f>'2012 полн'!BG36</f>
        <v>-2078.7000000000003</v>
      </c>
    </row>
    <row r="42" spans="1:15" ht="13.5" thickBot="1">
      <c r="A42" s="318" t="s">
        <v>49</v>
      </c>
      <c r="B42" s="327">
        <f>'2012 полн'!B37</f>
        <v>347.5</v>
      </c>
      <c r="C42" s="327">
        <f>'2012 полн'!C37</f>
        <v>2974.2525</v>
      </c>
      <c r="D42" s="314">
        <f>'2012 полн'!D37</f>
        <v>0</v>
      </c>
      <c r="E42" s="315">
        <f>'2012 полн'!U37</f>
        <v>1483.15</v>
      </c>
      <c r="F42" s="315">
        <f>'2012 полн'!V37</f>
        <v>0</v>
      </c>
      <c r="G42" s="317">
        <f>'2012 полн'!AF37</f>
        <v>366.97</v>
      </c>
      <c r="H42" s="317">
        <f>'2012 полн'!AG37</f>
        <v>366.97</v>
      </c>
      <c r="I42" s="317">
        <f>'2012 полн'!AK37</f>
        <v>260.625</v>
      </c>
      <c r="J42" s="317">
        <f>'2012 полн'!AL37</f>
        <v>69.5</v>
      </c>
      <c r="K42" s="315">
        <f>'2012 полн'!AM37+'2012 полн'!AN37+'2012 полн'!AP37+'2012 полн'!AQ37+'2012 полн'!AR37+'2012 полн'!AS37</f>
        <v>1699.275</v>
      </c>
      <c r="L42" s="325">
        <f>'2012 полн'!AU37+'2012 полн'!AV37+'2012 полн'!AW37+'2012 полн'!AX37</f>
        <v>1884</v>
      </c>
      <c r="M42" s="338">
        <f>'2012 полн'!BE37</f>
        <v>3913.4</v>
      </c>
      <c r="N42" s="316">
        <f>'2012 полн'!BF37</f>
        <v>-3546.4300000000003</v>
      </c>
      <c r="O42" s="316">
        <f>'2012 полн'!BG37</f>
        <v>-1116.18</v>
      </c>
    </row>
    <row r="43" spans="1:15" ht="13.5" thickBot="1">
      <c r="A43" s="120" t="s">
        <v>5</v>
      </c>
      <c r="B43" s="123"/>
      <c r="C43" s="343">
        <f>SUM(C31:C42)</f>
        <v>34070.98499999999</v>
      </c>
      <c r="D43" s="343">
        <f aca="true" t="shared" si="1" ref="D43:O43">SUM(D31:D42)</f>
        <v>306.13649999999996</v>
      </c>
      <c r="E43" s="343">
        <f t="shared" si="1"/>
        <v>31367.140000000007</v>
      </c>
      <c r="F43" s="343">
        <f t="shared" si="1"/>
        <v>0</v>
      </c>
      <c r="G43" s="343">
        <f t="shared" si="1"/>
        <v>13659.459999999997</v>
      </c>
      <c r="H43" s="343">
        <f t="shared" si="1"/>
        <v>13965.596500000001</v>
      </c>
      <c r="I43" s="343">
        <f t="shared" si="1"/>
        <v>2960.7</v>
      </c>
      <c r="J43" s="343">
        <f t="shared" si="1"/>
        <v>834</v>
      </c>
      <c r="K43" s="343">
        <f t="shared" si="1"/>
        <v>17993.55</v>
      </c>
      <c r="L43" s="343">
        <f t="shared" si="1"/>
        <v>1884</v>
      </c>
      <c r="M43" s="343">
        <f t="shared" si="1"/>
        <v>23672.250000000004</v>
      </c>
      <c r="N43" s="343">
        <f t="shared" si="1"/>
        <v>-9706.6535</v>
      </c>
      <c r="O43" s="343">
        <f t="shared" si="1"/>
        <v>-17707.679999999997</v>
      </c>
    </row>
    <row r="44" spans="1:15" ht="13.5" thickBot="1">
      <c r="A44" s="494" t="s">
        <v>57</v>
      </c>
      <c r="B44" s="495"/>
      <c r="C44" s="495"/>
      <c r="D44" s="495"/>
      <c r="E44" s="121"/>
      <c r="F44" s="121"/>
      <c r="G44" s="342"/>
      <c r="H44" s="121"/>
      <c r="I44" s="342"/>
      <c r="J44" s="121"/>
      <c r="K44" s="121"/>
      <c r="L44" s="121"/>
      <c r="M44" s="339"/>
      <c r="N44" s="340"/>
      <c r="O44" s="341"/>
    </row>
    <row r="45" spans="1:17" s="9" customFormat="1" ht="13.5" thickBot="1">
      <c r="A45" s="335" t="s">
        <v>53</v>
      </c>
      <c r="B45" s="336"/>
      <c r="C45" s="337">
        <f>C43+C29</f>
        <v>184628.986</v>
      </c>
      <c r="D45" s="337">
        <f>D43+D29</f>
        <v>87740.41615075</v>
      </c>
      <c r="E45" s="337">
        <f>E43+E29</f>
        <v>354352.48</v>
      </c>
      <c r="F45" s="337">
        <f>F43+F29</f>
        <v>15804.39</v>
      </c>
      <c r="G45" s="337">
        <f>G43+G29</f>
        <v>235741.66999999998</v>
      </c>
      <c r="H45" s="337">
        <f>H43+H29</f>
        <v>339286.47615074995</v>
      </c>
      <c r="I45" s="337">
        <f>I43+I29</f>
        <v>11343.009999999998</v>
      </c>
      <c r="J45" s="337">
        <f>J43+J29</f>
        <v>3540.272455</v>
      </c>
      <c r="K45" s="337">
        <f>K43+K29</f>
        <v>447253.784465539</v>
      </c>
      <c r="L45" s="337">
        <f>L43+L29</f>
        <v>37187.283599999995</v>
      </c>
      <c r="M45" s="337">
        <f>M43+M29</f>
        <v>499324.350520539</v>
      </c>
      <c r="N45" s="337">
        <f>N43+N29</f>
        <v>-160037.964369789</v>
      </c>
      <c r="O45" s="337">
        <f>O43+O29</f>
        <v>-118610.81000000001</v>
      </c>
      <c r="P45" s="129"/>
      <c r="Q45" s="90"/>
    </row>
    <row r="47" spans="1:16" ht="12.75">
      <c r="A47" s="9" t="s">
        <v>83</v>
      </c>
      <c r="D47" s="227" t="s">
        <v>124</v>
      </c>
      <c r="O47" s="1"/>
      <c r="P47" s="1"/>
    </row>
    <row r="48" spans="1:16" ht="12.75">
      <c r="A48" s="228" t="s">
        <v>85</v>
      </c>
      <c r="B48" s="228" t="s">
        <v>86</v>
      </c>
      <c r="C48" s="412" t="s">
        <v>87</v>
      </c>
      <c r="D48" s="412"/>
      <c r="O48" s="1"/>
      <c r="P48" s="1"/>
    </row>
    <row r="49" spans="1:16" ht="12.75">
      <c r="A49" s="229">
        <v>19476.77</v>
      </c>
      <c r="B49" s="229">
        <v>11394</v>
      </c>
      <c r="C49" s="413">
        <f>A49-B49</f>
        <v>8082.77</v>
      </c>
      <c r="D49" s="414"/>
      <c r="O49" s="1"/>
      <c r="P49" s="1"/>
    </row>
    <row r="50" spans="1:16" ht="12.75">
      <c r="A50" s="230"/>
      <c r="O50" s="1"/>
      <c r="P50" s="1"/>
    </row>
    <row r="51" spans="1:16" ht="12.75">
      <c r="A51" s="2" t="s">
        <v>88</v>
      </c>
      <c r="G51" s="2" t="s">
        <v>89</v>
      </c>
      <c r="O51" s="1"/>
      <c r="P51" s="1"/>
    </row>
    <row r="52" ht="12.75">
      <c r="A52" s="1"/>
    </row>
    <row r="53" ht="12.75">
      <c r="A53" s="227" t="s">
        <v>120</v>
      </c>
    </row>
    <row r="54" ht="12.75">
      <c r="A54" s="2" t="s">
        <v>91</v>
      </c>
    </row>
  </sheetData>
  <sheetProtection/>
  <mergeCells count="26">
    <mergeCell ref="A44:D44"/>
    <mergeCell ref="B1:H1"/>
    <mergeCell ref="B2:H2"/>
    <mergeCell ref="A5:L5"/>
    <mergeCell ref="A6:G6"/>
    <mergeCell ref="A7:D7"/>
    <mergeCell ref="E7:F7"/>
    <mergeCell ref="K10:K11"/>
    <mergeCell ref="L10:L11"/>
    <mergeCell ref="M10:M11"/>
    <mergeCell ref="A8:A11"/>
    <mergeCell ref="B8:B11"/>
    <mergeCell ref="C8:C11"/>
    <mergeCell ref="D8:D11"/>
    <mergeCell ref="E8:F9"/>
    <mergeCell ref="G8:H9"/>
    <mergeCell ref="C48:D48"/>
    <mergeCell ref="C49:D49"/>
    <mergeCell ref="A28:D28"/>
    <mergeCell ref="I8:M9"/>
    <mergeCell ref="N8:N11"/>
    <mergeCell ref="O8:O11"/>
    <mergeCell ref="E10:F10"/>
    <mergeCell ref="H10:H11"/>
    <mergeCell ref="I10:I11"/>
    <mergeCell ref="J10:J11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Мадемуазель</cp:lastModifiedBy>
  <cp:lastPrinted>2010-06-24T10:43:01Z</cp:lastPrinted>
  <dcterms:created xsi:type="dcterms:W3CDTF">2009-12-17T17:19:55Z</dcterms:created>
  <dcterms:modified xsi:type="dcterms:W3CDTF">2013-05-26T07:26:29Z</dcterms:modified>
  <cp:category/>
  <cp:version/>
  <cp:contentType/>
  <cp:contentStatus/>
</cp:coreProperties>
</file>