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<sst xmlns="http://schemas.openxmlformats.org/spreadsheetml/2006/main" count="337" uniqueCount="130">
  <si>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</si>
  <si>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</si>
  <si>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</si>
  <si>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</si>
  <si>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</si>
  <si>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</si>
  <si>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</si>
  <si>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</si>
  <si>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</si>
  <si>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</si>
  <si>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</si>
  <si>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</si>
  <si>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</si>
  <si>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</si>
  <si>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</si>
  <si>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</si>
  <si>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</si>
  <si>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</si>
  <si>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</si>
  <si>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</si>
  <si>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</si>
  <si>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</si>
  <si>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</si>
  <si>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</si>
  <si>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</si>
  <si>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</si>
  <si>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</si>
  <si>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</si>
  <si>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</si>
  <si>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</si>
  <si>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</si>
  <si>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</si>
  <si>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</si>
  <si>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</si>
  <si>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</si>
  <si>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</si>
  <si>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</si>
  <si>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</si>
  <si>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</si>
  <si>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</si>
  <si>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</si>
  <si>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</si>
  <si>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</si>
  <si>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</si>
  <si>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</si>
  <si>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</si>
  <si>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</si>
  <si>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</si>
  <si>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</si>
  <si>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</si>
  <si>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</si>
  <si>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</si>
  <si>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</si>
  <si>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</si>
  <si>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</si>
  <si>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</si>
  <si>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</si>
  <si>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</si>
  <si>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Собрано квартплаты от населения</t>
  </si>
  <si>
    <t>Остаток на Л/СЧ дома (доходы- расходы)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</si>
  <si>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</si>
  <si>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</si>
  <si>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</si>
  <si>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</si>
  <si>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</si>
  <si>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</si>
  <si>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</si>
  <si>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</si>
  <si>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</si>
  <si>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>тел. 3-48-80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</si>
  <si>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</si>
  <si>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</si>
  <si>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</si>
  <si>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</si>
  <si>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</si>
  <si>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Выписка по лицевому счету по адресу г. Таштагол ул. Ноградская, 8</t>
  </si>
  <si>
    <t>Начислено по содержанию и тек. ремонту</t>
  </si>
  <si>
    <t>квартплата</t>
  </si>
  <si>
    <t>Лицевой счет по адресу г. Таштагол, ул. Ноградская, д. 8</t>
  </si>
  <si>
    <t>Собрано всего по жил.услугам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</si>
  <si>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</si>
  <si>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</si>
  <si>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</si>
  <si>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</si>
  <si>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</si>
  <si>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</si>
  <si>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</si>
  <si>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</si>
  <si>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</si>
  <si>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</si>
  <si>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</si>
  <si>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№п/п</t>
  </si>
  <si>
    <t>*по состоянию на 01.01.2011 г.</t>
  </si>
  <si>
    <t>на 01.01.2011 г.</t>
  </si>
  <si>
    <t>на начало отчетного периода</t>
  </si>
  <si>
    <t>Исп. Ю.С. Дмитриева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</si>
  <si>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</si>
  <si>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</si>
  <si>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</si>
  <si>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</si>
  <si>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</si>
  <si>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</si>
  <si>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</si>
  <si>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</si>
  <si>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</si>
  <si>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</si>
  <si>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</si>
  <si>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</si>
  <si>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</si>
  <si>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</si>
  <si>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</si>
  <si>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</si>
  <si>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</si>
  <si>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</si>
  <si>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</si>
  <si>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</si>
  <si>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</si>
  <si>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</si>
  <si>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Начислено квартплаты</t>
  </si>
  <si>
    <t xml:space="preserve">Доходы от нежилых помещений </t>
  </si>
  <si>
    <t>по содержанию и тек. ремонту</t>
  </si>
  <si>
    <t>Услуга начисления</t>
  </si>
  <si>
    <t>Расходы по нежилым помещениям</t>
  </si>
  <si>
    <t>Исп. В.В. Колмогорова</t>
  </si>
  <si>
    <t>Выписка по лицевому счету по адресу г. Таштагол ул. Ноградская, д.8</t>
  </si>
  <si>
    <t>Лицевой счет по адресу г. Таштагол, ул. Ноградская, д.8</t>
  </si>
  <si>
    <t>на 01.01.2013 г.</t>
  </si>
  <si>
    <t>2012 год</t>
  </si>
  <si>
    <t>*по состоянию на 01.05.2013 г.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</si>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</sst>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 wrapText="1"/>
    </xf>
    <xf numFmtId="4" fontId="0" fillId="36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8" borderId="20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wrapText="1"/>
    </xf>
    <xf numFmtId="4" fontId="1" fillId="35" borderId="24" xfId="0" applyNumberFormat="1" applyFont="1" applyFill="1" applyBorder="1" applyAlignment="1">
      <alignment wrapText="1"/>
    </xf>
    <xf numFmtId="4" fontId="1" fillId="33" borderId="24" xfId="0" applyNumberFormat="1" applyFont="1" applyFill="1" applyBorder="1" applyAlignment="1">
      <alignment wrapText="1"/>
    </xf>
    <xf numFmtId="4" fontId="1" fillId="0" borderId="26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9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0" fontId="0" fillId="0" borderId="45" xfId="0" applyFont="1" applyFill="1" applyBorder="1" applyAlignment="1">
      <alignment/>
    </xf>
    <xf numFmtId="4" fontId="2" fillId="0" borderId="37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44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1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0" borderId="37" xfId="0" applyNumberFormat="1" applyFont="1" applyBorder="1" applyAlignment="1">
      <alignment horizontal="center"/>
    </xf>
    <xf numFmtId="4" fontId="2" fillId="39" borderId="11" xfId="34" applyNumberFormat="1" applyFont="1" applyFill="1" applyBorder="1" applyAlignment="1">
      <alignment horizontal="center" vertical="center" wrapText="1"/>
      <protection/>
    </xf>
    <xf numFmtId="0" fontId="1" fillId="0" borderId="46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/>
    </xf>
    <xf numFmtId="4" fontId="0" fillId="0" borderId="37" xfId="0" applyNumberFormat="1" applyFont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5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1" xfId="0" applyNumberFormat="1" applyFont="1" applyFill="1" applyBorder="1" applyAlignment="1">
      <alignment horizontal="center"/>
    </xf>
    <xf numFmtId="4" fontId="0" fillId="36" borderId="3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6" borderId="31" xfId="0" applyFont="1" applyFill="1" applyBorder="1" applyAlignment="1">
      <alignment horizontal="center"/>
    </xf>
    <xf numFmtId="0" fontId="2" fillId="0" borderId="3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6" borderId="31" xfId="0" applyFont="1" applyFill="1" applyBorder="1" applyAlignment="1">
      <alignment/>
    </xf>
    <xf numFmtId="0" fontId="11" fillId="0" borderId="37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47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2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56" xfId="0" applyFont="1" applyFill="1" applyBorder="1" applyAlignment="1">
      <alignment horizontal="center" vertical="center" wrapText="1"/>
    </xf>
    <xf numFmtId="4" fontId="0" fillId="0" borderId="49" xfId="0" applyNumberFormat="1" applyFont="1" applyFill="1" applyBorder="1" applyAlignment="1">
      <alignment horizontal="right" wrapText="1"/>
    </xf>
    <xf numFmtId="4" fontId="2" fillId="0" borderId="50" xfId="34" applyNumberFormat="1" applyFont="1" applyFill="1" applyBorder="1" applyAlignment="1">
      <alignment horizontal="right" vertical="center" wrapText="1"/>
      <protection/>
    </xf>
    <xf numFmtId="4" fontId="2" fillId="0" borderId="56" xfId="34" applyNumberFormat="1" applyFont="1" applyFill="1" applyBorder="1" applyAlignment="1">
      <alignment horizontal="right" vertical="center" wrapText="1"/>
      <protection/>
    </xf>
    <xf numFmtId="4" fontId="0" fillId="0" borderId="49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5" borderId="27" xfId="0" applyNumberFormat="1" applyFont="1" applyFill="1" applyBorder="1" applyAlignment="1">
      <alignment horizontal="center" vertical="center" wrapText="1"/>
    </xf>
    <xf numFmtId="2" fontId="1" fillId="35" borderId="53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textRotation="90"/>
    </xf>
    <xf numFmtId="2" fontId="1" fillId="37" borderId="48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7" fillId="34" borderId="48" xfId="0" applyNumberFormat="1" applyFont="1" applyFill="1" applyBorder="1" applyAlignment="1">
      <alignment horizontal="center" vertical="center" wrapText="1"/>
    </xf>
    <xf numFmtId="2" fontId="7" fillId="34" borderId="42" xfId="0" applyNumberFormat="1" applyFont="1" applyFill="1" applyBorder="1" applyAlignment="1">
      <alignment horizontal="center" vertical="center" wrapText="1"/>
    </xf>
    <xf numFmtId="2" fontId="7" fillId="34" borderId="43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5" borderId="43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textRotation="90"/>
    </xf>
    <xf numFmtId="0" fontId="1" fillId="36" borderId="42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42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40" borderId="48" xfId="0" applyNumberFormat="1" applyFont="1" applyFill="1" applyBorder="1" applyAlignment="1">
      <alignment horizontal="center" vertical="center" wrapText="1"/>
    </xf>
    <xf numFmtId="2" fontId="1" fillId="40" borderId="42" xfId="0" applyNumberFormat="1" applyFont="1" applyFill="1" applyBorder="1" applyAlignment="1">
      <alignment horizontal="center" vertical="center" wrapText="1"/>
    </xf>
    <xf numFmtId="2" fontId="1" fillId="40" borderId="43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4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textRotation="90"/>
    </xf>
    <xf numFmtId="0" fontId="1" fillId="0" borderId="6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38" borderId="66" xfId="0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textRotation="90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/>
    </xf>
    <xf numFmtId="2" fontId="0" fillId="0" borderId="27" xfId="0" applyNumberFormat="1" applyBorder="1" applyAlignment="1">
      <alignment horizontal="center"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164" fontId="2" fillId="33" borderId="11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4" fontId="2" fillId="36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1" borderId="15" xfId="0" applyNumberFormat="1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9%20&#1089;%202011%20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4">
          <cell r="I14">
            <v>894.2441200000001</v>
          </cell>
        </row>
      </sheetData>
      <sheetData sheetId="1">
        <row r="14">
          <cell r="I14">
            <v>894.2441200000001</v>
          </cell>
        </row>
      </sheetData>
      <sheetData sheetId="6">
        <row r="10">
          <cell r="I10">
            <v>687.72108</v>
          </cell>
        </row>
        <row r="15">
          <cell r="I15">
            <v>894.2441200000001</v>
          </cell>
        </row>
        <row r="54">
          <cell r="I54">
            <v>575.6459199999999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B44">
            <v>440391.95999999996</v>
          </cell>
        </row>
      </sheetData>
      <sheetData sheetId="2"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9">
          <cell r="I9">
            <v>687.3480000000001</v>
          </cell>
          <cell r="R9">
            <v>495.166</v>
          </cell>
        </row>
        <row r="14">
          <cell r="I14">
            <v>894.2420000000001</v>
          </cell>
          <cell r="R14">
            <v>643.874</v>
          </cell>
        </row>
        <row r="115">
          <cell r="I115">
            <v>80.154</v>
          </cell>
          <cell r="R115">
            <v>57.742999999999995</v>
          </cell>
        </row>
        <row r="182">
          <cell r="I182">
            <v>114</v>
          </cell>
          <cell r="R182">
            <v>28.5</v>
          </cell>
        </row>
      </sheetData>
      <sheetData sheetId="1">
        <row r="9">
          <cell r="J9">
            <v>687.3480000000001</v>
          </cell>
          <cell r="S9">
            <v>495.166</v>
          </cell>
        </row>
        <row r="14">
          <cell r="J14">
            <v>894.2420000000001</v>
          </cell>
          <cell r="S14">
            <v>643.874</v>
          </cell>
        </row>
        <row r="115">
          <cell r="J115">
            <v>80.154</v>
          </cell>
          <cell r="S115">
            <v>57.742999999999995</v>
          </cell>
        </row>
        <row r="183">
          <cell r="S183">
            <v>28.5</v>
          </cell>
        </row>
        <row r="184">
          <cell r="J184">
            <v>114</v>
          </cell>
        </row>
      </sheetData>
      <sheetData sheetId="2">
        <row r="9">
          <cell r="J9">
            <v>687.3480000000001</v>
          </cell>
          <cell r="S9">
            <v>495.166</v>
          </cell>
        </row>
        <row r="14">
          <cell r="J14">
            <v>894.2420000000001</v>
          </cell>
          <cell r="S14">
            <v>643.874</v>
          </cell>
        </row>
        <row r="115">
          <cell r="J115">
            <v>80.154</v>
          </cell>
          <cell r="S115">
            <v>57.742999999999995</v>
          </cell>
        </row>
        <row r="184">
          <cell r="J184">
            <v>114</v>
          </cell>
          <cell r="S184">
            <v>28.5</v>
          </cell>
        </row>
      </sheetData>
      <sheetData sheetId="3">
        <row r="9">
          <cell r="S9">
            <v>495.166</v>
          </cell>
        </row>
        <row r="14">
          <cell r="S14">
            <v>643.874</v>
          </cell>
        </row>
        <row r="116">
          <cell r="S116">
            <v>57.742999999999995</v>
          </cell>
        </row>
        <row r="186">
          <cell r="S186">
            <v>28.5</v>
          </cell>
        </row>
      </sheetData>
      <sheetData sheetId="4">
        <row r="9">
          <cell r="J9">
            <v>687.3480000000001</v>
          </cell>
          <cell r="S9">
            <v>495.166</v>
          </cell>
        </row>
        <row r="14">
          <cell r="J14">
            <v>894.2420000000001</v>
          </cell>
          <cell r="S14">
            <v>643.874</v>
          </cell>
        </row>
        <row r="114">
          <cell r="J114">
            <v>80.154</v>
          </cell>
          <cell r="S114">
            <v>57.742999999999995</v>
          </cell>
        </row>
        <row r="184">
          <cell r="J184">
            <v>114</v>
          </cell>
          <cell r="S184">
            <v>28.5</v>
          </cell>
        </row>
      </sheetData>
      <sheetData sheetId="5">
        <row r="9">
          <cell r="J9">
            <v>687.3480000000001</v>
          </cell>
          <cell r="S9">
            <v>495.166</v>
          </cell>
        </row>
        <row r="14">
          <cell r="J14">
            <v>894.2420000000001</v>
          </cell>
          <cell r="S14">
            <v>643.874</v>
          </cell>
        </row>
        <row r="114">
          <cell r="J114">
            <v>80.154</v>
          </cell>
          <cell r="S114">
            <v>57.742999999999995</v>
          </cell>
        </row>
        <row r="184">
          <cell r="J184">
            <v>114</v>
          </cell>
          <cell r="S184">
            <v>28.5</v>
          </cell>
        </row>
      </sheetData>
      <sheetData sheetId="6">
        <row r="9">
          <cell r="J9">
            <v>687.3480000000001</v>
          </cell>
          <cell r="S9">
            <v>495.166</v>
          </cell>
        </row>
        <row r="14">
          <cell r="J14">
            <v>894.2420000000001</v>
          </cell>
          <cell r="S14">
            <v>643.874</v>
          </cell>
        </row>
        <row r="114">
          <cell r="J114">
            <v>80.154</v>
          </cell>
          <cell r="S114">
            <v>57.742999999999995</v>
          </cell>
        </row>
        <row r="188">
          <cell r="J188">
            <v>114</v>
          </cell>
          <cell r="S188">
            <v>28.5</v>
          </cell>
        </row>
      </sheetData>
      <sheetData sheetId="7">
        <row r="9">
          <cell r="J9">
            <v>687.3480000000001</v>
          </cell>
          <cell r="S9">
            <v>495.166</v>
          </cell>
        </row>
        <row r="14">
          <cell r="J14">
            <v>894.2420000000001</v>
          </cell>
          <cell r="S14">
            <v>643.874</v>
          </cell>
        </row>
        <row r="114">
          <cell r="J114">
            <v>80.154</v>
          </cell>
          <cell r="S114">
            <v>57.742999999999995</v>
          </cell>
        </row>
        <row r="192">
          <cell r="J192">
            <v>114</v>
          </cell>
          <cell r="S192">
            <v>28.5</v>
          </cell>
        </row>
      </sheetData>
      <sheetData sheetId="8">
        <row r="9">
          <cell r="J9">
            <v>687.3480000000001</v>
          </cell>
        </row>
        <row r="14">
          <cell r="J14">
            <v>894.2420000000001</v>
          </cell>
        </row>
        <row r="114">
          <cell r="J114">
            <v>80.154</v>
          </cell>
        </row>
        <row r="192">
          <cell r="J192">
            <v>114</v>
          </cell>
        </row>
      </sheetData>
      <sheetData sheetId="9">
        <row r="9">
          <cell r="S9">
            <v>495.166</v>
          </cell>
        </row>
        <row r="14">
          <cell r="S14">
            <v>643.874</v>
          </cell>
        </row>
        <row r="114">
          <cell r="S114">
            <v>57.742999999999995</v>
          </cell>
        </row>
        <row r="192">
          <cell r="S192">
            <v>28.5</v>
          </cell>
        </row>
      </sheetData>
      <sheetData sheetId="10">
        <row r="9">
          <cell r="J9">
            <v>687.3480000000001</v>
          </cell>
          <cell r="S9">
            <v>495.166</v>
          </cell>
        </row>
        <row r="14">
          <cell r="J14">
            <v>894.2420000000001</v>
          </cell>
          <cell r="S14">
            <v>643.874</v>
          </cell>
        </row>
        <row r="114">
          <cell r="J114">
            <v>80.154</v>
          </cell>
          <cell r="S114">
            <v>57.742999999999995</v>
          </cell>
        </row>
        <row r="192">
          <cell r="J192">
            <v>114</v>
          </cell>
          <cell r="S192">
            <v>28.5</v>
          </cell>
        </row>
      </sheetData>
      <sheetData sheetId="11">
        <row r="9">
          <cell r="J9">
            <v>687.3480000000001</v>
          </cell>
          <cell r="S9">
            <v>495.166</v>
          </cell>
        </row>
        <row r="14">
          <cell r="J14">
            <v>894.2420000000001</v>
          </cell>
          <cell r="S14">
            <v>643.874</v>
          </cell>
        </row>
        <row r="114">
          <cell r="J114">
            <v>80.154</v>
          </cell>
          <cell r="S114">
            <v>57.742999999999995</v>
          </cell>
        </row>
        <row r="212">
          <cell r="J212">
            <v>114</v>
          </cell>
          <cell r="S212">
            <v>28.5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9">
          <cell r="J9">
            <v>687.3480000000001</v>
          </cell>
        </row>
        <row r="14">
          <cell r="J14">
            <v>894.2420000000001</v>
          </cell>
        </row>
        <row r="116">
          <cell r="J116">
            <v>80.154</v>
          </cell>
        </row>
        <row r="186">
          <cell r="J186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9">
          <cell r="J9">
            <v>687.3480000000001</v>
          </cell>
        </row>
        <row r="14">
          <cell r="J14">
            <v>894.2420000000001</v>
          </cell>
        </row>
        <row r="114">
          <cell r="J114">
            <v>80.154</v>
          </cell>
        </row>
        <row r="192">
          <cell r="J192">
            <v>114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  <sheetName val="сентябрь"/>
      <sheetName val="сентябрь Шалым"/>
      <sheetName val="октябрь Шалым "/>
      <sheetName val="собств. нужды ООО &quot;Форум&quot;"/>
      <sheetName val="ноябрь Шалым "/>
    </sheetNames>
    <sheetDataSet>
      <sheetData sheetId="2">
        <row r="78">
          <cell r="F78">
            <v>138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4">
          <cell r="J4">
            <v>879.5300000000001</v>
          </cell>
          <cell r="S4">
            <v>495.166</v>
          </cell>
        </row>
        <row r="82">
          <cell r="J82">
            <v>102.565</v>
          </cell>
          <cell r="S82">
            <v>57.742999999999995</v>
          </cell>
        </row>
        <row r="129">
          <cell r="J129">
            <v>1143.67</v>
          </cell>
          <cell r="S129">
            <v>643.874</v>
          </cell>
        </row>
        <row r="138">
          <cell r="J138">
            <v>0</v>
          </cell>
          <cell r="S138">
            <v>0</v>
          </cell>
        </row>
        <row r="214">
          <cell r="J214">
            <v>114</v>
          </cell>
          <cell r="S214">
            <v>28.5</v>
          </cell>
        </row>
      </sheetData>
      <sheetData sheetId="2">
        <row r="4">
          <cell r="J4">
            <v>879.5300000000001</v>
          </cell>
          <cell r="S4">
            <v>495.166</v>
          </cell>
        </row>
        <row r="80">
          <cell r="J80">
            <v>102.565</v>
          </cell>
          <cell r="S80">
            <v>57.742999999999995</v>
          </cell>
        </row>
        <row r="130">
          <cell r="J130">
            <v>1143.67</v>
          </cell>
          <cell r="S130">
            <v>643.874</v>
          </cell>
        </row>
        <row r="139">
          <cell r="J139">
            <v>722.1700000000001</v>
          </cell>
          <cell r="S139">
            <v>406.574</v>
          </cell>
        </row>
        <row r="215">
          <cell r="J215">
            <v>114</v>
          </cell>
          <cell r="S215">
            <v>28.5</v>
          </cell>
        </row>
      </sheetData>
      <sheetData sheetId="4">
        <row r="4">
          <cell r="J4">
            <v>879.5300000000001</v>
          </cell>
          <cell r="S4">
            <v>495.166</v>
          </cell>
        </row>
        <row r="80">
          <cell r="J80">
            <v>102.565</v>
          </cell>
          <cell r="S80">
            <v>57.742999999999995</v>
          </cell>
        </row>
        <row r="130">
          <cell r="J130">
            <v>1143.67</v>
          </cell>
          <cell r="S130">
            <v>643.874</v>
          </cell>
        </row>
        <row r="139">
          <cell r="J139">
            <v>722.1700000000001</v>
          </cell>
          <cell r="S139">
            <v>406.574</v>
          </cell>
        </row>
        <row r="221">
          <cell r="J221">
            <v>114</v>
          </cell>
          <cell r="S221">
            <v>28.5</v>
          </cell>
        </row>
      </sheetData>
      <sheetData sheetId="5">
        <row r="4">
          <cell r="J4">
            <v>879.5300000000001</v>
          </cell>
          <cell r="S4">
            <v>495.166</v>
          </cell>
        </row>
        <row r="80">
          <cell r="J80">
            <v>102.565</v>
          </cell>
          <cell r="S80">
            <v>57.742999999999995</v>
          </cell>
        </row>
        <row r="130">
          <cell r="J130">
            <v>1143.67</v>
          </cell>
          <cell r="S130">
            <v>643.874</v>
          </cell>
        </row>
        <row r="139">
          <cell r="J139">
            <v>722.1700000000001</v>
          </cell>
          <cell r="S139">
            <v>406.574</v>
          </cell>
        </row>
        <row r="176">
          <cell r="J176">
            <v>200</v>
          </cell>
          <cell r="S176">
            <v>50</v>
          </cell>
        </row>
        <row r="252">
          <cell r="J252">
            <v>114</v>
          </cell>
          <cell r="S252">
            <v>28.5</v>
          </cell>
        </row>
      </sheetData>
      <sheetData sheetId="6">
        <row r="4">
          <cell r="J4">
            <v>879.5300000000001</v>
          </cell>
          <cell r="S4">
            <v>495.166</v>
          </cell>
        </row>
        <row r="80">
          <cell r="J80">
            <v>102.565</v>
          </cell>
          <cell r="S80">
            <v>57.742999999999995</v>
          </cell>
        </row>
        <row r="132">
          <cell r="J132">
            <v>1143.67</v>
          </cell>
          <cell r="S132">
            <v>643.874</v>
          </cell>
        </row>
        <row r="141">
          <cell r="J141">
            <v>722.1700000000001</v>
          </cell>
          <cell r="S141">
            <v>406.574</v>
          </cell>
        </row>
        <row r="178">
          <cell r="J178">
            <v>200</v>
          </cell>
          <cell r="S178">
            <v>50</v>
          </cell>
        </row>
        <row r="254">
          <cell r="J254">
            <v>114</v>
          </cell>
          <cell r="S254">
            <v>28.5</v>
          </cell>
        </row>
      </sheetData>
      <sheetData sheetId="7">
        <row r="4">
          <cell r="J4">
            <v>879.5300000000001</v>
          </cell>
          <cell r="S4">
            <v>495.166</v>
          </cell>
        </row>
        <row r="80">
          <cell r="J80">
            <v>102.565</v>
          </cell>
          <cell r="S80">
            <v>57.742999999999995</v>
          </cell>
        </row>
        <row r="132">
          <cell r="J132">
            <v>1143.67</v>
          </cell>
          <cell r="S132">
            <v>643.874</v>
          </cell>
        </row>
        <row r="141">
          <cell r="J141">
            <v>722.1700000000001</v>
          </cell>
          <cell r="S141">
            <v>406.574</v>
          </cell>
        </row>
        <row r="178">
          <cell r="J178">
            <v>200</v>
          </cell>
          <cell r="S178">
            <v>50</v>
          </cell>
        </row>
        <row r="254">
          <cell r="J254">
            <v>114</v>
          </cell>
          <cell r="S254">
            <v>28.5</v>
          </cell>
        </row>
        <row r="301">
          <cell r="J301">
            <v>2400</v>
          </cell>
          <cell r="S301">
            <v>600</v>
          </cell>
        </row>
      </sheetData>
      <sheetData sheetId="8">
        <row r="4">
          <cell r="J4">
            <v>879.5300000000001</v>
          </cell>
          <cell r="S4">
            <v>495.166</v>
          </cell>
        </row>
        <row r="80">
          <cell r="J80">
            <v>102.565</v>
          </cell>
          <cell r="S80">
            <v>57.742999999999995</v>
          </cell>
        </row>
        <row r="131">
          <cell r="J131">
            <v>1143.67</v>
          </cell>
          <cell r="S131">
            <v>643.874</v>
          </cell>
        </row>
        <row r="140">
          <cell r="J140">
            <v>722.1700000000001</v>
          </cell>
          <cell r="S140">
            <v>406.574</v>
          </cell>
        </row>
        <row r="181">
          <cell r="J181">
            <v>200</v>
          </cell>
          <cell r="S181">
            <v>50</v>
          </cell>
        </row>
        <row r="254">
          <cell r="J254">
            <v>114</v>
          </cell>
          <cell r="S254">
            <v>28.5</v>
          </cell>
        </row>
        <row r="301">
          <cell r="J301">
            <v>800</v>
          </cell>
          <cell r="S301">
            <v>200</v>
          </cell>
        </row>
      </sheetData>
      <sheetData sheetId="9">
        <row r="4">
          <cell r="J4">
            <v>879.5300000000001</v>
          </cell>
          <cell r="S4">
            <v>495.166</v>
          </cell>
        </row>
        <row r="79">
          <cell r="J79">
            <v>102.565</v>
          </cell>
          <cell r="S79">
            <v>57.742999999999995</v>
          </cell>
        </row>
        <row r="130">
          <cell r="J130">
            <v>1143.67</v>
          </cell>
          <cell r="S130">
            <v>643.874</v>
          </cell>
        </row>
        <row r="139">
          <cell r="J139">
            <v>722.1700000000001</v>
          </cell>
          <cell r="S139">
            <v>406.574</v>
          </cell>
        </row>
        <row r="180">
          <cell r="J180">
            <v>200</v>
          </cell>
          <cell r="S180">
            <v>50</v>
          </cell>
        </row>
        <row r="253">
          <cell r="J253">
            <v>114</v>
          </cell>
          <cell r="S253">
            <v>28.5</v>
          </cell>
        </row>
        <row r="300">
          <cell r="J300">
            <v>800</v>
          </cell>
          <cell r="S300">
            <v>200</v>
          </cell>
        </row>
      </sheetData>
      <sheetData sheetId="10">
        <row r="4">
          <cell r="J4">
            <v>879.5300000000001</v>
          </cell>
          <cell r="S4">
            <v>495.166</v>
          </cell>
        </row>
        <row r="79">
          <cell r="J79">
            <v>102.565</v>
          </cell>
          <cell r="S79">
            <v>57.742999999999995</v>
          </cell>
        </row>
        <row r="130">
          <cell r="J130">
            <v>1143.67</v>
          </cell>
          <cell r="S130">
            <v>643.874</v>
          </cell>
        </row>
        <row r="139">
          <cell r="J139">
            <v>722.1700000000001</v>
          </cell>
          <cell r="S139">
            <v>406.574</v>
          </cell>
        </row>
        <row r="182">
          <cell r="J182">
            <v>200</v>
          </cell>
          <cell r="S182">
            <v>50</v>
          </cell>
        </row>
        <row r="255">
          <cell r="J255">
            <v>114</v>
          </cell>
          <cell r="S255">
            <v>28.5</v>
          </cell>
        </row>
        <row r="302">
          <cell r="J302">
            <v>800</v>
          </cell>
          <cell r="S302">
            <v>200</v>
          </cell>
        </row>
      </sheetData>
      <sheetData sheetId="11">
        <row r="4">
          <cell r="J4">
            <v>879.5300000000001</v>
          </cell>
          <cell r="S4">
            <v>495.166</v>
          </cell>
        </row>
        <row r="79">
          <cell r="J79">
            <v>102.565</v>
          </cell>
          <cell r="S79">
            <v>57.742999999999995</v>
          </cell>
        </row>
        <row r="130">
          <cell r="J130">
            <v>1143.67</v>
          </cell>
          <cell r="S130">
            <v>643.874</v>
          </cell>
        </row>
        <row r="139">
          <cell r="J139">
            <v>722.1700000000001</v>
          </cell>
          <cell r="S139">
            <v>406.574</v>
          </cell>
        </row>
        <row r="184">
          <cell r="J184">
            <v>200</v>
          </cell>
          <cell r="S184">
            <v>50</v>
          </cell>
        </row>
        <row r="257">
          <cell r="J257">
            <v>114</v>
          </cell>
          <cell r="S257">
            <v>28.5</v>
          </cell>
        </row>
        <row r="304">
          <cell r="J304">
            <v>800</v>
          </cell>
          <cell r="S304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4">
          <cell r="O14">
            <v>380.18799588</v>
          </cell>
        </row>
      </sheetData>
      <sheetData sheetId="1">
        <row r="14">
          <cell r="O14">
            <v>380.75950528000004</v>
          </cell>
        </row>
      </sheetData>
      <sheetData sheetId="2">
        <row r="14">
          <cell r="O14">
            <v>372.77326174</v>
          </cell>
        </row>
      </sheetData>
      <sheetData sheetId="3">
        <row r="14">
          <cell r="I14">
            <v>894.2441200000001</v>
          </cell>
          <cell r="O14">
            <v>383.40861944</v>
          </cell>
        </row>
      </sheetData>
      <sheetData sheetId="4">
        <row r="14">
          <cell r="O14">
            <v>427.963314556</v>
          </cell>
        </row>
      </sheetData>
      <sheetData sheetId="5">
        <row r="14">
          <cell r="I14">
            <v>894.2441200000001</v>
          </cell>
          <cell r="O14">
            <v>405.18456836000007</v>
          </cell>
        </row>
      </sheetData>
      <sheetData sheetId="6">
        <row r="10">
          <cell r="I10">
            <v>1375.43216</v>
          </cell>
          <cell r="O10">
            <v>649.9686135200001</v>
          </cell>
        </row>
        <row r="15">
          <cell r="I15">
            <v>894.2441200000001</v>
          </cell>
          <cell r="O15">
            <v>422.58342764</v>
          </cell>
        </row>
        <row r="54">
          <cell r="I54">
            <v>575.6459199999999</v>
          </cell>
          <cell r="O54">
            <v>272.03159224</v>
          </cell>
        </row>
      </sheetData>
      <sheetData sheetId="7">
        <row r="10">
          <cell r="O10">
            <v>324.83664462800004</v>
          </cell>
        </row>
        <row r="15">
          <cell r="O15">
            <v>422.39141969200006</v>
          </cell>
        </row>
        <row r="55">
          <cell r="O55">
            <v>271.907990072</v>
          </cell>
        </row>
      </sheetData>
      <sheetData sheetId="8">
        <row r="10">
          <cell r="O10">
            <v>324.7875150212</v>
          </cell>
        </row>
        <row r="15">
          <cell r="O15">
            <v>422.3275355068</v>
          </cell>
        </row>
        <row r="55">
          <cell r="O55">
            <v>271.86686560879997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0">
          <cell r="I10">
            <v>687.72108</v>
          </cell>
        </row>
        <row r="15">
          <cell r="I15">
            <v>894.2441200000001</v>
          </cell>
        </row>
        <row r="57">
          <cell r="I57">
            <v>575.6459199999999</v>
          </cell>
        </row>
        <row r="77">
          <cell r="I77">
            <v>1212.84232</v>
          </cell>
        </row>
        <row r="119">
          <cell r="I119">
            <v>80.18634</v>
          </cell>
        </row>
      </sheetData>
      <sheetData sheetId="1">
        <row r="10">
          <cell r="I10">
            <v>687.72108</v>
          </cell>
          <cell r="O10">
            <v>327.78612000000004</v>
          </cell>
        </row>
        <row r="15">
          <cell r="I15">
            <v>894.2441200000001</v>
          </cell>
          <cell r="O15">
            <v>426.22668</v>
          </cell>
        </row>
        <row r="57">
          <cell r="I57">
            <v>575.6459199999999</v>
          </cell>
          <cell r="O57">
            <v>274.37687999999997</v>
          </cell>
        </row>
        <row r="77">
          <cell r="I77">
            <v>303.20808</v>
          </cell>
          <cell r="O77">
            <v>144.51912000000002</v>
          </cell>
        </row>
        <row r="119">
          <cell r="I119">
            <v>80.18634</v>
          </cell>
          <cell r="O119">
            <v>38.22426</v>
          </cell>
        </row>
      </sheetData>
      <sheetData sheetId="2">
        <row r="10">
          <cell r="I10">
            <v>687.72108</v>
          </cell>
          <cell r="O10">
            <v>327.78612000000004</v>
          </cell>
        </row>
        <row r="15">
          <cell r="I15">
            <v>894.2441200000001</v>
          </cell>
          <cell r="O15">
            <v>426.22668</v>
          </cell>
        </row>
        <row r="58">
          <cell r="I58">
            <v>575.6459199999999</v>
          </cell>
          <cell r="O58">
            <v>274.37687999999997</v>
          </cell>
        </row>
        <row r="78">
          <cell r="I78">
            <v>303.20808</v>
          </cell>
          <cell r="O78">
            <v>144.51912000000002</v>
          </cell>
        </row>
        <row r="121">
          <cell r="I121">
            <v>80.18634</v>
          </cell>
          <cell r="O121">
            <v>38.22426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0">
          <cell r="O10">
            <v>327.328796</v>
          </cell>
        </row>
        <row r="15">
          <cell r="O15">
            <v>425.6072440000001</v>
          </cell>
        </row>
        <row r="57">
          <cell r="O57">
            <v>274.00010399999996</v>
          </cell>
        </row>
        <row r="77">
          <cell r="O77">
            <v>110.4</v>
          </cell>
        </row>
        <row r="119">
          <cell r="O119">
            <v>38.175058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10">
          <cell r="I10">
            <v>687.72108</v>
          </cell>
        </row>
        <row r="15">
          <cell r="I15">
            <v>894.2441200000001</v>
          </cell>
        </row>
        <row r="55">
          <cell r="I55">
            <v>575.6459199999999</v>
          </cell>
        </row>
        <row r="75">
          <cell r="I75">
            <v>303.21808</v>
          </cell>
        </row>
        <row r="118">
          <cell r="I118">
            <v>80.18634</v>
          </cell>
        </row>
      </sheetData>
      <sheetData sheetId="2">
        <row r="10">
          <cell r="M10">
            <v>327.398</v>
          </cell>
        </row>
        <row r="15">
          <cell r="M15">
            <v>425.72200000000004</v>
          </cell>
        </row>
        <row r="56">
          <cell r="M56">
            <v>274.05199999999996</v>
          </cell>
        </row>
        <row r="76">
          <cell r="M76">
            <v>144.348</v>
          </cell>
        </row>
        <row r="119">
          <cell r="M119">
            <v>38.179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10">
          <cell r="I10">
            <v>687.72108</v>
          </cell>
          <cell r="M10">
            <v>327.398</v>
          </cell>
        </row>
        <row r="15">
          <cell r="I15">
            <v>894.2441200000001</v>
          </cell>
          <cell r="M15">
            <v>425.72200000000004</v>
          </cell>
        </row>
        <row r="56">
          <cell r="I56">
            <v>575.6459199999999</v>
          </cell>
          <cell r="M56">
            <v>274.05199999999996</v>
          </cell>
        </row>
        <row r="76">
          <cell r="I76">
            <v>303.21808</v>
          </cell>
          <cell r="M76">
            <v>144.348</v>
          </cell>
        </row>
        <row r="119">
          <cell r="I119">
            <v>80.18634</v>
          </cell>
          <cell r="M119">
            <v>38.179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4">
        <row r="10">
          <cell r="I10">
            <v>687.72108</v>
          </cell>
        </row>
        <row r="15">
          <cell r="I15">
            <v>894.2441200000001</v>
          </cell>
        </row>
        <row r="56">
          <cell r="I56">
            <v>0</v>
          </cell>
        </row>
        <row r="76">
          <cell r="I76">
            <v>303.21808</v>
          </cell>
        </row>
        <row r="119">
          <cell r="I119">
            <v>80.18634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10">
          <cell r="I10">
            <v>687.72108</v>
          </cell>
        </row>
        <row r="15">
          <cell r="I15">
            <v>894.2441200000001</v>
          </cell>
        </row>
        <row r="74">
          <cell r="I74">
            <v>303.21808</v>
          </cell>
        </row>
        <row r="116">
          <cell r="I116">
            <v>80.18634</v>
          </cell>
        </row>
      </sheetData>
      <sheetData sheetId="6">
        <row r="9">
          <cell r="I9">
            <v>687.72108</v>
          </cell>
        </row>
        <row r="14">
          <cell r="I14">
            <v>894.2441200000001</v>
          </cell>
        </row>
        <row r="73">
          <cell r="I73">
            <v>303.21808</v>
          </cell>
        </row>
        <row r="115">
          <cell r="I115">
            <v>80.18634</v>
          </cell>
        </row>
      </sheetData>
      <sheetData sheetId="9">
        <row r="9">
          <cell r="I9">
            <v>687.72108</v>
          </cell>
          <cell r="M9">
            <v>327.398</v>
          </cell>
        </row>
        <row r="14">
          <cell r="I14">
            <v>894.2441200000001</v>
          </cell>
          <cell r="M14">
            <v>425.72200000000004</v>
          </cell>
        </row>
        <row r="73">
          <cell r="I73">
            <v>0</v>
          </cell>
          <cell r="M73">
            <v>144.348</v>
          </cell>
        </row>
        <row r="116">
          <cell r="I116">
            <v>80.18634</v>
          </cell>
          <cell r="M116">
            <v>38.179</v>
          </cell>
        </row>
      </sheetData>
      <sheetData sheetId="10">
        <row r="9">
          <cell r="I9">
            <v>687.72108</v>
          </cell>
          <cell r="M9">
            <v>327.398</v>
          </cell>
        </row>
        <row r="14">
          <cell r="I14">
            <v>894.2441200000001</v>
          </cell>
          <cell r="M14">
            <v>425.72200000000004</v>
          </cell>
        </row>
        <row r="73">
          <cell r="I73">
            <v>0</v>
          </cell>
          <cell r="M73">
            <v>144.348</v>
          </cell>
        </row>
        <row r="115">
          <cell r="I115">
            <v>80.18634</v>
          </cell>
          <cell r="M115">
            <v>38.179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10">
          <cell r="M10">
            <v>327.398</v>
          </cell>
        </row>
        <row r="15">
          <cell r="M15">
            <v>425.72200000000004</v>
          </cell>
        </row>
        <row r="74">
          <cell r="M74">
            <v>144.348</v>
          </cell>
        </row>
        <row r="116">
          <cell r="M116">
            <v>38.179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">
      <selection activeCell="AS44" sqref="AS44:AU4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9.875" style="2" customWidth="1"/>
    <col min="6" max="6" width="9.125" style="2" customWidth="1"/>
    <col min="7" max="7" width="10.1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6.625" style="2" customWidth="1"/>
    <col min="32" max="32" width="9.25390625" style="2" customWidth="1"/>
    <col min="33" max="33" width="10.25390625" style="2" customWidth="1"/>
    <col min="34" max="34" width="9.25390625" style="2" bestFit="1" customWidth="1"/>
    <col min="35" max="35" width="10.125" style="2" customWidth="1"/>
    <col min="36" max="36" width="9.25390625" style="2" bestFit="1" customWidth="1"/>
    <col min="37" max="37" width="10.003906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10.125" style="2" customWidth="1"/>
    <col min="47" max="48" width="10.125" style="2" bestFit="1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1.375" style="2" customWidth="1"/>
    <col min="55" max="55" width="9.125" style="2" customWidth="1"/>
    <col min="56" max="56" width="10.125" style="2" customWidth="1"/>
    <col min="57" max="57" width="11.625" style="2" customWidth="1"/>
    <col min="58" max="58" width="10.875" style="2" customWidth="1"/>
    <col min="59" max="16384" width="9.125" style="2" customWidth="1"/>
  </cols>
  <sheetData>
    <row r="1" spans="1:18" ht="12.75">
      <c r="A1" s="352" t="s">
        <v>78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23" t="s">
        <v>91</v>
      </c>
      <c r="B3" s="354" t="s">
        <v>0</v>
      </c>
      <c r="C3" s="356" t="s">
        <v>1</v>
      </c>
      <c r="D3" s="358" t="s">
        <v>2</v>
      </c>
      <c r="E3" s="323" t="s">
        <v>11</v>
      </c>
      <c r="F3" s="324"/>
      <c r="G3" s="323" t="s">
        <v>12</v>
      </c>
      <c r="H3" s="327"/>
      <c r="I3" s="323" t="s">
        <v>13</v>
      </c>
      <c r="J3" s="327"/>
      <c r="K3" s="323" t="s">
        <v>14</v>
      </c>
      <c r="L3" s="327"/>
      <c r="M3" s="342" t="s">
        <v>15</v>
      </c>
      <c r="N3" s="327"/>
      <c r="O3" s="323" t="s">
        <v>16</v>
      </c>
      <c r="P3" s="327"/>
      <c r="Q3" s="323" t="s">
        <v>17</v>
      </c>
      <c r="R3" s="327"/>
      <c r="S3" s="323" t="s">
        <v>3</v>
      </c>
      <c r="T3" s="342"/>
      <c r="U3" s="319" t="s">
        <v>4</v>
      </c>
      <c r="V3" s="320"/>
      <c r="W3" s="320"/>
      <c r="X3" s="320"/>
      <c r="Y3" s="320"/>
      <c r="Z3" s="320"/>
      <c r="AA3" s="320"/>
      <c r="AB3" s="320"/>
      <c r="AC3" s="339" t="s">
        <v>79</v>
      </c>
      <c r="AD3" s="345" t="s">
        <v>6</v>
      </c>
      <c r="AE3" s="345" t="s">
        <v>7</v>
      </c>
      <c r="AF3" s="332" t="s">
        <v>74</v>
      </c>
      <c r="AG3" s="311" t="s">
        <v>8</v>
      </c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3"/>
      <c r="BC3" s="291" t="s">
        <v>80</v>
      </c>
      <c r="BD3" s="292"/>
      <c r="BE3" s="293" t="s">
        <v>9</v>
      </c>
      <c r="BF3" s="293" t="s">
        <v>10</v>
      </c>
    </row>
    <row r="4" spans="1:58" ht="36" customHeight="1" thickBot="1">
      <c r="A4" s="353"/>
      <c r="B4" s="355"/>
      <c r="C4" s="357"/>
      <c r="D4" s="359"/>
      <c r="E4" s="325"/>
      <c r="F4" s="326"/>
      <c r="G4" s="328"/>
      <c r="H4" s="329"/>
      <c r="I4" s="328"/>
      <c r="J4" s="329"/>
      <c r="K4" s="328"/>
      <c r="L4" s="329"/>
      <c r="M4" s="343"/>
      <c r="N4" s="344"/>
      <c r="O4" s="328"/>
      <c r="P4" s="329"/>
      <c r="Q4" s="328"/>
      <c r="R4" s="329"/>
      <c r="S4" s="328"/>
      <c r="T4" s="350"/>
      <c r="U4" s="321"/>
      <c r="V4" s="322"/>
      <c r="W4" s="322"/>
      <c r="X4" s="322"/>
      <c r="Y4" s="322"/>
      <c r="Z4" s="322"/>
      <c r="AA4" s="322"/>
      <c r="AB4" s="322"/>
      <c r="AC4" s="340"/>
      <c r="AD4" s="346"/>
      <c r="AE4" s="346"/>
      <c r="AF4" s="333"/>
      <c r="AG4" s="314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6"/>
      <c r="BC4" s="304" t="s">
        <v>81</v>
      </c>
      <c r="BD4" s="307" t="s">
        <v>82</v>
      </c>
      <c r="BE4" s="294"/>
      <c r="BF4" s="294"/>
    </row>
    <row r="5" spans="1:58" ht="29.25" customHeight="1" thickBot="1">
      <c r="A5" s="353"/>
      <c r="B5" s="355"/>
      <c r="C5" s="357"/>
      <c r="D5" s="359"/>
      <c r="E5" s="360" t="s">
        <v>18</v>
      </c>
      <c r="F5" s="302" t="s">
        <v>19</v>
      </c>
      <c r="G5" s="302" t="s">
        <v>18</v>
      </c>
      <c r="H5" s="302" t="s">
        <v>19</v>
      </c>
      <c r="I5" s="302" t="s">
        <v>18</v>
      </c>
      <c r="J5" s="302" t="s">
        <v>19</v>
      </c>
      <c r="K5" s="302" t="s">
        <v>18</v>
      </c>
      <c r="L5" s="302" t="s">
        <v>19</v>
      </c>
      <c r="M5" s="302" t="s">
        <v>18</v>
      </c>
      <c r="N5" s="302" t="s">
        <v>19</v>
      </c>
      <c r="O5" s="302" t="s">
        <v>18</v>
      </c>
      <c r="P5" s="302" t="s">
        <v>19</v>
      </c>
      <c r="Q5" s="302" t="s">
        <v>18</v>
      </c>
      <c r="R5" s="302" t="s">
        <v>19</v>
      </c>
      <c r="S5" s="302" t="s">
        <v>18</v>
      </c>
      <c r="T5" s="348" t="s">
        <v>19</v>
      </c>
      <c r="U5" s="330" t="s">
        <v>20</v>
      </c>
      <c r="V5" s="330" t="s">
        <v>21</v>
      </c>
      <c r="W5" s="330" t="s">
        <v>22</v>
      </c>
      <c r="X5" s="330" t="s">
        <v>23</v>
      </c>
      <c r="Y5" s="330" t="s">
        <v>24</v>
      </c>
      <c r="Z5" s="330" t="s">
        <v>25</v>
      </c>
      <c r="AA5" s="330" t="s">
        <v>26</v>
      </c>
      <c r="AB5" s="351" t="s">
        <v>27</v>
      </c>
      <c r="AC5" s="340"/>
      <c r="AD5" s="346"/>
      <c r="AE5" s="346"/>
      <c r="AF5" s="333"/>
      <c r="AG5" s="337" t="s">
        <v>28</v>
      </c>
      <c r="AH5" s="317" t="s">
        <v>29</v>
      </c>
      <c r="AI5" s="317" t="s">
        <v>30</v>
      </c>
      <c r="AJ5" s="296" t="s">
        <v>31</v>
      </c>
      <c r="AK5" s="317" t="s">
        <v>32</v>
      </c>
      <c r="AL5" s="296" t="s">
        <v>31</v>
      </c>
      <c r="AM5" s="296" t="s">
        <v>33</v>
      </c>
      <c r="AN5" s="296" t="s">
        <v>31</v>
      </c>
      <c r="AO5" s="296" t="s">
        <v>34</v>
      </c>
      <c r="AP5" s="296" t="s">
        <v>31</v>
      </c>
      <c r="AQ5" s="298" t="s">
        <v>83</v>
      </c>
      <c r="AR5" s="335" t="s">
        <v>31</v>
      </c>
      <c r="AS5" s="300" t="s">
        <v>84</v>
      </c>
      <c r="AT5" s="300" t="s">
        <v>85</v>
      </c>
      <c r="AU5" s="99" t="s">
        <v>31</v>
      </c>
      <c r="AV5" s="291" t="s">
        <v>86</v>
      </c>
      <c r="AW5" s="308"/>
      <c r="AX5" s="292"/>
      <c r="AY5" s="309" t="s">
        <v>17</v>
      </c>
      <c r="AZ5" s="307" t="s">
        <v>36</v>
      </c>
      <c r="BA5" s="307" t="s">
        <v>31</v>
      </c>
      <c r="BB5" s="307" t="s">
        <v>37</v>
      </c>
      <c r="BC5" s="305"/>
      <c r="BD5" s="296"/>
      <c r="BE5" s="294"/>
      <c r="BF5" s="294"/>
    </row>
    <row r="6" spans="1:58" ht="54" customHeight="1" thickBot="1">
      <c r="A6" s="353"/>
      <c r="B6" s="355"/>
      <c r="C6" s="357"/>
      <c r="D6" s="359"/>
      <c r="E6" s="361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49"/>
      <c r="U6" s="331"/>
      <c r="V6" s="331"/>
      <c r="W6" s="331"/>
      <c r="X6" s="331"/>
      <c r="Y6" s="331"/>
      <c r="Z6" s="331"/>
      <c r="AA6" s="331"/>
      <c r="AB6" s="314"/>
      <c r="AC6" s="341"/>
      <c r="AD6" s="347"/>
      <c r="AE6" s="347"/>
      <c r="AF6" s="334"/>
      <c r="AG6" s="338"/>
      <c r="AH6" s="318"/>
      <c r="AI6" s="318"/>
      <c r="AJ6" s="297"/>
      <c r="AK6" s="318"/>
      <c r="AL6" s="297"/>
      <c r="AM6" s="297"/>
      <c r="AN6" s="297"/>
      <c r="AO6" s="297"/>
      <c r="AP6" s="297"/>
      <c r="AQ6" s="299"/>
      <c r="AR6" s="336"/>
      <c r="AS6" s="301"/>
      <c r="AT6" s="301"/>
      <c r="AU6" s="101"/>
      <c r="AV6" s="100" t="s">
        <v>87</v>
      </c>
      <c r="AW6" s="100" t="s">
        <v>88</v>
      </c>
      <c r="AX6" s="100" t="s">
        <v>89</v>
      </c>
      <c r="AY6" s="310"/>
      <c r="AZ6" s="297"/>
      <c r="BA6" s="297"/>
      <c r="BB6" s="297"/>
      <c r="BC6" s="306"/>
      <c r="BD6" s="297"/>
      <c r="BE6" s="295"/>
      <c r="BF6" s="295"/>
    </row>
    <row r="7" spans="1:58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102">
        <v>43</v>
      </c>
      <c r="AR7" s="103">
        <v>44</v>
      </c>
      <c r="AS7" s="104">
        <v>45</v>
      </c>
      <c r="AT7" s="45">
        <v>46</v>
      </c>
      <c r="AU7" s="104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9">
        <v>56</v>
      </c>
      <c r="BE7" s="1"/>
      <c r="BF7" s="105"/>
    </row>
    <row r="8" spans="1:58" ht="12.75" hidden="1">
      <c r="A8" s="5" t="s">
        <v>38</v>
      </c>
      <c r="B8" s="6"/>
      <c r="C8" s="6"/>
      <c r="D8" s="6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6"/>
      <c r="AG8" s="6"/>
      <c r="AH8" s="6"/>
      <c r="AI8" s="6"/>
      <c r="AJ8" s="6"/>
      <c r="AK8" s="6"/>
      <c r="AL8" s="6"/>
      <c r="AM8" s="6"/>
      <c r="AN8" s="6"/>
      <c r="AO8" s="6"/>
      <c r="AP8" s="44"/>
      <c r="AQ8" s="106"/>
      <c r="AR8" s="106"/>
      <c r="AS8" s="44"/>
      <c r="AT8" s="44"/>
      <c r="AU8" s="44"/>
      <c r="AV8" s="6"/>
      <c r="AW8" s="6"/>
      <c r="AX8" s="6"/>
      <c r="AY8" s="6"/>
      <c r="AZ8" s="10"/>
      <c r="BA8" s="1"/>
      <c r="BB8" s="1"/>
      <c r="BC8" s="1"/>
      <c r="BD8" s="1"/>
      <c r="BE8" s="1"/>
      <c r="BF8" s="105"/>
    </row>
    <row r="9" spans="1:58" s="121" customFormat="1" ht="12.75" hidden="1">
      <c r="A9" s="107" t="s">
        <v>39</v>
      </c>
      <c r="B9" s="108">
        <v>5304.3</v>
      </c>
      <c r="C9" s="91">
        <f>B9*8.65</f>
        <v>45882.19500000001</v>
      </c>
      <c r="D9" s="92">
        <f>C9*0.24088</f>
        <v>11052.103131600003</v>
      </c>
      <c r="E9" s="80">
        <v>3636.19</v>
      </c>
      <c r="F9" s="80">
        <v>821.44</v>
      </c>
      <c r="G9" s="80">
        <v>4908.97</v>
      </c>
      <c r="H9" s="80">
        <v>1108.95</v>
      </c>
      <c r="I9" s="80">
        <v>11817.71</v>
      </c>
      <c r="J9" s="80">
        <v>2669.71</v>
      </c>
      <c r="K9" s="80">
        <v>8181.49</v>
      </c>
      <c r="L9" s="80">
        <v>1848.26</v>
      </c>
      <c r="M9" s="80">
        <v>2908.98</v>
      </c>
      <c r="N9" s="80">
        <v>657.14</v>
      </c>
      <c r="O9" s="80">
        <v>0</v>
      </c>
      <c r="P9" s="80">
        <v>0</v>
      </c>
      <c r="Q9" s="80">
        <v>0</v>
      </c>
      <c r="R9" s="80">
        <v>0</v>
      </c>
      <c r="S9" s="81">
        <f>E9+G9+I9+K9+M9+O9+Q9</f>
        <v>31453.34</v>
      </c>
      <c r="T9" s="109">
        <f>P9+N9+L9+J9+H9+F9+R9</f>
        <v>7105.5</v>
      </c>
      <c r="U9" s="81">
        <v>110.8</v>
      </c>
      <c r="V9" s="81">
        <v>149.58</v>
      </c>
      <c r="W9" s="81">
        <v>360.09</v>
      </c>
      <c r="X9" s="81">
        <v>249.3</v>
      </c>
      <c r="Y9" s="81">
        <v>88.64</v>
      </c>
      <c r="Z9" s="110">
        <v>0</v>
      </c>
      <c r="AA9" s="110">
        <v>0</v>
      </c>
      <c r="AB9" s="110">
        <f>SUM(U9:AA9)</f>
        <v>958.41</v>
      </c>
      <c r="AC9" s="111">
        <f>D9+T9+AB9</f>
        <v>19116.0131316</v>
      </c>
      <c r="AD9" s="112">
        <f>P9+Z9</f>
        <v>0</v>
      </c>
      <c r="AE9" s="89">
        <f>R9+AA9</f>
        <v>0</v>
      </c>
      <c r="AF9" s="89"/>
      <c r="AG9" s="13">
        <f>0.6*B9</f>
        <v>3182.58</v>
      </c>
      <c r="AH9" s="13">
        <f>B9*0.2*1.05826</f>
        <v>1122.6657036000001</v>
      </c>
      <c r="AI9" s="13">
        <f>0.8518*B9-0.01</f>
        <v>4518.1927399999995</v>
      </c>
      <c r="AJ9" s="13">
        <f>AI9*0.18</f>
        <v>813.2746931999999</v>
      </c>
      <c r="AK9" s="13">
        <f>1.04*B9*0.9531</f>
        <v>5257.749463200001</v>
      </c>
      <c r="AL9" s="13">
        <f>AK9*0.18</f>
        <v>946.3949033760001</v>
      </c>
      <c r="AM9" s="13">
        <f>(1.91)*B9*0.9531</f>
        <v>9656.059110299999</v>
      </c>
      <c r="AN9" s="13">
        <f>AM9*0.18</f>
        <v>1738.0906398539996</v>
      </c>
      <c r="AO9" s="13"/>
      <c r="AP9" s="13">
        <f>AO9*0.18</f>
        <v>0</v>
      </c>
      <c r="AQ9" s="113"/>
      <c r="AR9" s="113"/>
      <c r="AS9" s="87">
        <v>5133.96</v>
      </c>
      <c r="AT9" s="87"/>
      <c r="AU9" s="87">
        <f>(AS9+AT9)*0.18</f>
        <v>924.1128</v>
      </c>
      <c r="AV9" s="114"/>
      <c r="AW9" s="115"/>
      <c r="AX9" s="13">
        <f>AV9*AW9*1.12*1.18</f>
        <v>0</v>
      </c>
      <c r="AY9" s="116"/>
      <c r="AZ9" s="117"/>
      <c r="BA9" s="117">
        <f>AZ9*0.18</f>
        <v>0</v>
      </c>
      <c r="BB9" s="117">
        <f>SUM(AG9:BA9)-AV9-AW9</f>
        <v>33293.08005352999</v>
      </c>
      <c r="BC9" s="118"/>
      <c r="BD9" s="27">
        <f>BB9-(AF9-BC9)</f>
        <v>33293.08005352999</v>
      </c>
      <c r="BE9" s="119">
        <f>AC9-BB9</f>
        <v>-14177.066921929993</v>
      </c>
      <c r="BF9" s="120">
        <f>AB9-S9</f>
        <v>-30494.93</v>
      </c>
    </row>
    <row r="10" spans="1:58" ht="12.75" hidden="1">
      <c r="A10" s="11" t="s">
        <v>40</v>
      </c>
      <c r="B10" s="108">
        <v>5304.3</v>
      </c>
      <c r="C10" s="91">
        <f>B10*8.65</f>
        <v>45882.19500000001</v>
      </c>
      <c r="D10" s="92">
        <f>C10*0.24088</f>
        <v>11052.103131600003</v>
      </c>
      <c r="E10" s="80">
        <v>3526.96</v>
      </c>
      <c r="F10" s="80">
        <v>816.22</v>
      </c>
      <c r="G10" s="80">
        <v>4761.57</v>
      </c>
      <c r="H10" s="80">
        <v>1101.9</v>
      </c>
      <c r="I10" s="80">
        <v>11462.84</v>
      </c>
      <c r="J10" s="80">
        <v>2652.67</v>
      </c>
      <c r="K10" s="80">
        <v>7935.88</v>
      </c>
      <c r="L10" s="80">
        <v>1836.45</v>
      </c>
      <c r="M10" s="80">
        <v>2821.6</v>
      </c>
      <c r="N10" s="80">
        <v>652.94</v>
      </c>
      <c r="O10" s="80">
        <v>0</v>
      </c>
      <c r="P10" s="80">
        <v>0</v>
      </c>
      <c r="Q10" s="80">
        <v>0</v>
      </c>
      <c r="R10" s="80">
        <v>0</v>
      </c>
      <c r="S10" s="81">
        <f>E10+G10+I10+K10+M10+O10+Q10</f>
        <v>30508.85</v>
      </c>
      <c r="T10" s="109">
        <f>P10+N10+L10+J10+H10+F10+R10</f>
        <v>7060.180000000001</v>
      </c>
      <c r="U10" s="81">
        <v>2741.2</v>
      </c>
      <c r="V10" s="81">
        <v>3700.63</v>
      </c>
      <c r="W10" s="81">
        <v>8908.89</v>
      </c>
      <c r="X10" s="81">
        <v>6167.62</v>
      </c>
      <c r="Y10" s="81">
        <v>2192.94</v>
      </c>
      <c r="Z10" s="110">
        <v>0</v>
      </c>
      <c r="AA10" s="110">
        <v>0</v>
      </c>
      <c r="AB10" s="122">
        <f>SUM(U10:AA10)</f>
        <v>23711.28</v>
      </c>
      <c r="AC10" s="123">
        <f>D10+T10+AB10</f>
        <v>41823.56313160001</v>
      </c>
      <c r="AD10" s="89">
        <f>P10+Z10</f>
        <v>0</v>
      </c>
      <c r="AE10" s="89">
        <f>R10+AA10</f>
        <v>0</v>
      </c>
      <c r="AF10" s="89"/>
      <c r="AG10" s="13">
        <f>0.6*B10</f>
        <v>3182.58</v>
      </c>
      <c r="AH10" s="13">
        <f>B10*0.201</f>
        <v>1066.1643000000001</v>
      </c>
      <c r="AI10" s="13">
        <f>0.8518*B10-0.01</f>
        <v>4518.1927399999995</v>
      </c>
      <c r="AJ10" s="13">
        <f>AI10*0.18</f>
        <v>813.2746931999999</v>
      </c>
      <c r="AK10" s="13">
        <f>1.04*B10*0.9531</f>
        <v>5257.749463200001</v>
      </c>
      <c r="AL10" s="13">
        <f>AK10*0.18</f>
        <v>946.3949033760001</v>
      </c>
      <c r="AM10" s="13">
        <f>(1.91)*B10*0.9531</f>
        <v>9656.059110299999</v>
      </c>
      <c r="AN10" s="13">
        <f>AM10*0.18</f>
        <v>1738.0906398539996</v>
      </c>
      <c r="AO10" s="13"/>
      <c r="AP10" s="13">
        <f>AO10*0.18</f>
        <v>0</v>
      </c>
      <c r="AQ10" s="113"/>
      <c r="AR10" s="113"/>
      <c r="AS10" s="87">
        <v>2780</v>
      </c>
      <c r="AT10" s="87"/>
      <c r="AU10" s="87">
        <f>(AS10+AT10)*0.18</f>
        <v>500.4</v>
      </c>
      <c r="AV10" s="114"/>
      <c r="AW10" s="115"/>
      <c r="AX10" s="13">
        <f>AV10*AW10*1.12*1.18</f>
        <v>0</v>
      </c>
      <c r="AY10" s="116"/>
      <c r="AZ10" s="117"/>
      <c r="BA10" s="117">
        <f>AZ10*0.18</f>
        <v>0</v>
      </c>
      <c r="BB10" s="117">
        <f>SUM(AG10:BA10)-AV10-AW10</f>
        <v>30458.905849929997</v>
      </c>
      <c r="BC10" s="118"/>
      <c r="BD10" s="27">
        <f>BB10-(AF10-BC10)</f>
        <v>30458.905849929997</v>
      </c>
      <c r="BE10" s="119">
        <f>AC10-BB10</f>
        <v>11364.65728167001</v>
      </c>
      <c r="BF10" s="119">
        <f>AB10-S10</f>
        <v>-6797.57</v>
      </c>
    </row>
    <row r="11" spans="1:58" ht="13.5" hidden="1" thickBot="1">
      <c r="A11" s="29" t="s">
        <v>41</v>
      </c>
      <c r="B11" s="108">
        <v>5304.3</v>
      </c>
      <c r="C11" s="91">
        <f>B11*8.65</f>
        <v>45882.19500000001</v>
      </c>
      <c r="D11" s="92">
        <f>C11*0.24035</f>
        <v>11027.785568250001</v>
      </c>
      <c r="E11" s="80">
        <v>3541.04</v>
      </c>
      <c r="F11" s="80">
        <v>822.15</v>
      </c>
      <c r="G11" s="80">
        <v>4780.52</v>
      </c>
      <c r="H11" s="80">
        <v>1109.9</v>
      </c>
      <c r="I11" s="80">
        <v>11508.47</v>
      </c>
      <c r="J11" s="80">
        <v>2671.97</v>
      </c>
      <c r="K11" s="80">
        <v>7967.43</v>
      </c>
      <c r="L11" s="80">
        <v>1849.82</v>
      </c>
      <c r="M11" s="80">
        <v>2832.89</v>
      </c>
      <c r="N11" s="80">
        <v>657.69</v>
      </c>
      <c r="O11" s="80">
        <v>0</v>
      </c>
      <c r="P11" s="165">
        <v>0</v>
      </c>
      <c r="Q11" s="80">
        <v>0</v>
      </c>
      <c r="R11" s="165">
        <v>0</v>
      </c>
      <c r="S11" s="81">
        <f>E11+G11+I11+K11+M11+O11+Q11</f>
        <v>30630.35</v>
      </c>
      <c r="T11" s="109">
        <f>P11+N11+L11+J11+H11+F11+R11</f>
        <v>7111.529999999999</v>
      </c>
      <c r="U11" s="81">
        <v>3800.72</v>
      </c>
      <c r="V11" s="81">
        <v>5131.11</v>
      </c>
      <c r="W11" s="81">
        <v>12352.55</v>
      </c>
      <c r="X11" s="81">
        <v>8551.83</v>
      </c>
      <c r="Y11" s="81">
        <v>3040.73</v>
      </c>
      <c r="Z11" s="110">
        <v>0</v>
      </c>
      <c r="AA11" s="110">
        <v>0</v>
      </c>
      <c r="AB11" s="122">
        <f>SUM(U11:AA11)</f>
        <v>32876.94</v>
      </c>
      <c r="AC11" s="123">
        <f>D11+T11+AB11</f>
        <v>51016.25556825</v>
      </c>
      <c r="AD11" s="89">
        <f>P11+Z11</f>
        <v>0</v>
      </c>
      <c r="AE11" s="89">
        <f>R11+AA11</f>
        <v>0</v>
      </c>
      <c r="AF11" s="89"/>
      <c r="AG11" s="13">
        <f>0.6*B11</f>
        <v>3182.58</v>
      </c>
      <c r="AH11" s="13">
        <f>B11*0.2*1.02524-0.01</f>
        <v>1087.6261064</v>
      </c>
      <c r="AI11" s="13">
        <f>0.84932*B11</f>
        <v>4505.048076</v>
      </c>
      <c r="AJ11" s="13">
        <f>AI11*0.18</f>
        <v>810.9086536799999</v>
      </c>
      <c r="AK11" s="13">
        <f>1.04*B11*0.95033</f>
        <v>5242.468835760001</v>
      </c>
      <c r="AL11" s="13">
        <f>AK11*0.18</f>
        <v>943.6443904368001</v>
      </c>
      <c r="AM11" s="13">
        <f>(1.91)*B11*0.95033-0.1</f>
        <v>9627.89565029</v>
      </c>
      <c r="AN11" s="13">
        <f>AM11*0.18</f>
        <v>1733.0212170522</v>
      </c>
      <c r="AO11" s="13"/>
      <c r="AP11" s="13">
        <f>AO11*0.18</f>
        <v>0</v>
      </c>
      <c r="AQ11" s="113"/>
      <c r="AR11" s="113"/>
      <c r="AS11" s="87">
        <v>13921</v>
      </c>
      <c r="AT11" s="87"/>
      <c r="AU11" s="87">
        <f>(AS11+AT11)*0.18</f>
        <v>2505.7799999999997</v>
      </c>
      <c r="AV11" s="114"/>
      <c r="AW11" s="115"/>
      <c r="AX11" s="13">
        <f>AV11*AW11*1.12*1.18</f>
        <v>0</v>
      </c>
      <c r="AY11" s="116"/>
      <c r="AZ11" s="117"/>
      <c r="BA11" s="117">
        <f>AZ11*0.18</f>
        <v>0</v>
      </c>
      <c r="BB11" s="117">
        <f>SUM(AG11:BA11)-AV11-AW11</f>
        <v>43559.972929619</v>
      </c>
      <c r="BC11" s="118"/>
      <c r="BD11" s="27">
        <f>BB11-(AF11-BC11)</f>
        <v>43559.972929619</v>
      </c>
      <c r="BE11" s="119">
        <f>AC11-BB11</f>
        <v>7456.282638631004</v>
      </c>
      <c r="BF11" s="119">
        <f>AB11-S11</f>
        <v>2246.590000000004</v>
      </c>
    </row>
    <row r="12" spans="1:58" s="16" customFormat="1" ht="15" customHeight="1" hidden="1" thickBot="1">
      <c r="A12" s="31" t="s">
        <v>3</v>
      </c>
      <c r="B12" s="124"/>
      <c r="C12" s="124">
        <f>SUM(C9:C11)</f>
        <v>137646.58500000002</v>
      </c>
      <c r="D12" s="124">
        <f aca="true" t="shared" si="0" ref="D12:BD12">SUM(D9:D11)</f>
        <v>33131.99183145001</v>
      </c>
      <c r="E12" s="124">
        <f t="shared" si="0"/>
        <v>10704.189999999999</v>
      </c>
      <c r="F12" s="124">
        <f t="shared" si="0"/>
        <v>2459.81</v>
      </c>
      <c r="G12" s="124">
        <f t="shared" si="0"/>
        <v>14451.060000000001</v>
      </c>
      <c r="H12" s="124">
        <f t="shared" si="0"/>
        <v>3320.7500000000005</v>
      </c>
      <c r="I12" s="124">
        <f t="shared" si="0"/>
        <v>34789.02</v>
      </c>
      <c r="J12" s="124">
        <f t="shared" si="0"/>
        <v>7994.35</v>
      </c>
      <c r="K12" s="124">
        <f t="shared" si="0"/>
        <v>24084.8</v>
      </c>
      <c r="L12" s="124">
        <f t="shared" si="0"/>
        <v>5534.53</v>
      </c>
      <c r="M12" s="124">
        <f t="shared" si="0"/>
        <v>8563.47</v>
      </c>
      <c r="N12" s="124">
        <f t="shared" si="0"/>
        <v>1967.77</v>
      </c>
      <c r="O12" s="124">
        <f t="shared" si="0"/>
        <v>0</v>
      </c>
      <c r="P12" s="124">
        <f t="shared" si="0"/>
        <v>0</v>
      </c>
      <c r="Q12" s="124">
        <f t="shared" si="0"/>
        <v>0</v>
      </c>
      <c r="R12" s="124">
        <f t="shared" si="0"/>
        <v>0</v>
      </c>
      <c r="S12" s="124">
        <f t="shared" si="0"/>
        <v>92592.54000000001</v>
      </c>
      <c r="T12" s="124">
        <f t="shared" si="0"/>
        <v>21277.21</v>
      </c>
      <c r="U12" s="124">
        <f t="shared" si="0"/>
        <v>6652.719999999999</v>
      </c>
      <c r="V12" s="124">
        <f t="shared" si="0"/>
        <v>8981.32</v>
      </c>
      <c r="W12" s="124">
        <f t="shared" si="0"/>
        <v>21621.53</v>
      </c>
      <c r="X12" s="124">
        <f t="shared" si="0"/>
        <v>14968.75</v>
      </c>
      <c r="Y12" s="124">
        <f t="shared" si="0"/>
        <v>5322.3099999999995</v>
      </c>
      <c r="Z12" s="124">
        <f t="shared" si="0"/>
        <v>0</v>
      </c>
      <c r="AA12" s="124">
        <f t="shared" si="0"/>
        <v>0</v>
      </c>
      <c r="AB12" s="124">
        <f t="shared" si="0"/>
        <v>57546.630000000005</v>
      </c>
      <c r="AC12" s="124">
        <f t="shared" si="0"/>
        <v>111955.83183145002</v>
      </c>
      <c r="AD12" s="124">
        <f t="shared" si="0"/>
        <v>0</v>
      </c>
      <c r="AE12" s="124">
        <f t="shared" si="0"/>
        <v>0</v>
      </c>
      <c r="AF12" s="124">
        <f t="shared" si="0"/>
        <v>0</v>
      </c>
      <c r="AG12" s="124">
        <f t="shared" si="0"/>
        <v>9547.74</v>
      </c>
      <c r="AH12" s="124">
        <f t="shared" si="0"/>
        <v>3276.45611</v>
      </c>
      <c r="AI12" s="124">
        <f t="shared" si="0"/>
        <v>13541.433556</v>
      </c>
      <c r="AJ12" s="124">
        <f t="shared" si="0"/>
        <v>2437.4580400799996</v>
      </c>
      <c r="AK12" s="124">
        <f t="shared" si="0"/>
        <v>15757.967762160002</v>
      </c>
      <c r="AL12" s="124">
        <f t="shared" si="0"/>
        <v>2836.4341971888</v>
      </c>
      <c r="AM12" s="124">
        <f t="shared" si="0"/>
        <v>28940.013870889998</v>
      </c>
      <c r="AN12" s="124">
        <f t="shared" si="0"/>
        <v>5209.202496760199</v>
      </c>
      <c r="AO12" s="124">
        <f t="shared" si="0"/>
        <v>0</v>
      </c>
      <c r="AP12" s="124">
        <f t="shared" si="0"/>
        <v>0</v>
      </c>
      <c r="AQ12" s="125">
        <f t="shared" si="0"/>
        <v>0</v>
      </c>
      <c r="AR12" s="125">
        <f t="shared" si="0"/>
        <v>0</v>
      </c>
      <c r="AS12" s="126">
        <f t="shared" si="0"/>
        <v>21834.96</v>
      </c>
      <c r="AT12" s="126">
        <f t="shared" si="0"/>
        <v>0</v>
      </c>
      <c r="AU12" s="126">
        <f t="shared" si="0"/>
        <v>3930.2927999999997</v>
      </c>
      <c r="AV12" s="124">
        <f t="shared" si="0"/>
        <v>0</v>
      </c>
      <c r="AW12" s="124">
        <f t="shared" si="0"/>
        <v>0</v>
      </c>
      <c r="AX12" s="124">
        <f t="shared" si="0"/>
        <v>0</v>
      </c>
      <c r="AY12" s="124">
        <f t="shared" si="0"/>
        <v>0</v>
      </c>
      <c r="AZ12" s="124">
        <f t="shared" si="0"/>
        <v>0</v>
      </c>
      <c r="BA12" s="124">
        <f t="shared" si="0"/>
        <v>0</v>
      </c>
      <c r="BB12" s="124">
        <f t="shared" si="0"/>
        <v>107311.958833079</v>
      </c>
      <c r="BC12" s="124">
        <f t="shared" si="0"/>
        <v>0</v>
      </c>
      <c r="BD12" s="124">
        <f t="shared" si="0"/>
        <v>107311.958833079</v>
      </c>
      <c r="BE12" s="124">
        <f>SUM(BE9:BE11)</f>
        <v>4643.872998371022</v>
      </c>
      <c r="BF12" s="127">
        <f>SUM(BF9:BF11)</f>
        <v>-35045.909999999996</v>
      </c>
    </row>
    <row r="13" spans="1:58" ht="15" customHeight="1" hidden="1">
      <c r="A13" s="7" t="s">
        <v>42</v>
      </c>
      <c r="B13" s="128"/>
      <c r="C13" s="129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/>
      <c r="P13" s="132"/>
      <c r="Q13" s="133"/>
      <c r="R13" s="133"/>
      <c r="S13" s="133"/>
      <c r="T13" s="133"/>
      <c r="U13" s="134"/>
      <c r="V13" s="134"/>
      <c r="W13" s="134"/>
      <c r="X13" s="134"/>
      <c r="Y13" s="134"/>
      <c r="Z13" s="134"/>
      <c r="AA13" s="135"/>
      <c r="AB13" s="135"/>
      <c r="AC13" s="136"/>
      <c r="AD13" s="137"/>
      <c r="AE13" s="137"/>
      <c r="AF13" s="40"/>
      <c r="AG13" s="40"/>
      <c r="AH13" s="40"/>
      <c r="AI13" s="40"/>
      <c r="AJ13" s="40"/>
      <c r="AK13" s="40"/>
      <c r="AL13" s="40"/>
      <c r="AM13" s="40"/>
      <c r="AN13" s="93"/>
      <c r="AO13" s="93"/>
      <c r="AP13" s="93"/>
      <c r="AQ13" s="138"/>
      <c r="AR13" s="139"/>
      <c r="AS13" s="140"/>
      <c r="AT13" s="140"/>
      <c r="AU13" s="94"/>
      <c r="AV13" s="40"/>
      <c r="AW13" s="40"/>
      <c r="AX13" s="42"/>
      <c r="AY13" s="1"/>
      <c r="AZ13" s="1"/>
      <c r="BA13" s="1"/>
      <c r="BB13" s="1"/>
      <c r="BC13" s="1"/>
      <c r="BD13" s="1"/>
      <c r="BE13" s="1"/>
      <c r="BF13" s="105"/>
    </row>
    <row r="14" spans="1:58" ht="12.75" hidden="1">
      <c r="A14" s="11" t="s">
        <v>43</v>
      </c>
      <c r="B14" s="90">
        <v>5303</v>
      </c>
      <c r="C14" s="91">
        <f aca="true" t="shared" si="1" ref="C14:C25">B14*8.65</f>
        <v>45870.950000000004</v>
      </c>
      <c r="D14" s="92">
        <f>C14*0.125</f>
        <v>5733.868750000001</v>
      </c>
      <c r="E14" s="80">
        <v>3661.82</v>
      </c>
      <c r="F14" s="80">
        <v>738.32</v>
      </c>
      <c r="G14" s="80">
        <v>4943.62</v>
      </c>
      <c r="H14" s="80">
        <v>996.72</v>
      </c>
      <c r="I14" s="80">
        <v>11901.04</v>
      </c>
      <c r="J14" s="80">
        <v>2399.52</v>
      </c>
      <c r="K14" s="80">
        <v>8239.24</v>
      </c>
      <c r="L14" s="80">
        <v>1661.2</v>
      </c>
      <c r="M14" s="80">
        <v>2929.47</v>
      </c>
      <c r="N14" s="80">
        <v>590.62</v>
      </c>
      <c r="O14" s="80">
        <v>0</v>
      </c>
      <c r="P14" s="165">
        <v>0</v>
      </c>
      <c r="Q14" s="80">
        <v>0</v>
      </c>
      <c r="R14" s="165">
        <v>0</v>
      </c>
      <c r="S14" s="81">
        <f aca="true" t="shared" si="2" ref="S14:S25">E14+G14+I14+K14+M14+O14+Q14</f>
        <v>31675.190000000002</v>
      </c>
      <c r="T14" s="109">
        <f aca="true" t="shared" si="3" ref="T14:T25">P14+N14+L14+J14+H14+F14+R14</f>
        <v>6386.38</v>
      </c>
      <c r="U14" s="81">
        <v>2749.4</v>
      </c>
      <c r="V14" s="81">
        <v>3712.48</v>
      </c>
      <c r="W14" s="81">
        <v>8937.82</v>
      </c>
      <c r="X14" s="81">
        <v>6187.38</v>
      </c>
      <c r="Y14" s="81">
        <v>2200.32</v>
      </c>
      <c r="Z14" s="110">
        <v>0</v>
      </c>
      <c r="AA14" s="110">
        <v>0</v>
      </c>
      <c r="AB14" s="141">
        <f aca="true" t="shared" si="4" ref="AB14:AB22">SUM(U14:AA14)</f>
        <v>23787.4</v>
      </c>
      <c r="AC14" s="123">
        <f aca="true" t="shared" si="5" ref="AC14:AC22">D14+T14+AB14</f>
        <v>35907.64875</v>
      </c>
      <c r="AD14" s="89">
        <f aca="true" t="shared" si="6" ref="AD14:AD25">P14+Z14</f>
        <v>0</v>
      </c>
      <c r="AE14" s="89">
        <f aca="true" t="shared" si="7" ref="AE14:AE25">R14+AA14</f>
        <v>0</v>
      </c>
      <c r="AF14" s="89">
        <f>'[1]Т01-09'!$I$14</f>
        <v>894.2441200000001</v>
      </c>
      <c r="AG14" s="13">
        <f>0.6*B14*0.9</f>
        <v>2863.62</v>
      </c>
      <c r="AH14" s="13">
        <f>B14*0.2*0.891</f>
        <v>944.9946000000001</v>
      </c>
      <c r="AI14" s="13">
        <f>0.85*B14*0.867-0.02</f>
        <v>3908.02585</v>
      </c>
      <c r="AJ14" s="13">
        <f aca="true" t="shared" si="8" ref="AJ14:AJ25">AI14*0.18</f>
        <v>703.444653</v>
      </c>
      <c r="AK14" s="13">
        <f>0.83*B14*0.8685</f>
        <v>3822.694065</v>
      </c>
      <c r="AL14" s="13">
        <f aca="true" t="shared" si="9" ref="AL14:AL25">AK14*0.18</f>
        <v>688.0849317</v>
      </c>
      <c r="AM14" s="13">
        <f>1.91*B14*0.8686</f>
        <v>8797.814878</v>
      </c>
      <c r="AN14" s="13">
        <f aca="true" t="shared" si="10" ref="AN14:AN25">AM14*0.18</f>
        <v>1583.60667804</v>
      </c>
      <c r="AO14" s="13"/>
      <c r="AP14" s="13">
        <f aca="true" t="shared" si="11" ref="AP14:AR25">AO14*0.18</f>
        <v>0</v>
      </c>
      <c r="AQ14" s="113"/>
      <c r="AR14" s="113">
        <f>AQ14*0.18</f>
        <v>0</v>
      </c>
      <c r="AS14" s="87">
        <v>538</v>
      </c>
      <c r="AT14" s="87"/>
      <c r="AU14" s="87">
        <f>(AS14+AT14)*0.18+0.01</f>
        <v>96.85000000000001</v>
      </c>
      <c r="AV14" s="114">
        <v>508</v>
      </c>
      <c r="AW14" s="166">
        <v>3.25</v>
      </c>
      <c r="AX14" s="13"/>
      <c r="AY14" s="116"/>
      <c r="AZ14" s="117"/>
      <c r="BA14" s="117">
        <f>AZ14*0.18</f>
        <v>0</v>
      </c>
      <c r="BB14" s="117">
        <f>SUM(AG14:AU14)</f>
        <v>23947.135655739996</v>
      </c>
      <c r="BC14" s="118">
        <f>'[2]Т01-09'!$O$14</f>
        <v>380.18799588</v>
      </c>
      <c r="BD14" s="142">
        <f>BB14-(AF14-BC14)</f>
        <v>23433.079531619995</v>
      </c>
      <c r="BE14" s="119">
        <f>(AC14-BB14)+(AF14-BC14)</f>
        <v>12474.569218380004</v>
      </c>
      <c r="BF14" s="119">
        <f aca="true" t="shared" si="12" ref="BF14:BF25">AB14-S14</f>
        <v>-7887.790000000001</v>
      </c>
    </row>
    <row r="15" spans="1:58" ht="12.75" hidden="1">
      <c r="A15" s="11" t="s">
        <v>44</v>
      </c>
      <c r="B15" s="90">
        <v>5302.7</v>
      </c>
      <c r="C15" s="91">
        <f t="shared" si="1"/>
        <v>45868.355</v>
      </c>
      <c r="D15" s="92">
        <f>C15*0.125</f>
        <v>5733.544375</v>
      </c>
      <c r="E15" s="80">
        <v>3579.04</v>
      </c>
      <c r="F15" s="80">
        <v>781.71</v>
      </c>
      <c r="G15" s="80">
        <v>4831.85</v>
      </c>
      <c r="H15" s="80">
        <v>1055.31</v>
      </c>
      <c r="I15" s="80">
        <v>11631.98</v>
      </c>
      <c r="J15" s="80">
        <v>2540.54</v>
      </c>
      <c r="K15" s="80">
        <v>8052.94</v>
      </c>
      <c r="L15" s="80">
        <v>1758.83</v>
      </c>
      <c r="M15" s="80">
        <v>2863.26</v>
      </c>
      <c r="N15" s="80">
        <v>625.34</v>
      </c>
      <c r="O15" s="80">
        <v>0</v>
      </c>
      <c r="P15" s="165">
        <v>0</v>
      </c>
      <c r="Q15" s="80">
        <v>0</v>
      </c>
      <c r="R15" s="165">
        <v>0</v>
      </c>
      <c r="S15" s="81">
        <f t="shared" si="2"/>
        <v>30959.07</v>
      </c>
      <c r="T15" s="109">
        <f t="shared" si="3"/>
        <v>6761.7300000000005</v>
      </c>
      <c r="U15" s="81">
        <v>2890.62</v>
      </c>
      <c r="V15" s="81">
        <v>3873.52</v>
      </c>
      <c r="W15" s="81">
        <v>9208.14</v>
      </c>
      <c r="X15" s="81">
        <v>6400.46</v>
      </c>
      <c r="Y15" s="81">
        <v>2329.12</v>
      </c>
      <c r="Z15" s="110">
        <v>0</v>
      </c>
      <c r="AA15" s="110">
        <v>0</v>
      </c>
      <c r="AB15" s="122">
        <f t="shared" si="4"/>
        <v>24701.859999999997</v>
      </c>
      <c r="AC15" s="123">
        <f t="shared" si="5"/>
        <v>37197.134374999994</v>
      </c>
      <c r="AD15" s="89">
        <f t="shared" si="6"/>
        <v>0</v>
      </c>
      <c r="AE15" s="89">
        <f t="shared" si="7"/>
        <v>0</v>
      </c>
      <c r="AF15" s="89">
        <f>'[1]Т02-09'!$I$14</f>
        <v>894.2441200000001</v>
      </c>
      <c r="AG15" s="13">
        <f>0.6*B15*0.9</f>
        <v>2863.458</v>
      </c>
      <c r="AH15" s="13">
        <f>B15*0.2*0.9153</f>
        <v>970.712262</v>
      </c>
      <c r="AI15" s="13">
        <f>0.85*B15*0.867</f>
        <v>3907.824765</v>
      </c>
      <c r="AJ15" s="13">
        <f t="shared" si="8"/>
        <v>703.4084577</v>
      </c>
      <c r="AK15" s="13">
        <f>0.83*B15*0.8684</f>
        <v>3822.0376843999998</v>
      </c>
      <c r="AL15" s="13">
        <f t="shared" si="9"/>
        <v>687.966783192</v>
      </c>
      <c r="AM15" s="13">
        <f>(1.91)*B15*0.8684</f>
        <v>8795.291538799998</v>
      </c>
      <c r="AN15" s="13">
        <f t="shared" si="10"/>
        <v>1583.1524769839996</v>
      </c>
      <c r="AO15" s="13"/>
      <c r="AP15" s="13">
        <f t="shared" si="11"/>
        <v>0</v>
      </c>
      <c r="AQ15" s="113"/>
      <c r="AR15" s="113">
        <f>AQ15*0.18</f>
        <v>0</v>
      </c>
      <c r="AS15" s="87">
        <v>200</v>
      </c>
      <c r="AT15" s="87"/>
      <c r="AU15" s="87">
        <f aca="true" t="shared" si="13" ref="AU15:AU25">(AS15+AT15)*0.18</f>
        <v>36</v>
      </c>
      <c r="AV15" s="114">
        <v>407</v>
      </c>
      <c r="AW15" s="166">
        <v>3.25</v>
      </c>
      <c r="AX15" s="13"/>
      <c r="AY15" s="116"/>
      <c r="AZ15" s="117"/>
      <c r="BA15" s="117">
        <f>AZ15*0.18</f>
        <v>0</v>
      </c>
      <c r="BB15" s="117">
        <f>SUM(AG15:AU15)+AY15</f>
        <v>23569.851968075996</v>
      </c>
      <c r="BC15" s="143">
        <f>'[2]Т02-09'!$O$14</f>
        <v>380.75950528000004</v>
      </c>
      <c r="BD15" s="142">
        <f>BB15-(AF15-BC15)</f>
        <v>23056.367353355996</v>
      </c>
      <c r="BE15" s="119">
        <f aca="true" t="shared" si="14" ref="BE15:BE25">(AC15-BB15)+(AF15-BC15)</f>
        <v>14140.767021643998</v>
      </c>
      <c r="BF15" s="119">
        <f t="shared" si="12"/>
        <v>-6257.210000000003</v>
      </c>
    </row>
    <row r="16" spans="1:58" ht="13.5" hidden="1" thickBot="1">
      <c r="A16" s="144" t="s">
        <v>45</v>
      </c>
      <c r="B16" s="167">
        <v>5302.7</v>
      </c>
      <c r="C16" s="91">
        <f t="shared" si="1"/>
        <v>45868.355</v>
      </c>
      <c r="D16" s="92">
        <f>C16*0.125</f>
        <v>5733.544375</v>
      </c>
      <c r="E16" s="80">
        <v>3503.49</v>
      </c>
      <c r="F16" s="80">
        <v>873.57</v>
      </c>
      <c r="G16" s="80">
        <v>4729.88</v>
      </c>
      <c r="H16" s="80">
        <v>1179.31</v>
      </c>
      <c r="I16" s="80">
        <v>11386.5</v>
      </c>
      <c r="J16" s="80">
        <v>2839.07</v>
      </c>
      <c r="K16" s="80">
        <v>7886.03</v>
      </c>
      <c r="L16" s="80">
        <v>1965.5</v>
      </c>
      <c r="M16" s="80">
        <v>2802.86</v>
      </c>
      <c r="N16" s="80">
        <v>698.82</v>
      </c>
      <c r="O16" s="80">
        <v>0</v>
      </c>
      <c r="P16" s="165">
        <v>0</v>
      </c>
      <c r="Q16" s="80">
        <v>0</v>
      </c>
      <c r="R16" s="165">
        <v>0</v>
      </c>
      <c r="S16" s="81">
        <f t="shared" si="2"/>
        <v>30308.76</v>
      </c>
      <c r="T16" s="109">
        <f t="shared" si="3"/>
        <v>7556.27</v>
      </c>
      <c r="U16" s="145">
        <v>3725.75</v>
      </c>
      <c r="V16" s="145">
        <v>4897.59</v>
      </c>
      <c r="W16" s="145">
        <v>11790.18</v>
      </c>
      <c r="X16" s="145">
        <v>8162.4</v>
      </c>
      <c r="Y16" s="145">
        <v>2902.21</v>
      </c>
      <c r="Z16" s="146">
        <v>0</v>
      </c>
      <c r="AA16" s="146">
        <v>0</v>
      </c>
      <c r="AB16" s="141">
        <f t="shared" si="4"/>
        <v>31478.129999999997</v>
      </c>
      <c r="AC16" s="123">
        <f t="shared" si="5"/>
        <v>44767.944375</v>
      </c>
      <c r="AD16" s="89">
        <f t="shared" si="6"/>
        <v>0</v>
      </c>
      <c r="AE16" s="89">
        <f t="shared" si="7"/>
        <v>0</v>
      </c>
      <c r="AF16" s="89">
        <f>'[1]Т02-09'!$I$14</f>
        <v>894.2441200000001</v>
      </c>
      <c r="AG16" s="13">
        <f>0.6*B16*0.9</f>
        <v>2863.458</v>
      </c>
      <c r="AH16" s="147">
        <f>B16*0.2*0.9082-0.01</f>
        <v>963.172428</v>
      </c>
      <c r="AI16" s="13">
        <f>0.85*B16*0.8675</f>
        <v>3910.0784125000005</v>
      </c>
      <c r="AJ16" s="13">
        <f t="shared" si="8"/>
        <v>703.8141142500001</v>
      </c>
      <c r="AK16" s="147">
        <f>0.83*B16*0.838</f>
        <v>3688.2399579999997</v>
      </c>
      <c r="AL16" s="13">
        <f t="shared" si="9"/>
        <v>663.8831924399999</v>
      </c>
      <c r="AM16" s="13">
        <f>1.91*B16*0.8381</f>
        <v>8488.4083817</v>
      </c>
      <c r="AN16" s="13">
        <f t="shared" si="10"/>
        <v>1527.913508706</v>
      </c>
      <c r="AO16" s="13"/>
      <c r="AP16" s="13">
        <f t="shared" si="11"/>
        <v>0</v>
      </c>
      <c r="AQ16" s="113"/>
      <c r="AR16" s="113">
        <f>AQ16*0.18</f>
        <v>0</v>
      </c>
      <c r="AS16" s="87">
        <v>37124</v>
      </c>
      <c r="AT16" s="87"/>
      <c r="AU16" s="87">
        <f t="shared" si="13"/>
        <v>6682.32</v>
      </c>
      <c r="AV16" s="114">
        <v>383</v>
      </c>
      <c r="AW16" s="166">
        <v>3.25</v>
      </c>
      <c r="AX16" s="13"/>
      <c r="AY16" s="116"/>
      <c r="AZ16" s="117"/>
      <c r="BA16" s="117">
        <f>AZ16*0.18</f>
        <v>0</v>
      </c>
      <c r="BB16" s="117">
        <f>SUM(AG16:AU16)</f>
        <v>66615.28799559601</v>
      </c>
      <c r="BC16" s="143">
        <f>'[2]Т03-09'!$O$14</f>
        <v>372.77326174</v>
      </c>
      <c r="BD16" s="142">
        <f aca="true" t="shared" si="15" ref="BD16:BD25">BB16-(AF16-BC16)</f>
        <v>66093.81713733601</v>
      </c>
      <c r="BE16" s="119">
        <f t="shared" si="14"/>
        <v>-21325.87276233601</v>
      </c>
      <c r="BF16" s="119">
        <f t="shared" si="12"/>
        <v>1169.369999999999</v>
      </c>
    </row>
    <row r="17" spans="1:58" ht="12.75" hidden="1">
      <c r="A17" s="149" t="s">
        <v>46</v>
      </c>
      <c r="B17" s="168">
        <v>5302.7</v>
      </c>
      <c r="C17" s="91">
        <f t="shared" si="1"/>
        <v>45868.355</v>
      </c>
      <c r="D17" s="92">
        <f>C17*0.125</f>
        <v>5733.544375</v>
      </c>
      <c r="E17" s="73">
        <v>3590.49</v>
      </c>
      <c r="F17" s="73">
        <v>850.28</v>
      </c>
      <c r="G17" s="73">
        <v>4847.31</v>
      </c>
      <c r="H17" s="73">
        <v>1147.86</v>
      </c>
      <c r="I17" s="73">
        <v>11669.26</v>
      </c>
      <c r="J17" s="73">
        <v>2763.37</v>
      </c>
      <c r="K17" s="73">
        <v>8078.79</v>
      </c>
      <c r="L17" s="73">
        <v>1913.09</v>
      </c>
      <c r="M17" s="73">
        <v>2872.44</v>
      </c>
      <c r="N17" s="73">
        <v>680.19</v>
      </c>
      <c r="O17" s="73">
        <v>0</v>
      </c>
      <c r="P17" s="169">
        <v>0</v>
      </c>
      <c r="Q17" s="73">
        <v>0</v>
      </c>
      <c r="R17" s="169">
        <v>0</v>
      </c>
      <c r="S17" s="81">
        <f t="shared" si="2"/>
        <v>31058.289999999997</v>
      </c>
      <c r="T17" s="109">
        <f t="shared" si="3"/>
        <v>7354.789999999999</v>
      </c>
      <c r="U17" s="81">
        <v>3142.15</v>
      </c>
      <c r="V17" s="81">
        <v>4291.1</v>
      </c>
      <c r="W17" s="81">
        <v>10329.51</v>
      </c>
      <c r="X17" s="81">
        <v>7151.76</v>
      </c>
      <c r="Y17" s="81">
        <v>2542.39</v>
      </c>
      <c r="Z17" s="81">
        <v>0</v>
      </c>
      <c r="AA17" s="81">
        <v>0</v>
      </c>
      <c r="AB17" s="141">
        <f t="shared" si="4"/>
        <v>27456.910000000003</v>
      </c>
      <c r="AC17" s="123">
        <f t="shared" si="5"/>
        <v>40545.244375</v>
      </c>
      <c r="AD17" s="89">
        <f t="shared" si="6"/>
        <v>0</v>
      </c>
      <c r="AE17" s="89">
        <f t="shared" si="7"/>
        <v>0</v>
      </c>
      <c r="AF17" s="89">
        <f>'[2]Т04-09'!$I$14</f>
        <v>894.2441200000001</v>
      </c>
      <c r="AG17" s="13">
        <f>0.6*B17*0.9</f>
        <v>2863.458</v>
      </c>
      <c r="AH17" s="147">
        <f>B17*0.2*0.9234</f>
        <v>979.302636</v>
      </c>
      <c r="AI17" s="13">
        <f>0.85*B17*0.8934</f>
        <v>4026.817353</v>
      </c>
      <c r="AJ17" s="13">
        <f t="shared" si="8"/>
        <v>724.82712354</v>
      </c>
      <c r="AK17" s="13">
        <f>0.83*B17*0.8498</f>
        <v>3740.1746018</v>
      </c>
      <c r="AL17" s="13">
        <f t="shared" si="9"/>
        <v>673.2314283239999</v>
      </c>
      <c r="AM17" s="13">
        <f>(1.91)*B17*0.8498</f>
        <v>8606.907818599999</v>
      </c>
      <c r="AN17" s="13">
        <f t="shared" si="10"/>
        <v>1549.2434073479997</v>
      </c>
      <c r="AO17" s="13"/>
      <c r="AP17" s="13">
        <f t="shared" si="11"/>
        <v>0</v>
      </c>
      <c r="AQ17" s="113"/>
      <c r="AR17" s="113">
        <f t="shared" si="11"/>
        <v>0</v>
      </c>
      <c r="AS17" s="87">
        <v>28278.14</v>
      </c>
      <c r="AT17" s="87"/>
      <c r="AU17" s="87">
        <f t="shared" si="13"/>
        <v>5090.0652</v>
      </c>
      <c r="AV17" s="114">
        <v>307</v>
      </c>
      <c r="AW17" s="166">
        <v>3.25</v>
      </c>
      <c r="AX17" s="13">
        <v>6893.8</v>
      </c>
      <c r="AY17" s="116"/>
      <c r="AZ17" s="117"/>
      <c r="BA17" s="117">
        <f>AZ17*0.18</f>
        <v>0</v>
      </c>
      <c r="BB17" s="117">
        <f aca="true" t="shared" si="16" ref="BB17:BB22">SUM(AG17:BA17)-AV17-AW17</f>
        <v>63425.967568612</v>
      </c>
      <c r="BC17" s="143">
        <f>'[2]Т04-09'!$O$14</f>
        <v>383.40861944</v>
      </c>
      <c r="BD17" s="142">
        <f t="shared" si="15"/>
        <v>62915.132068052</v>
      </c>
      <c r="BE17" s="119">
        <f t="shared" si="14"/>
        <v>-22369.887693052002</v>
      </c>
      <c r="BF17" s="119">
        <f t="shared" si="12"/>
        <v>-3601.3799999999937</v>
      </c>
    </row>
    <row r="18" spans="1:58" ht="12.75" hidden="1">
      <c r="A18" s="11" t="s">
        <v>47</v>
      </c>
      <c r="B18" s="167">
        <v>5302.1</v>
      </c>
      <c r="C18" s="91">
        <f t="shared" si="1"/>
        <v>45863.16500000001</v>
      </c>
      <c r="D18" s="150">
        <f aca="true" t="shared" si="17" ref="D18:D25">C18-E18-F18-G18-H18-I18-J18-K18-L18-M18-N18</f>
        <v>4110.575000000002</v>
      </c>
      <c r="E18" s="73">
        <v>3867.28</v>
      </c>
      <c r="F18" s="73">
        <v>952.41</v>
      </c>
      <c r="G18" s="73">
        <v>5236.39</v>
      </c>
      <c r="H18" s="73">
        <v>1290.97</v>
      </c>
      <c r="I18" s="73">
        <v>12584.36</v>
      </c>
      <c r="J18" s="73">
        <v>3100.38</v>
      </c>
      <c r="K18" s="73">
        <v>8717.04</v>
      </c>
      <c r="L18" s="73">
        <v>2148.03</v>
      </c>
      <c r="M18" s="73">
        <v>3093.86</v>
      </c>
      <c r="N18" s="73">
        <v>761.87</v>
      </c>
      <c r="O18" s="73">
        <v>0</v>
      </c>
      <c r="P18" s="169">
        <v>0</v>
      </c>
      <c r="Q18" s="73">
        <v>0</v>
      </c>
      <c r="R18" s="169">
        <v>0</v>
      </c>
      <c r="S18" s="81">
        <f t="shared" si="2"/>
        <v>33498.93</v>
      </c>
      <c r="T18" s="109">
        <f t="shared" si="3"/>
        <v>8253.660000000002</v>
      </c>
      <c r="U18" s="145">
        <v>3243.85</v>
      </c>
      <c r="V18" s="145">
        <v>4457.57</v>
      </c>
      <c r="W18" s="145">
        <v>10730.9</v>
      </c>
      <c r="X18" s="145">
        <v>7429.12</v>
      </c>
      <c r="Y18" s="145">
        <v>2641.46</v>
      </c>
      <c r="Z18" s="146">
        <v>0</v>
      </c>
      <c r="AA18" s="146">
        <v>0</v>
      </c>
      <c r="AB18" s="141">
        <f t="shared" si="4"/>
        <v>28502.899999999998</v>
      </c>
      <c r="AC18" s="123">
        <f t="shared" si="5"/>
        <v>40867.135</v>
      </c>
      <c r="AD18" s="89">
        <f t="shared" si="6"/>
        <v>0</v>
      </c>
      <c r="AE18" s="89">
        <f t="shared" si="7"/>
        <v>0</v>
      </c>
      <c r="AF18" s="89">
        <f>'[2]Т04-09'!$I$14</f>
        <v>894.2441200000001</v>
      </c>
      <c r="AG18" s="13">
        <f aca="true" t="shared" si="18" ref="AG18:AG25">0.6*B18</f>
        <v>3181.26</v>
      </c>
      <c r="AH18" s="13">
        <f>B18*0.2*1.01</f>
        <v>1071.0242</v>
      </c>
      <c r="AI18" s="13">
        <f>0.85*B18</f>
        <v>4506.785</v>
      </c>
      <c r="AJ18" s="13">
        <f t="shared" si="8"/>
        <v>811.2212999999999</v>
      </c>
      <c r="AK18" s="13">
        <f>0.83*B18</f>
        <v>4400.743</v>
      </c>
      <c r="AL18" s="13">
        <f t="shared" si="9"/>
        <v>792.13374</v>
      </c>
      <c r="AM18" s="13">
        <f>(1.91)*B18</f>
        <v>10127.011</v>
      </c>
      <c r="AN18" s="13">
        <f t="shared" si="10"/>
        <v>1822.86198</v>
      </c>
      <c r="AO18" s="13"/>
      <c r="AP18" s="13">
        <f t="shared" si="11"/>
        <v>0</v>
      </c>
      <c r="AQ18" s="113"/>
      <c r="AR18" s="113">
        <f t="shared" si="11"/>
        <v>0</v>
      </c>
      <c r="AS18" s="87">
        <v>17416.04</v>
      </c>
      <c r="AT18" s="87"/>
      <c r="AU18" s="87">
        <f t="shared" si="13"/>
        <v>3134.8872</v>
      </c>
      <c r="AV18" s="114">
        <v>263</v>
      </c>
      <c r="AW18" s="166">
        <v>3.25</v>
      </c>
      <c r="AX18" s="13">
        <f aca="true" t="shared" si="19" ref="AX18:AX25">AV18*AW18*1.12*1.18</f>
        <v>1129.6376</v>
      </c>
      <c r="AY18" s="116"/>
      <c r="AZ18" s="117"/>
      <c r="BA18" s="117">
        <f aca="true" t="shared" si="20" ref="BA18:BA25">AZ18*0.18</f>
        <v>0</v>
      </c>
      <c r="BB18" s="117">
        <f t="shared" si="16"/>
        <v>48393.60502</v>
      </c>
      <c r="BC18" s="143">
        <f>'[2]Т05-09'!$O$14</f>
        <v>427.963314556</v>
      </c>
      <c r="BD18" s="142">
        <f t="shared" si="15"/>
        <v>47927.324214556</v>
      </c>
      <c r="BE18" s="119">
        <f t="shared" si="14"/>
        <v>-7060.1892145560005</v>
      </c>
      <c r="BF18" s="119">
        <f t="shared" si="12"/>
        <v>-4996.0300000000025</v>
      </c>
    </row>
    <row r="19" spans="1:58" ht="13.5" hidden="1" thickBot="1">
      <c r="A19" s="144" t="s">
        <v>48</v>
      </c>
      <c r="B19" s="167">
        <v>5302.1</v>
      </c>
      <c r="C19" s="91">
        <f t="shared" si="1"/>
        <v>45863.16500000001</v>
      </c>
      <c r="D19" s="150">
        <f t="shared" si="17"/>
        <v>4189.295000000005</v>
      </c>
      <c r="E19" s="73">
        <v>3849.44</v>
      </c>
      <c r="F19" s="73">
        <v>961.13</v>
      </c>
      <c r="G19" s="73">
        <v>5212.29</v>
      </c>
      <c r="H19" s="73">
        <v>1302.79</v>
      </c>
      <c r="I19" s="73">
        <v>12526.4</v>
      </c>
      <c r="J19" s="73">
        <v>3128.77</v>
      </c>
      <c r="K19" s="73">
        <v>8676.91</v>
      </c>
      <c r="L19" s="73">
        <v>2167.7</v>
      </c>
      <c r="M19" s="73">
        <v>3079.59</v>
      </c>
      <c r="N19" s="73">
        <v>768.85</v>
      </c>
      <c r="O19" s="73">
        <v>0</v>
      </c>
      <c r="P19" s="169">
        <v>0</v>
      </c>
      <c r="Q19" s="73">
        <v>0</v>
      </c>
      <c r="R19" s="169">
        <v>0</v>
      </c>
      <c r="S19" s="81">
        <f t="shared" si="2"/>
        <v>33344.63</v>
      </c>
      <c r="T19" s="109">
        <f t="shared" si="3"/>
        <v>8329.24</v>
      </c>
      <c r="U19" s="145">
        <v>3716.64</v>
      </c>
      <c r="V19" s="145">
        <v>5029.68</v>
      </c>
      <c r="W19" s="145">
        <v>12091.52</v>
      </c>
      <c r="X19" s="145">
        <v>8374.73</v>
      </c>
      <c r="Y19" s="145">
        <v>2973.24</v>
      </c>
      <c r="Z19" s="146">
        <v>0</v>
      </c>
      <c r="AA19" s="146">
        <v>0</v>
      </c>
      <c r="AB19" s="141">
        <f t="shared" si="4"/>
        <v>32185.809999999998</v>
      </c>
      <c r="AC19" s="123">
        <f t="shared" si="5"/>
        <v>44704.345</v>
      </c>
      <c r="AD19" s="89">
        <f t="shared" si="6"/>
        <v>0</v>
      </c>
      <c r="AE19" s="89">
        <f t="shared" si="7"/>
        <v>0</v>
      </c>
      <c r="AF19" s="170">
        <f>'[2]Т06-09'!$I$14</f>
        <v>894.2441200000001</v>
      </c>
      <c r="AG19" s="13">
        <f t="shared" si="18"/>
        <v>3181.26</v>
      </c>
      <c r="AH19" s="13">
        <f>B19*0.2*1.01045-0.01</f>
        <v>1071.4913890000003</v>
      </c>
      <c r="AI19" s="13">
        <f>0.85*B19</f>
        <v>4506.785</v>
      </c>
      <c r="AJ19" s="13">
        <f t="shared" si="8"/>
        <v>811.2212999999999</v>
      </c>
      <c r="AK19" s="13">
        <f>0.83*B19</f>
        <v>4400.743</v>
      </c>
      <c r="AL19" s="13">
        <f t="shared" si="9"/>
        <v>792.13374</v>
      </c>
      <c r="AM19" s="13">
        <f>(1.91)*B19+0.01</f>
        <v>10127.021</v>
      </c>
      <c r="AN19" s="13">
        <f t="shared" si="10"/>
        <v>1822.8637800000001</v>
      </c>
      <c r="AO19" s="13"/>
      <c r="AP19" s="13">
        <f t="shared" si="11"/>
        <v>0</v>
      </c>
      <c r="AQ19" s="113">
        <f>1436.76+10990</f>
        <v>12426.76</v>
      </c>
      <c r="AR19" s="171">
        <f t="shared" si="11"/>
        <v>2236.8168</v>
      </c>
      <c r="AS19" s="87">
        <v>16795.44</v>
      </c>
      <c r="AT19" s="87"/>
      <c r="AU19" s="87">
        <f t="shared" si="13"/>
        <v>3023.1791999999996</v>
      </c>
      <c r="AV19" s="114">
        <v>233</v>
      </c>
      <c r="AW19" s="166">
        <v>3.25</v>
      </c>
      <c r="AX19" s="13">
        <f t="shared" si="19"/>
        <v>1000.7816000000001</v>
      </c>
      <c r="AY19" s="116"/>
      <c r="AZ19" s="117"/>
      <c r="BA19" s="117">
        <f t="shared" si="20"/>
        <v>0</v>
      </c>
      <c r="BB19" s="117">
        <f t="shared" si="16"/>
        <v>62196.496809000004</v>
      </c>
      <c r="BC19" s="172">
        <f>'[2]Т06-09'!$O$14</f>
        <v>405.18456836000007</v>
      </c>
      <c r="BD19" s="142">
        <f t="shared" si="15"/>
        <v>61707.437257360005</v>
      </c>
      <c r="BE19" s="119">
        <f t="shared" si="14"/>
        <v>-17003.092257360004</v>
      </c>
      <c r="BF19" s="119">
        <f t="shared" si="12"/>
        <v>-1158.8199999999997</v>
      </c>
    </row>
    <row r="20" spans="1:58" ht="12.75" hidden="1">
      <c r="A20" s="149" t="s">
        <v>49</v>
      </c>
      <c r="B20" s="90">
        <v>5302.1</v>
      </c>
      <c r="C20" s="91">
        <f t="shared" si="1"/>
        <v>45863.16500000001</v>
      </c>
      <c r="D20" s="150">
        <f t="shared" si="17"/>
        <v>4478.405000000003</v>
      </c>
      <c r="E20" s="73">
        <v>3816.05</v>
      </c>
      <c r="F20" s="73">
        <v>961.13</v>
      </c>
      <c r="G20" s="73">
        <v>5167.12</v>
      </c>
      <c r="H20" s="73">
        <v>1302.79</v>
      </c>
      <c r="I20" s="73">
        <v>12417.79</v>
      </c>
      <c r="J20" s="73">
        <v>3128.77</v>
      </c>
      <c r="K20" s="73">
        <v>8601.69</v>
      </c>
      <c r="L20" s="73">
        <v>2167.7</v>
      </c>
      <c r="M20" s="73">
        <v>3052.87</v>
      </c>
      <c r="N20" s="73">
        <v>768.85</v>
      </c>
      <c r="O20" s="73">
        <v>0</v>
      </c>
      <c r="P20" s="169">
        <v>0</v>
      </c>
      <c r="Q20" s="73">
        <v>0</v>
      </c>
      <c r="R20" s="169">
        <v>0</v>
      </c>
      <c r="S20" s="81">
        <f t="shared" si="2"/>
        <v>33055.520000000004</v>
      </c>
      <c r="T20" s="109">
        <f t="shared" si="3"/>
        <v>8329.24</v>
      </c>
      <c r="U20" s="145">
        <v>4207.7</v>
      </c>
      <c r="V20" s="145">
        <v>5699.01</v>
      </c>
      <c r="W20" s="145">
        <v>13698.16</v>
      </c>
      <c r="X20" s="145">
        <v>9487.94</v>
      </c>
      <c r="Y20" s="145">
        <v>3368.1</v>
      </c>
      <c r="Z20" s="146">
        <v>0</v>
      </c>
      <c r="AA20" s="146">
        <v>0</v>
      </c>
      <c r="AB20" s="141">
        <f t="shared" si="4"/>
        <v>36460.909999999996</v>
      </c>
      <c r="AC20" s="123">
        <f t="shared" si="5"/>
        <v>49268.555</v>
      </c>
      <c r="AD20" s="89">
        <f t="shared" si="6"/>
        <v>0</v>
      </c>
      <c r="AE20" s="89">
        <f t="shared" si="7"/>
        <v>0</v>
      </c>
      <c r="AF20" s="89">
        <f>'[2]Т07-09'!$I$10+'[2]Т07-09'!$I$15+'[2]Т07-09'!$I$54</f>
        <v>2845.3222</v>
      </c>
      <c r="AG20" s="13">
        <f t="shared" si="18"/>
        <v>3181.26</v>
      </c>
      <c r="AH20" s="13">
        <f>B20*0.2*0.99425</f>
        <v>1054.3225850000001</v>
      </c>
      <c r="AI20" s="13">
        <f>0.85*B20*0.9857</f>
        <v>4442.3379745</v>
      </c>
      <c r="AJ20" s="13">
        <f t="shared" si="8"/>
        <v>799.62083541</v>
      </c>
      <c r="AK20" s="13">
        <f>0.83*B20*0.9905</f>
        <v>4358.935941500001</v>
      </c>
      <c r="AL20" s="13">
        <f t="shared" si="9"/>
        <v>784.6084694700002</v>
      </c>
      <c r="AM20" s="13">
        <f>(1.91)*B20*0.9904</f>
        <v>10029.7916944</v>
      </c>
      <c r="AN20" s="13">
        <f t="shared" si="10"/>
        <v>1805.3625049920001</v>
      </c>
      <c r="AO20" s="13"/>
      <c r="AP20" s="13">
        <f t="shared" si="11"/>
        <v>0</v>
      </c>
      <c r="AQ20" s="113"/>
      <c r="AR20" s="113">
        <f t="shared" si="11"/>
        <v>0</v>
      </c>
      <c r="AS20" s="87">
        <v>8651</v>
      </c>
      <c r="AT20" s="87"/>
      <c r="AU20" s="87">
        <f t="shared" si="13"/>
        <v>1557.1799999999998</v>
      </c>
      <c r="AV20" s="114">
        <v>248</v>
      </c>
      <c r="AW20" s="166">
        <v>3.25</v>
      </c>
      <c r="AX20" s="13">
        <f t="shared" si="19"/>
        <v>1065.2096000000001</v>
      </c>
      <c r="AY20" s="116"/>
      <c r="AZ20" s="117"/>
      <c r="BA20" s="117">
        <f t="shared" si="20"/>
        <v>0</v>
      </c>
      <c r="BB20" s="117">
        <f t="shared" si="16"/>
        <v>37729.629605272006</v>
      </c>
      <c r="BC20" s="143">
        <f>'[2]Т07-09'!$O$10+'[2]Т07-09'!$O$15+'[2]Т07-09'!$O$54</f>
        <v>1344.5836334</v>
      </c>
      <c r="BD20" s="142">
        <f t="shared" si="15"/>
        <v>36228.89103867201</v>
      </c>
      <c r="BE20" s="119">
        <f t="shared" si="14"/>
        <v>13039.663961327995</v>
      </c>
      <c r="BF20" s="119">
        <f t="shared" si="12"/>
        <v>3405.389999999992</v>
      </c>
    </row>
    <row r="21" spans="1:58" ht="12.75" hidden="1">
      <c r="A21" s="11" t="s">
        <v>50</v>
      </c>
      <c r="B21" s="90">
        <v>5302.1</v>
      </c>
      <c r="C21" s="91">
        <f t="shared" si="1"/>
        <v>45863.16500000001</v>
      </c>
      <c r="D21" s="150">
        <f t="shared" si="17"/>
        <v>4212.045000000008</v>
      </c>
      <c r="E21" s="73">
        <v>3854.3</v>
      </c>
      <c r="F21" s="73">
        <v>953.6</v>
      </c>
      <c r="G21" s="73">
        <v>5219.02</v>
      </c>
      <c r="H21" s="73">
        <v>1292.58</v>
      </c>
      <c r="I21" s="73">
        <v>12542.35</v>
      </c>
      <c r="J21" s="73">
        <v>3104.26</v>
      </c>
      <c r="K21" s="73">
        <v>8687.99</v>
      </c>
      <c r="L21" s="73">
        <v>2150.73</v>
      </c>
      <c r="M21" s="73">
        <v>3083.46</v>
      </c>
      <c r="N21" s="73">
        <v>762.83</v>
      </c>
      <c r="O21" s="73">
        <v>0</v>
      </c>
      <c r="P21" s="169">
        <v>0</v>
      </c>
      <c r="Q21" s="145">
        <v>0</v>
      </c>
      <c r="R21" s="145">
        <v>0</v>
      </c>
      <c r="S21" s="81">
        <f t="shared" si="2"/>
        <v>33387.119999999995</v>
      </c>
      <c r="T21" s="109">
        <f t="shared" si="3"/>
        <v>8264</v>
      </c>
      <c r="U21" s="145">
        <v>3569.28</v>
      </c>
      <c r="V21" s="145">
        <v>4832.22</v>
      </c>
      <c r="W21" s="145">
        <v>11613.91</v>
      </c>
      <c r="X21" s="145">
        <v>8044.63</v>
      </c>
      <c r="Y21" s="145">
        <v>2855.42</v>
      </c>
      <c r="Z21" s="146">
        <v>0</v>
      </c>
      <c r="AA21" s="146">
        <v>0</v>
      </c>
      <c r="AB21" s="141">
        <f t="shared" si="4"/>
        <v>30915.46</v>
      </c>
      <c r="AC21" s="123">
        <f t="shared" si="5"/>
        <v>43391.505000000005</v>
      </c>
      <c r="AD21" s="89">
        <f t="shared" si="6"/>
        <v>0</v>
      </c>
      <c r="AE21" s="89">
        <f t="shared" si="7"/>
        <v>0</v>
      </c>
      <c r="AF21" s="89">
        <f>'[1]Т07-09'!$I$10+'[1]Т07-09'!$I$15+'[1]Т07-09'!$I$54</f>
        <v>2157.61112</v>
      </c>
      <c r="AG21" s="13">
        <f t="shared" si="18"/>
        <v>3181.26</v>
      </c>
      <c r="AH21" s="13">
        <f>B21*0.2*0.99875</f>
        <v>1059.094475</v>
      </c>
      <c r="AI21" s="13">
        <f>0.85*B21*0.98526</f>
        <v>4440.3549891</v>
      </c>
      <c r="AJ21" s="13">
        <f t="shared" si="8"/>
        <v>799.263898038</v>
      </c>
      <c r="AK21" s="13">
        <f>0.83*B21*0.99</f>
        <v>4356.735570000001</v>
      </c>
      <c r="AL21" s="13">
        <f t="shared" si="9"/>
        <v>784.2124026000001</v>
      </c>
      <c r="AM21" s="13">
        <f>(1.91)*B21*0.99</f>
        <v>10025.740890000001</v>
      </c>
      <c r="AN21" s="13">
        <f t="shared" si="10"/>
        <v>1804.6333602000002</v>
      </c>
      <c r="AO21" s="13"/>
      <c r="AP21" s="13">
        <f t="shared" si="11"/>
        <v>0</v>
      </c>
      <c r="AQ21" s="113"/>
      <c r="AR21" s="113">
        <f t="shared" si="11"/>
        <v>0</v>
      </c>
      <c r="AS21" s="87">
        <v>10336</v>
      </c>
      <c r="AT21" s="87"/>
      <c r="AU21" s="87">
        <f t="shared" si="13"/>
        <v>1860.48</v>
      </c>
      <c r="AV21" s="114">
        <v>293</v>
      </c>
      <c r="AW21" s="166">
        <v>3.25</v>
      </c>
      <c r="AX21" s="13">
        <f t="shared" si="19"/>
        <v>1258.4936000000002</v>
      </c>
      <c r="AY21" s="116"/>
      <c r="AZ21" s="117"/>
      <c r="BA21" s="117">
        <f t="shared" si="20"/>
        <v>0</v>
      </c>
      <c r="BB21" s="117">
        <f t="shared" si="16"/>
        <v>39906.269184938006</v>
      </c>
      <c r="BC21" s="143">
        <f>'[2]Т08-09'!$O$10+'[2]Т08-09'!$O$15+'[2]Т08-09'!$O$55</f>
        <v>1019.1360543920002</v>
      </c>
      <c r="BD21" s="142">
        <f t="shared" si="15"/>
        <v>38767.79411933001</v>
      </c>
      <c r="BE21" s="119">
        <f t="shared" si="14"/>
        <v>4623.710880669998</v>
      </c>
      <c r="BF21" s="119">
        <f t="shared" si="12"/>
        <v>-2471.659999999996</v>
      </c>
    </row>
    <row r="22" spans="1:58" ht="13.5" hidden="1" thickBot="1">
      <c r="A22" s="144" t="s">
        <v>51</v>
      </c>
      <c r="B22" s="108">
        <v>5302.1</v>
      </c>
      <c r="C22" s="91">
        <f t="shared" si="1"/>
        <v>45863.16500000001</v>
      </c>
      <c r="D22" s="150">
        <f t="shared" si="17"/>
        <v>4212.475000000011</v>
      </c>
      <c r="E22" s="80">
        <v>3826.14</v>
      </c>
      <c r="F22" s="80">
        <v>981.7</v>
      </c>
      <c r="G22" s="80">
        <v>5180.87</v>
      </c>
      <c r="H22" s="80">
        <v>1330.67</v>
      </c>
      <c r="I22" s="80">
        <v>12450.71</v>
      </c>
      <c r="J22" s="80">
        <v>3195.73</v>
      </c>
      <c r="K22" s="80">
        <v>8624.51</v>
      </c>
      <c r="L22" s="80">
        <v>2214.11</v>
      </c>
      <c r="M22" s="80">
        <v>3060.96</v>
      </c>
      <c r="N22" s="80">
        <v>785.29</v>
      </c>
      <c r="O22" s="80">
        <v>0</v>
      </c>
      <c r="P22" s="165">
        <v>0</v>
      </c>
      <c r="Q22" s="80">
        <v>0</v>
      </c>
      <c r="R22" s="165">
        <v>0</v>
      </c>
      <c r="S22" s="81">
        <f t="shared" si="2"/>
        <v>33143.19</v>
      </c>
      <c r="T22" s="109">
        <f t="shared" si="3"/>
        <v>8507.5</v>
      </c>
      <c r="U22" s="81">
        <v>3463.47</v>
      </c>
      <c r="V22" s="81">
        <v>4689.59</v>
      </c>
      <c r="W22" s="81">
        <v>11271.19</v>
      </c>
      <c r="X22" s="81">
        <v>7807.27</v>
      </c>
      <c r="Y22" s="81">
        <v>2771.13</v>
      </c>
      <c r="Z22" s="110">
        <v>0</v>
      </c>
      <c r="AA22" s="110">
        <v>0</v>
      </c>
      <c r="AB22" s="141">
        <f t="shared" si="4"/>
        <v>30002.65</v>
      </c>
      <c r="AC22" s="123">
        <f t="shared" si="5"/>
        <v>42722.625000000015</v>
      </c>
      <c r="AD22" s="89">
        <f t="shared" si="6"/>
        <v>0</v>
      </c>
      <c r="AE22" s="89">
        <f t="shared" si="7"/>
        <v>0</v>
      </c>
      <c r="AF22" s="89">
        <f>'[1]Т07-09'!$I$10+'[1]Т07-09'!$I$15+'[1]Т07-09'!$I$54</f>
        <v>2157.61112</v>
      </c>
      <c r="AG22" s="13">
        <f t="shared" si="18"/>
        <v>3181.26</v>
      </c>
      <c r="AH22" s="13">
        <f>B22*0.2*0.9997</f>
        <v>1060.1018740000002</v>
      </c>
      <c r="AI22" s="13">
        <f>0.85*B22*0.98509</f>
        <v>4439.58883565</v>
      </c>
      <c r="AJ22" s="13">
        <f t="shared" si="8"/>
        <v>799.1259904169999</v>
      </c>
      <c r="AK22" s="13">
        <f>0.83*B22*0.98981</f>
        <v>4355.89942883</v>
      </c>
      <c r="AL22" s="13">
        <f t="shared" si="9"/>
        <v>784.0618971893999</v>
      </c>
      <c r="AM22" s="13">
        <f>(1.91)*B22*0.98981</f>
        <v>10023.81675791</v>
      </c>
      <c r="AN22" s="13">
        <f t="shared" si="10"/>
        <v>1804.2870164238002</v>
      </c>
      <c r="AO22" s="13"/>
      <c r="AP22" s="13">
        <f t="shared" si="11"/>
        <v>0</v>
      </c>
      <c r="AQ22" s="113"/>
      <c r="AR22" s="113">
        <f t="shared" si="11"/>
        <v>0</v>
      </c>
      <c r="AS22" s="87"/>
      <c r="AT22" s="87"/>
      <c r="AU22" s="87">
        <f t="shared" si="13"/>
        <v>0</v>
      </c>
      <c r="AV22" s="114">
        <v>349</v>
      </c>
      <c r="AW22" s="166">
        <v>3.25</v>
      </c>
      <c r="AX22" s="13">
        <f t="shared" si="19"/>
        <v>1499.0248000000001</v>
      </c>
      <c r="AY22" s="116"/>
      <c r="AZ22" s="117"/>
      <c r="BA22" s="117">
        <f t="shared" si="20"/>
        <v>0</v>
      </c>
      <c r="BB22" s="117">
        <f t="shared" si="16"/>
        <v>27947.1666004202</v>
      </c>
      <c r="BC22" s="143">
        <f>'[2]Т09-09'!$O$10+'[2]Т09-09'!$O$15+'[2]Т09-09'!$O$55</f>
        <v>1018.9819161368</v>
      </c>
      <c r="BD22" s="142">
        <f t="shared" si="15"/>
        <v>26808.537396557003</v>
      </c>
      <c r="BE22" s="119">
        <f t="shared" si="14"/>
        <v>15914.087603443013</v>
      </c>
      <c r="BF22" s="119">
        <f t="shared" si="12"/>
        <v>-3140.540000000001</v>
      </c>
    </row>
    <row r="23" spans="1:58" ht="12.75" hidden="1">
      <c r="A23" s="151" t="s">
        <v>39</v>
      </c>
      <c r="B23" s="108">
        <v>5302.1</v>
      </c>
      <c r="C23" s="152">
        <f t="shared" si="1"/>
        <v>45863.16500000001</v>
      </c>
      <c r="D23" s="150">
        <f t="shared" si="17"/>
        <v>4252.7650000000085</v>
      </c>
      <c r="E23" s="82">
        <v>3834.3</v>
      </c>
      <c r="F23" s="81">
        <v>968.81</v>
      </c>
      <c r="G23" s="81">
        <v>5192.16</v>
      </c>
      <c r="H23" s="81">
        <v>1313.2</v>
      </c>
      <c r="I23" s="81">
        <v>12477.52</v>
      </c>
      <c r="J23" s="81">
        <v>3153.76</v>
      </c>
      <c r="K23" s="81">
        <v>8643.16</v>
      </c>
      <c r="L23" s="81">
        <v>2185.03</v>
      </c>
      <c r="M23" s="81">
        <v>3067.48</v>
      </c>
      <c r="N23" s="81">
        <v>774.98</v>
      </c>
      <c r="O23" s="81">
        <v>0</v>
      </c>
      <c r="P23" s="110">
        <v>0</v>
      </c>
      <c r="Q23" s="81">
        <v>0</v>
      </c>
      <c r="R23" s="81">
        <v>0</v>
      </c>
      <c r="S23" s="81">
        <f t="shared" si="2"/>
        <v>33214.62</v>
      </c>
      <c r="T23" s="109">
        <f t="shared" si="3"/>
        <v>8395.78</v>
      </c>
      <c r="U23" s="153">
        <f>4012.85+535.55</f>
        <v>4548.4</v>
      </c>
      <c r="V23" s="81">
        <f>5433.64+724.8</f>
        <v>6158.4400000000005</v>
      </c>
      <c r="W23" s="81">
        <f>13059.18+1742.32</f>
        <v>14801.5</v>
      </c>
      <c r="X23" s="81">
        <f>9045.67+1206.8</f>
        <v>10252.47</v>
      </c>
      <c r="Y23" s="81">
        <f>3210.72+428.42</f>
        <v>3639.14</v>
      </c>
      <c r="Z23" s="110">
        <v>0</v>
      </c>
      <c r="AA23" s="110">
        <v>0</v>
      </c>
      <c r="AB23" s="110">
        <f>SUM(U23:AA23)</f>
        <v>39399.95</v>
      </c>
      <c r="AC23" s="123">
        <f>AB23+T23+D23</f>
        <v>52048.495</v>
      </c>
      <c r="AD23" s="89">
        <f t="shared" si="6"/>
        <v>0</v>
      </c>
      <c r="AE23" s="89">
        <f t="shared" si="7"/>
        <v>0</v>
      </c>
      <c r="AF23" s="89">
        <f>'[3]Т10'!$I$10+'[3]Т10'!$I$15+'[3]Т10'!$I$57+'[3]Т10'!$I$77+'[3]Т10'!$I$119</f>
        <v>3450.6397800000004</v>
      </c>
      <c r="AG23" s="13">
        <f t="shared" si="18"/>
        <v>3181.26</v>
      </c>
      <c r="AH23" s="13">
        <f>B23*0.2</f>
        <v>1060.42</v>
      </c>
      <c r="AI23" s="13">
        <f>0.847*B23</f>
        <v>4490.8787</v>
      </c>
      <c r="AJ23" s="13">
        <f t="shared" si="8"/>
        <v>808.358166</v>
      </c>
      <c r="AK23" s="13">
        <f>0.83*B23</f>
        <v>4400.743</v>
      </c>
      <c r="AL23" s="13">
        <f t="shared" si="9"/>
        <v>792.13374</v>
      </c>
      <c r="AM23" s="13">
        <f>(2.25/1.18)*B23</f>
        <v>10109.936440677968</v>
      </c>
      <c r="AN23" s="13">
        <f t="shared" si="10"/>
        <v>1819.7885593220342</v>
      </c>
      <c r="AO23" s="13">
        <v>5909.4</v>
      </c>
      <c r="AP23" s="13">
        <f t="shared" si="11"/>
        <v>1063.692</v>
      </c>
      <c r="AQ23" s="113"/>
      <c r="AR23" s="113">
        <f t="shared" si="11"/>
        <v>0</v>
      </c>
      <c r="AS23" s="87">
        <v>0</v>
      </c>
      <c r="AT23" s="87">
        <f>600+68.1+11.7+7.8</f>
        <v>687.6</v>
      </c>
      <c r="AU23" s="87">
        <f t="shared" si="13"/>
        <v>123.768</v>
      </c>
      <c r="AV23" s="114">
        <v>425</v>
      </c>
      <c r="AW23" s="115">
        <v>3.25</v>
      </c>
      <c r="AX23" s="13">
        <f t="shared" si="19"/>
        <v>1825.4600000000003</v>
      </c>
      <c r="AY23" s="116"/>
      <c r="AZ23" s="154"/>
      <c r="BA23" s="117">
        <f t="shared" si="20"/>
        <v>0</v>
      </c>
      <c r="BB23" s="117">
        <f>SUM(AG23:AU23)+AX23+AY23+AZ23+BA23</f>
        <v>36273.438606</v>
      </c>
      <c r="BC23" s="143">
        <f>'[4]Т10'!$O$10+'[4]Т10'!$O$15+'[4]Т10'!$O$57+'[4]Т10'!$O$77+'[4]Т10'!$O$119</f>
        <v>1175.5112020000001</v>
      </c>
      <c r="BD23" s="142">
        <f t="shared" si="15"/>
        <v>33998.310028</v>
      </c>
      <c r="BE23" s="119">
        <f t="shared" si="14"/>
        <v>18050.184972</v>
      </c>
      <c r="BF23" s="119">
        <f t="shared" si="12"/>
        <v>6185.3299999999945</v>
      </c>
    </row>
    <row r="24" spans="1:58" ht="12.75" hidden="1">
      <c r="A24" s="11" t="s">
        <v>40</v>
      </c>
      <c r="B24" s="90">
        <v>5301</v>
      </c>
      <c r="C24" s="152">
        <f t="shared" si="1"/>
        <v>45853.65</v>
      </c>
      <c r="D24" s="150">
        <f t="shared" si="17"/>
        <v>5049.650000000004</v>
      </c>
      <c r="E24" s="80">
        <v>3855.4</v>
      </c>
      <c r="F24" s="80">
        <v>970.5</v>
      </c>
      <c r="G24" s="80">
        <v>5219.48</v>
      </c>
      <c r="H24" s="80">
        <v>1315.47</v>
      </c>
      <c r="I24" s="80">
        <v>12544.91</v>
      </c>
      <c r="J24" s="80">
        <v>2159.26</v>
      </c>
      <c r="K24" s="80">
        <v>8689.44</v>
      </c>
      <c r="L24" s="80">
        <v>2188.84</v>
      </c>
      <c r="M24" s="80">
        <v>3084.37</v>
      </c>
      <c r="N24" s="80">
        <v>776.33</v>
      </c>
      <c r="O24" s="80">
        <v>0</v>
      </c>
      <c r="P24" s="165">
        <v>0</v>
      </c>
      <c r="Q24" s="165">
        <v>0</v>
      </c>
      <c r="R24" s="165">
        <v>0</v>
      </c>
      <c r="S24" s="81">
        <f t="shared" si="2"/>
        <v>33393.600000000006</v>
      </c>
      <c r="T24" s="109">
        <f t="shared" si="3"/>
        <v>7410.400000000001</v>
      </c>
      <c r="U24" s="81">
        <v>3975.14</v>
      </c>
      <c r="V24" s="81">
        <v>5382.65</v>
      </c>
      <c r="W24" s="81">
        <v>12935.98</v>
      </c>
      <c r="X24" s="81">
        <v>8960.5</v>
      </c>
      <c r="Y24" s="81">
        <v>3180.31</v>
      </c>
      <c r="Z24" s="110">
        <v>0</v>
      </c>
      <c r="AA24" s="110">
        <v>0</v>
      </c>
      <c r="AB24" s="110">
        <f>SUM(U24:AA24)</f>
        <v>34434.579999999994</v>
      </c>
      <c r="AC24" s="123">
        <f>D24+T24+AB24</f>
        <v>46894.63</v>
      </c>
      <c r="AD24" s="89">
        <f t="shared" si="6"/>
        <v>0</v>
      </c>
      <c r="AE24" s="89">
        <f t="shared" si="7"/>
        <v>0</v>
      </c>
      <c r="AF24" s="89">
        <f>'[3]Т11'!$I$10+'[3]Т11'!$I$15+'[3]Т11'!$I$57+'[3]Т11'!$I$77+'[3]Т11'!$I$119</f>
        <v>2541.00554</v>
      </c>
      <c r="AG24" s="13">
        <f t="shared" si="18"/>
        <v>3180.6</v>
      </c>
      <c r="AH24" s="13">
        <f>B24*0.2</f>
        <v>1060.2</v>
      </c>
      <c r="AI24" s="13">
        <f>0.85*B24</f>
        <v>4505.849999999999</v>
      </c>
      <c r="AJ24" s="13">
        <f t="shared" si="8"/>
        <v>811.0529999999999</v>
      </c>
      <c r="AK24" s="13">
        <f>0.83*B24</f>
        <v>4399.83</v>
      </c>
      <c r="AL24" s="13">
        <f t="shared" si="9"/>
        <v>791.9694</v>
      </c>
      <c r="AM24" s="13">
        <f>(1.91)*B24</f>
        <v>10124.91</v>
      </c>
      <c r="AN24" s="13">
        <f t="shared" si="10"/>
        <v>1822.4838</v>
      </c>
      <c r="AO24" s="13"/>
      <c r="AP24" s="13">
        <f t="shared" si="11"/>
        <v>0</v>
      </c>
      <c r="AQ24" s="113"/>
      <c r="AR24" s="113">
        <f t="shared" si="11"/>
        <v>0</v>
      </c>
      <c r="AS24" s="87">
        <v>38529</v>
      </c>
      <c r="AT24" s="87">
        <f>2*375</f>
        <v>750</v>
      </c>
      <c r="AU24" s="87">
        <f t="shared" si="13"/>
        <v>7070.219999999999</v>
      </c>
      <c r="AV24" s="114">
        <v>470</v>
      </c>
      <c r="AW24" s="115">
        <v>3.25</v>
      </c>
      <c r="AX24" s="13">
        <f t="shared" si="19"/>
        <v>2018.7440000000001</v>
      </c>
      <c r="AY24" s="116"/>
      <c r="AZ24" s="117"/>
      <c r="BA24" s="117">
        <f t="shared" si="20"/>
        <v>0</v>
      </c>
      <c r="BB24" s="117">
        <f>SUM(AG24:AU24)+AX24+AY24+AZ24+BA24</f>
        <v>75064.86020000001</v>
      </c>
      <c r="BC24" s="118">
        <f>'[3]Т11'!$O$10+'[3]Т11'!$O$15+'[3]Т11'!$O$57+'[3]Т11'!$O$77+'[3]Т11'!$O$119</f>
        <v>1211.13306</v>
      </c>
      <c r="BD24" s="142">
        <f t="shared" si="15"/>
        <v>73734.98772</v>
      </c>
      <c r="BE24" s="119">
        <f t="shared" si="14"/>
        <v>-26840.35772000001</v>
      </c>
      <c r="BF24" s="119">
        <f t="shared" si="12"/>
        <v>1040.9799999999886</v>
      </c>
    </row>
    <row r="25" spans="1:58" s="121" customFormat="1" ht="12.75" hidden="1">
      <c r="A25" s="107" t="s">
        <v>41</v>
      </c>
      <c r="B25" s="108">
        <v>5301</v>
      </c>
      <c r="C25" s="152">
        <f t="shared" si="1"/>
        <v>45853.65</v>
      </c>
      <c r="D25" s="150">
        <f t="shared" si="17"/>
        <v>4286.120000000002</v>
      </c>
      <c r="E25" s="80">
        <v>3818.58</v>
      </c>
      <c r="F25" s="80">
        <v>979.62</v>
      </c>
      <c r="G25" s="80">
        <v>5170.75</v>
      </c>
      <c r="H25" s="80">
        <v>1327.84</v>
      </c>
      <c r="I25" s="80">
        <v>12426.25</v>
      </c>
      <c r="J25" s="80">
        <v>3188.94</v>
      </c>
      <c r="K25" s="80">
        <v>8607.6</v>
      </c>
      <c r="L25" s="80">
        <v>2209.41</v>
      </c>
      <c r="M25" s="80">
        <v>3054.92</v>
      </c>
      <c r="N25" s="80">
        <v>783.62</v>
      </c>
      <c r="O25" s="80">
        <v>0</v>
      </c>
      <c r="P25" s="165">
        <v>0</v>
      </c>
      <c r="Q25" s="165"/>
      <c r="R25" s="165"/>
      <c r="S25" s="81">
        <f t="shared" si="2"/>
        <v>33078.1</v>
      </c>
      <c r="T25" s="109">
        <f t="shared" si="3"/>
        <v>8489.43</v>
      </c>
      <c r="U25" s="81">
        <v>4764.88</v>
      </c>
      <c r="V25" s="81">
        <v>6451.86</v>
      </c>
      <c r="W25" s="81">
        <v>15505.47</v>
      </c>
      <c r="X25" s="81">
        <v>10740.52</v>
      </c>
      <c r="Y25" s="81">
        <v>3812</v>
      </c>
      <c r="Z25" s="110">
        <v>0</v>
      </c>
      <c r="AA25" s="110">
        <v>0</v>
      </c>
      <c r="AB25" s="110">
        <f>SUM(U25:AA25)</f>
        <v>41274.729999999996</v>
      </c>
      <c r="AC25" s="123">
        <f>D25+T25+AB25</f>
        <v>54050.28</v>
      </c>
      <c r="AD25" s="89">
        <f t="shared" si="6"/>
        <v>0</v>
      </c>
      <c r="AE25" s="89">
        <f t="shared" si="7"/>
        <v>0</v>
      </c>
      <c r="AF25" s="89">
        <f>'[3]Т12'!$I$10+'[3]Т12'!$I$15+'[3]Т12'!$I$58+'[3]Т12'!$I$78+'[3]Т12'!$I$121</f>
        <v>2541.00554</v>
      </c>
      <c r="AG25" s="13">
        <f t="shared" si="18"/>
        <v>3180.6</v>
      </c>
      <c r="AH25" s="13">
        <f>B25*0.2</f>
        <v>1060.2</v>
      </c>
      <c r="AI25" s="13">
        <f>0.85*B25</f>
        <v>4505.849999999999</v>
      </c>
      <c r="AJ25" s="13">
        <f t="shared" si="8"/>
        <v>811.0529999999999</v>
      </c>
      <c r="AK25" s="13">
        <f>0.83*B25</f>
        <v>4399.83</v>
      </c>
      <c r="AL25" s="13">
        <f t="shared" si="9"/>
        <v>791.9694</v>
      </c>
      <c r="AM25" s="13">
        <f>(1.91)*B25</f>
        <v>10124.91</v>
      </c>
      <c r="AN25" s="13">
        <f t="shared" si="10"/>
        <v>1822.4838</v>
      </c>
      <c r="AO25" s="13"/>
      <c r="AP25" s="13">
        <f t="shared" si="11"/>
        <v>0</v>
      </c>
      <c r="AQ25" s="113"/>
      <c r="AR25" s="113">
        <f t="shared" si="11"/>
        <v>0</v>
      </c>
      <c r="AS25" s="87">
        <v>2042</v>
      </c>
      <c r="AT25" s="87">
        <v>294.9</v>
      </c>
      <c r="AU25" s="87">
        <f t="shared" si="13"/>
        <v>420.642</v>
      </c>
      <c r="AV25" s="114">
        <v>514</v>
      </c>
      <c r="AW25" s="115">
        <v>3.25</v>
      </c>
      <c r="AX25" s="13">
        <f t="shared" si="19"/>
        <v>2207.7328</v>
      </c>
      <c r="AY25" s="116"/>
      <c r="AZ25" s="117"/>
      <c r="BA25" s="117">
        <f t="shared" si="20"/>
        <v>0</v>
      </c>
      <c r="BB25" s="117">
        <f>SUM(AG25:BA25)-AV25-AW25</f>
        <v>31662.171000000006</v>
      </c>
      <c r="BC25" s="118">
        <f>'[3]Т12'!$O$10+'[3]Т12'!$O$15+'[3]Т12'!$O$58+'[3]Т12'!$O$78+'[3]Т12'!$O$121</f>
        <v>1211.13306</v>
      </c>
      <c r="BD25" s="142">
        <f t="shared" si="15"/>
        <v>30332.298520000004</v>
      </c>
      <c r="BE25" s="119">
        <f t="shared" si="14"/>
        <v>23717.981479999995</v>
      </c>
      <c r="BF25" s="119">
        <f t="shared" si="12"/>
        <v>8196.629999999997</v>
      </c>
    </row>
    <row r="26" spans="1:58" s="16" customFormat="1" ht="12.75" hidden="1">
      <c r="A26" s="14" t="s">
        <v>3</v>
      </c>
      <c r="B26" s="49"/>
      <c r="C26" s="49">
        <f>SUM(C14:C25)</f>
        <v>550362.3050000002</v>
      </c>
      <c r="D26" s="49">
        <f aca="true" t="shared" si="21" ref="D26:BF26">SUM(D14:D25)</f>
        <v>57725.83187500004</v>
      </c>
      <c r="E26" s="49">
        <f t="shared" si="21"/>
        <v>45056.33</v>
      </c>
      <c r="F26" s="49">
        <f t="shared" si="21"/>
        <v>10972.78</v>
      </c>
      <c r="G26" s="49">
        <f t="shared" si="21"/>
        <v>60950.740000000005</v>
      </c>
      <c r="H26" s="49">
        <f t="shared" si="21"/>
        <v>14855.51</v>
      </c>
      <c r="I26" s="49">
        <f t="shared" si="21"/>
        <v>146559.07</v>
      </c>
      <c r="J26" s="49">
        <f t="shared" si="21"/>
        <v>34702.37</v>
      </c>
      <c r="K26" s="49">
        <f t="shared" si="21"/>
        <v>101505.34000000001</v>
      </c>
      <c r="L26" s="49">
        <f t="shared" si="21"/>
        <v>24730.17</v>
      </c>
      <c r="M26" s="49">
        <f t="shared" si="21"/>
        <v>36045.54</v>
      </c>
      <c r="N26" s="49">
        <f t="shared" si="21"/>
        <v>8777.590000000002</v>
      </c>
      <c r="O26" s="49">
        <f t="shared" si="21"/>
        <v>0</v>
      </c>
      <c r="P26" s="49">
        <f t="shared" si="21"/>
        <v>0</v>
      </c>
      <c r="Q26" s="49">
        <f t="shared" si="21"/>
        <v>0</v>
      </c>
      <c r="R26" s="49">
        <f t="shared" si="21"/>
        <v>0</v>
      </c>
      <c r="S26" s="49">
        <f t="shared" si="21"/>
        <v>390117.02</v>
      </c>
      <c r="T26" s="49">
        <f t="shared" si="21"/>
        <v>94038.41999999998</v>
      </c>
      <c r="U26" s="49">
        <f t="shared" si="21"/>
        <v>43997.28</v>
      </c>
      <c r="V26" s="49">
        <f t="shared" si="21"/>
        <v>59475.710000000014</v>
      </c>
      <c r="W26" s="49">
        <f t="shared" si="21"/>
        <v>142914.28</v>
      </c>
      <c r="X26" s="49">
        <f t="shared" si="21"/>
        <v>98999.18000000001</v>
      </c>
      <c r="Y26" s="49">
        <f t="shared" si="21"/>
        <v>35214.840000000004</v>
      </c>
      <c r="Z26" s="49">
        <f t="shared" si="21"/>
        <v>0</v>
      </c>
      <c r="AA26" s="49">
        <f t="shared" si="21"/>
        <v>0</v>
      </c>
      <c r="AB26" s="49">
        <f t="shared" si="21"/>
        <v>380601.29</v>
      </c>
      <c r="AC26" s="49">
        <f t="shared" si="21"/>
        <v>532365.541875</v>
      </c>
      <c r="AD26" s="49">
        <f t="shared" si="21"/>
        <v>0</v>
      </c>
      <c r="AE26" s="49">
        <f t="shared" si="21"/>
        <v>0</v>
      </c>
      <c r="AF26" s="49">
        <f t="shared" si="21"/>
        <v>21058.660019999996</v>
      </c>
      <c r="AG26" s="49">
        <f t="shared" si="21"/>
        <v>36902.75400000001</v>
      </c>
      <c r="AH26" s="49">
        <f t="shared" si="21"/>
        <v>12355.036449000001</v>
      </c>
      <c r="AI26" s="49">
        <f t="shared" si="21"/>
        <v>51591.17687975</v>
      </c>
      <c r="AJ26" s="49">
        <f t="shared" si="21"/>
        <v>9286.411838355</v>
      </c>
      <c r="AK26" s="49">
        <f t="shared" si="21"/>
        <v>50146.60624953001</v>
      </c>
      <c r="AL26" s="49">
        <f t="shared" si="21"/>
        <v>9026.3891249154</v>
      </c>
      <c r="AM26" s="49">
        <f t="shared" si="21"/>
        <v>115381.56040008797</v>
      </c>
      <c r="AN26" s="49">
        <f t="shared" si="21"/>
        <v>20768.680872015837</v>
      </c>
      <c r="AO26" s="49">
        <f t="shared" si="21"/>
        <v>5909.4</v>
      </c>
      <c r="AP26" s="49">
        <f t="shared" si="21"/>
        <v>1063.692</v>
      </c>
      <c r="AQ26" s="157">
        <f t="shared" si="21"/>
        <v>12426.76</v>
      </c>
      <c r="AR26" s="157">
        <f t="shared" si="21"/>
        <v>2236.8168</v>
      </c>
      <c r="AS26" s="48">
        <f t="shared" si="21"/>
        <v>159909.62</v>
      </c>
      <c r="AT26" s="48">
        <f t="shared" si="21"/>
        <v>1732.5</v>
      </c>
      <c r="AU26" s="48">
        <f t="shared" si="21"/>
        <v>29095.5916</v>
      </c>
      <c r="AV26" s="49">
        <f t="shared" si="21"/>
        <v>4400</v>
      </c>
      <c r="AW26" s="49">
        <f t="shared" si="21"/>
        <v>39</v>
      </c>
      <c r="AX26" s="49">
        <f t="shared" si="21"/>
        <v>18898.884000000002</v>
      </c>
      <c r="AY26" s="49">
        <f t="shared" si="21"/>
        <v>0</v>
      </c>
      <c r="AZ26" s="49">
        <f t="shared" si="21"/>
        <v>0</v>
      </c>
      <c r="BA26" s="49">
        <f t="shared" si="21"/>
        <v>0</v>
      </c>
      <c r="BB26" s="49">
        <f t="shared" si="21"/>
        <v>536731.8802136541</v>
      </c>
      <c r="BC26" s="49">
        <f t="shared" si="21"/>
        <v>9330.7561911848</v>
      </c>
      <c r="BD26" s="49">
        <f t="shared" si="21"/>
        <v>525003.9763848389</v>
      </c>
      <c r="BE26" s="49">
        <f t="shared" si="21"/>
        <v>7361.565490160972</v>
      </c>
      <c r="BF26" s="158">
        <f t="shared" si="21"/>
        <v>-9515.730000000025</v>
      </c>
    </row>
    <row r="27" spans="1:58" s="16" customFormat="1" ht="12.75" hidden="1">
      <c r="A27" s="14"/>
      <c r="B27" s="49"/>
      <c r="C27" s="49"/>
      <c r="D27" s="4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0"/>
      <c r="V27" s="50"/>
      <c r="W27" s="50"/>
      <c r="X27" s="50"/>
      <c r="Y27" s="50"/>
      <c r="Z27" s="50"/>
      <c r="AA27" s="50"/>
      <c r="AB27" s="50"/>
      <c r="AC27" s="50"/>
      <c r="AD27" s="88"/>
      <c r="AE27" s="88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86"/>
      <c r="AQ27" s="159"/>
      <c r="AR27" s="159"/>
      <c r="AS27" s="86"/>
      <c r="AT27" s="86"/>
      <c r="AU27" s="86"/>
      <c r="AV27" s="15"/>
      <c r="AW27" s="15"/>
      <c r="AX27" s="160"/>
      <c r="AY27" s="61"/>
      <c r="AZ27" s="61"/>
      <c r="BA27" s="61"/>
      <c r="BB27" s="61"/>
      <c r="BC27" s="61"/>
      <c r="BD27" s="61"/>
      <c r="BE27" s="61"/>
      <c r="BF27" s="161"/>
    </row>
    <row r="28" spans="1:58" s="16" customFormat="1" ht="13.5" hidden="1" thickBot="1">
      <c r="A28" s="18" t="s">
        <v>52</v>
      </c>
      <c r="B28" s="19"/>
      <c r="C28" s="19">
        <f>C12+C26</f>
        <v>688008.8900000001</v>
      </c>
      <c r="D28" s="19">
        <f aca="true" t="shared" si="22" ref="D28:BF28">D12+D26</f>
        <v>90857.82370645006</v>
      </c>
      <c r="E28" s="19">
        <f t="shared" si="22"/>
        <v>55760.520000000004</v>
      </c>
      <c r="F28" s="19">
        <f t="shared" si="22"/>
        <v>13432.59</v>
      </c>
      <c r="G28" s="19">
        <f t="shared" si="22"/>
        <v>75401.8</v>
      </c>
      <c r="H28" s="19">
        <f t="shared" si="22"/>
        <v>18176.260000000002</v>
      </c>
      <c r="I28" s="19">
        <f t="shared" si="22"/>
        <v>181348.09</v>
      </c>
      <c r="J28" s="19">
        <f t="shared" si="22"/>
        <v>42696.72</v>
      </c>
      <c r="K28" s="19">
        <f t="shared" si="22"/>
        <v>125590.14000000001</v>
      </c>
      <c r="L28" s="19">
        <f t="shared" si="22"/>
        <v>30264.699999999997</v>
      </c>
      <c r="M28" s="19">
        <f t="shared" si="22"/>
        <v>44609.01</v>
      </c>
      <c r="N28" s="19">
        <f t="shared" si="22"/>
        <v>10745.360000000002</v>
      </c>
      <c r="O28" s="19">
        <f t="shared" si="22"/>
        <v>0</v>
      </c>
      <c r="P28" s="19">
        <f t="shared" si="22"/>
        <v>0</v>
      </c>
      <c r="Q28" s="19">
        <f t="shared" si="22"/>
        <v>0</v>
      </c>
      <c r="R28" s="19">
        <f t="shared" si="22"/>
        <v>0</v>
      </c>
      <c r="S28" s="19">
        <f t="shared" si="22"/>
        <v>482709.56000000006</v>
      </c>
      <c r="T28" s="19">
        <f t="shared" si="22"/>
        <v>115315.62999999998</v>
      </c>
      <c r="U28" s="19">
        <f t="shared" si="22"/>
        <v>50650</v>
      </c>
      <c r="V28" s="19">
        <f t="shared" si="22"/>
        <v>68457.03000000001</v>
      </c>
      <c r="W28" s="19">
        <f t="shared" si="22"/>
        <v>164535.81</v>
      </c>
      <c r="X28" s="19">
        <f t="shared" si="22"/>
        <v>113967.93000000001</v>
      </c>
      <c r="Y28" s="19">
        <f t="shared" si="22"/>
        <v>40537.15</v>
      </c>
      <c r="Z28" s="19">
        <f t="shared" si="22"/>
        <v>0</v>
      </c>
      <c r="AA28" s="19">
        <f t="shared" si="22"/>
        <v>0</v>
      </c>
      <c r="AB28" s="19">
        <f t="shared" si="22"/>
        <v>438147.92</v>
      </c>
      <c r="AC28" s="19">
        <f t="shared" si="22"/>
        <v>644321.37370645</v>
      </c>
      <c r="AD28" s="19">
        <f t="shared" si="22"/>
        <v>0</v>
      </c>
      <c r="AE28" s="19">
        <f t="shared" si="22"/>
        <v>0</v>
      </c>
      <c r="AF28" s="19">
        <f t="shared" si="22"/>
        <v>21058.660019999996</v>
      </c>
      <c r="AG28" s="19">
        <f t="shared" si="22"/>
        <v>46450.494000000006</v>
      </c>
      <c r="AH28" s="19">
        <f t="shared" si="22"/>
        <v>15631.492559000002</v>
      </c>
      <c r="AI28" s="19">
        <f t="shared" si="22"/>
        <v>65132.61043575</v>
      </c>
      <c r="AJ28" s="19">
        <f>AJ12+AJ26</f>
        <v>11723.869878434998</v>
      </c>
      <c r="AK28" s="19">
        <f t="shared" si="22"/>
        <v>65904.57401169001</v>
      </c>
      <c r="AL28" s="19">
        <f t="shared" si="22"/>
        <v>11862.823322104201</v>
      </c>
      <c r="AM28" s="19">
        <f t="shared" si="22"/>
        <v>144321.57427097796</v>
      </c>
      <c r="AN28" s="19">
        <f t="shared" si="22"/>
        <v>25977.883368776034</v>
      </c>
      <c r="AO28" s="19">
        <f t="shared" si="22"/>
        <v>5909.4</v>
      </c>
      <c r="AP28" s="19">
        <f t="shared" si="22"/>
        <v>1063.692</v>
      </c>
      <c r="AQ28" s="162">
        <f t="shared" si="22"/>
        <v>12426.76</v>
      </c>
      <c r="AR28" s="162">
        <f t="shared" si="22"/>
        <v>2236.8168</v>
      </c>
      <c r="AS28" s="46">
        <f t="shared" si="22"/>
        <v>181744.58</v>
      </c>
      <c r="AT28" s="46">
        <f t="shared" si="22"/>
        <v>1732.5</v>
      </c>
      <c r="AU28" s="46">
        <f t="shared" si="22"/>
        <v>33025.8844</v>
      </c>
      <c r="AV28" s="19"/>
      <c r="AW28" s="19"/>
      <c r="AX28" s="19">
        <f t="shared" si="22"/>
        <v>18898.884000000002</v>
      </c>
      <c r="AY28" s="19">
        <f t="shared" si="22"/>
        <v>0</v>
      </c>
      <c r="AZ28" s="19">
        <f t="shared" si="22"/>
        <v>0</v>
      </c>
      <c r="BA28" s="19">
        <f t="shared" si="22"/>
        <v>0</v>
      </c>
      <c r="BB28" s="19">
        <f t="shared" si="22"/>
        <v>644043.8390467331</v>
      </c>
      <c r="BC28" s="19">
        <f t="shared" si="22"/>
        <v>9330.7561911848</v>
      </c>
      <c r="BD28" s="19">
        <f t="shared" si="22"/>
        <v>632315.9352179179</v>
      </c>
      <c r="BE28" s="19">
        <f t="shared" si="22"/>
        <v>12005.438488531994</v>
      </c>
      <c r="BF28" s="19">
        <f t="shared" si="22"/>
        <v>-44561.64000000002</v>
      </c>
    </row>
    <row r="29" spans="1:58" ht="15" customHeight="1" hidden="1">
      <c r="A29" s="7" t="s">
        <v>90</v>
      </c>
      <c r="B29" s="128"/>
      <c r="C29" s="129"/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132"/>
      <c r="Q29" s="133"/>
      <c r="R29" s="133"/>
      <c r="S29" s="133"/>
      <c r="T29" s="133"/>
      <c r="U29" s="134"/>
      <c r="V29" s="134"/>
      <c r="W29" s="134"/>
      <c r="X29" s="134"/>
      <c r="Y29" s="134"/>
      <c r="Z29" s="134"/>
      <c r="AA29" s="135"/>
      <c r="AB29" s="135"/>
      <c r="AC29" s="136"/>
      <c r="AD29" s="137"/>
      <c r="AE29" s="137"/>
      <c r="AF29" s="40"/>
      <c r="AG29" s="40"/>
      <c r="AH29" s="40"/>
      <c r="AI29" s="40"/>
      <c r="AJ29" s="40"/>
      <c r="AK29" s="40"/>
      <c r="AL29" s="40"/>
      <c r="AM29" s="40"/>
      <c r="AN29" s="93"/>
      <c r="AO29" s="93"/>
      <c r="AP29" s="93"/>
      <c r="AQ29" s="138"/>
      <c r="AR29" s="139"/>
      <c r="AS29" s="140"/>
      <c r="AT29" s="140"/>
      <c r="AU29" s="94"/>
      <c r="AV29" s="40"/>
      <c r="AW29" s="40"/>
      <c r="AX29" s="42"/>
      <c r="AY29" s="1"/>
      <c r="AZ29" s="1"/>
      <c r="BA29" s="1"/>
      <c r="BB29" s="1"/>
      <c r="BC29" s="1"/>
      <c r="BD29" s="1"/>
      <c r="BE29" s="1"/>
      <c r="BF29" s="105"/>
    </row>
    <row r="30" spans="1:58" ht="12.75" hidden="1">
      <c r="A30" s="11" t="s">
        <v>43</v>
      </c>
      <c r="B30" s="108">
        <v>5301</v>
      </c>
      <c r="C30" s="152">
        <f aca="true" t="shared" si="23" ref="C30:C41">B30*8.65</f>
        <v>45853.65</v>
      </c>
      <c r="D30" s="150">
        <f aca="true" t="shared" si="24" ref="D30:D36">C30-E30-F30-G30-H30-I30-J30-K30-L30-M30-N30</f>
        <v>4187.579999999992</v>
      </c>
      <c r="E30" s="80">
        <v>3830.05</v>
      </c>
      <c r="F30" s="80">
        <v>979.62</v>
      </c>
      <c r="G30" s="80">
        <v>5186.02</v>
      </c>
      <c r="H30" s="80">
        <v>1327.83</v>
      </c>
      <c r="I30" s="80">
        <v>12463.31</v>
      </c>
      <c r="J30" s="80">
        <v>3188.95</v>
      </c>
      <c r="K30" s="80">
        <v>8633.18</v>
      </c>
      <c r="L30" s="80">
        <v>2209.4</v>
      </c>
      <c r="M30" s="80">
        <v>3064.09</v>
      </c>
      <c r="N30" s="80">
        <v>783.62</v>
      </c>
      <c r="O30" s="80">
        <v>0</v>
      </c>
      <c r="P30" s="165">
        <v>0</v>
      </c>
      <c r="Q30" s="165"/>
      <c r="R30" s="165"/>
      <c r="S30" s="81">
        <f aca="true" t="shared" si="25" ref="S30:S41">E30+G30+I30+K30+M30+O30+Q30</f>
        <v>33176.649999999994</v>
      </c>
      <c r="T30" s="109">
        <f aca="true" t="shared" si="26" ref="T30:T41">P30+N30+L30+J30+H30+F30+R30</f>
        <v>8489.42</v>
      </c>
      <c r="U30" s="81">
        <v>2796.68</v>
      </c>
      <c r="V30" s="81">
        <v>3822.38</v>
      </c>
      <c r="W30" s="81">
        <v>9100.33</v>
      </c>
      <c r="X30" s="81">
        <v>6303.43</v>
      </c>
      <c r="Y30" s="81">
        <v>2237.39</v>
      </c>
      <c r="Z30" s="110">
        <v>0</v>
      </c>
      <c r="AA30" s="110">
        <v>0</v>
      </c>
      <c r="AB30" s="110">
        <f>SUM(U30:AA30)</f>
        <v>24260.21</v>
      </c>
      <c r="AC30" s="123">
        <f aca="true" t="shared" si="27" ref="AC30:AC41">D30+T30+AB30</f>
        <v>36937.20999999999</v>
      </c>
      <c r="AD30" s="89">
        <f aca="true" t="shared" si="28" ref="AD30:AD41">P30+Z30</f>
        <v>0</v>
      </c>
      <c r="AE30" s="89">
        <f aca="true" t="shared" si="29" ref="AE30:AE41">R30+AA30</f>
        <v>0</v>
      </c>
      <c r="AF30" s="89">
        <f>'[5]Т01-10'!$I$10+'[5]Т01-10'!$I$15+'[5]Т01-10'!$I$55+'[5]Т01-10'!$I$75+'[5]Т01-10'!$I$118</f>
        <v>2541.0155400000003</v>
      </c>
      <c r="AG30" s="13">
        <f aca="true" t="shared" si="30" ref="AG30:AG41">0.6*B30</f>
        <v>3180.6</v>
      </c>
      <c r="AH30" s="13">
        <f aca="true" t="shared" si="31" ref="AH30:AH41">B30*0.2</f>
        <v>1060.2</v>
      </c>
      <c r="AI30" s="13">
        <f aca="true" t="shared" si="32" ref="AI30:AI41">1*B30</f>
        <v>5301</v>
      </c>
      <c r="AJ30" s="13">
        <v>0</v>
      </c>
      <c r="AK30" s="13">
        <f aca="true" t="shared" si="33" ref="AK30:AK41">0.98*B30</f>
        <v>5194.98</v>
      </c>
      <c r="AL30" s="13">
        <v>0</v>
      </c>
      <c r="AM30" s="13">
        <f aca="true" t="shared" si="34" ref="AM30:AM41">2.25*B30</f>
        <v>11927.25</v>
      </c>
      <c r="AN30" s="13">
        <v>0</v>
      </c>
      <c r="AO30" s="13"/>
      <c r="AP30" s="13">
        <v>0</v>
      </c>
      <c r="AQ30" s="113"/>
      <c r="AR30" s="113"/>
      <c r="AS30" s="87">
        <v>334</v>
      </c>
      <c r="AT30" s="87"/>
      <c r="AU30" s="87">
        <f>AT30*0.18</f>
        <v>0</v>
      </c>
      <c r="AV30" s="114">
        <v>508</v>
      </c>
      <c r="AW30" s="115">
        <v>3.25</v>
      </c>
      <c r="AX30" s="13">
        <f>AV30*AW30*1.4</f>
        <v>2311.3999999999996</v>
      </c>
      <c r="AY30" s="116"/>
      <c r="AZ30" s="117"/>
      <c r="BA30" s="117">
        <f aca="true" t="shared" si="35" ref="BA30:BA38">AZ30*0.18</f>
        <v>0</v>
      </c>
      <c r="BB30" s="117">
        <f aca="true" t="shared" si="36" ref="BB30:BB36">SUM(AG30:BA30)-AV30-AW30</f>
        <v>29309.43</v>
      </c>
      <c r="BC30" s="118">
        <f>'[5]Т03-10'!$M$10+'[5]Т03-10'!$M$15+'[5]Т03-10'!$M$56+'[5]Т03-10'!$M$76+'[5]Т03-10'!$M$119</f>
        <v>1209.699</v>
      </c>
      <c r="BD30" s="142"/>
      <c r="BE30" s="119">
        <f>(AC30-BB30)+(AF30-BC30)</f>
        <v>8959.096539999991</v>
      </c>
      <c r="BF30" s="119">
        <f>AB30-S30</f>
        <v>-8916.439999999995</v>
      </c>
    </row>
    <row r="31" spans="1:58" ht="12.75" hidden="1">
      <c r="A31" s="11" t="s">
        <v>44</v>
      </c>
      <c r="B31" s="90">
        <v>5301</v>
      </c>
      <c r="C31" s="152">
        <f t="shared" si="23"/>
        <v>45853.65</v>
      </c>
      <c r="D31" s="150">
        <f t="shared" si="24"/>
        <v>4137.909999999996</v>
      </c>
      <c r="E31" s="173">
        <v>3857.19</v>
      </c>
      <c r="F31" s="80">
        <v>958.33</v>
      </c>
      <c r="G31" s="80">
        <v>5222.49</v>
      </c>
      <c r="H31" s="80">
        <v>1298.98</v>
      </c>
      <c r="I31" s="80">
        <v>12551.24</v>
      </c>
      <c r="J31" s="80">
        <v>3119.7</v>
      </c>
      <c r="K31" s="80">
        <v>8693.99</v>
      </c>
      <c r="L31" s="80">
        <v>2161.44</v>
      </c>
      <c r="M31" s="80">
        <v>3085.78</v>
      </c>
      <c r="N31" s="80">
        <v>766.6</v>
      </c>
      <c r="O31" s="80">
        <v>0</v>
      </c>
      <c r="P31" s="165">
        <v>0</v>
      </c>
      <c r="Q31" s="110">
        <v>0</v>
      </c>
      <c r="R31" s="110">
        <v>0</v>
      </c>
      <c r="S31" s="81">
        <f t="shared" si="25"/>
        <v>33410.689999999995</v>
      </c>
      <c r="T31" s="109">
        <f t="shared" si="26"/>
        <v>8305.05</v>
      </c>
      <c r="U31" s="81">
        <v>3538.75</v>
      </c>
      <c r="V31" s="81">
        <v>4760.05</v>
      </c>
      <c r="W31" s="81">
        <v>11515.06</v>
      </c>
      <c r="X31" s="81">
        <v>8563.61</v>
      </c>
      <c r="Y31" s="81">
        <v>2831.07</v>
      </c>
      <c r="Z31" s="110">
        <v>0</v>
      </c>
      <c r="AA31" s="110">
        <v>0</v>
      </c>
      <c r="AB31" s="110">
        <f>SUM(U31:AA31)</f>
        <v>31208.54</v>
      </c>
      <c r="AC31" s="123">
        <f t="shared" si="27"/>
        <v>43651.5</v>
      </c>
      <c r="AD31" s="89">
        <f t="shared" si="28"/>
        <v>0</v>
      </c>
      <c r="AE31" s="89">
        <f t="shared" si="29"/>
        <v>0</v>
      </c>
      <c r="AF31" s="89">
        <f>'[5]Т01-10'!$I$10+'[5]Т01-10'!$I$15+'[5]Т01-10'!$I$55+'[5]Т01-10'!$I$75+'[5]Т01-10'!$I$118</f>
        <v>2541.0155400000003</v>
      </c>
      <c r="AG31" s="13">
        <f t="shared" si="30"/>
        <v>3180.6</v>
      </c>
      <c r="AH31" s="13">
        <f t="shared" si="31"/>
        <v>1060.2</v>
      </c>
      <c r="AI31" s="13">
        <f t="shared" si="32"/>
        <v>5301</v>
      </c>
      <c r="AJ31" s="13">
        <v>0</v>
      </c>
      <c r="AK31" s="13">
        <f t="shared" si="33"/>
        <v>5194.98</v>
      </c>
      <c r="AL31" s="13">
        <v>0</v>
      </c>
      <c r="AM31" s="13">
        <f t="shared" si="34"/>
        <v>11927.25</v>
      </c>
      <c r="AN31" s="13">
        <v>0</v>
      </c>
      <c r="AO31" s="13"/>
      <c r="AP31" s="13"/>
      <c r="AQ31" s="113"/>
      <c r="AR31" s="113"/>
      <c r="AS31" s="87">
        <v>18883</v>
      </c>
      <c r="AT31" s="87"/>
      <c r="AU31" s="87">
        <f>AT31*0.18</f>
        <v>0</v>
      </c>
      <c r="AV31" s="114">
        <v>407</v>
      </c>
      <c r="AW31" s="115">
        <v>3.25</v>
      </c>
      <c r="AX31" s="13">
        <f>AV31*AW31*1.4</f>
        <v>1851.85</v>
      </c>
      <c r="AY31" s="116"/>
      <c r="AZ31" s="117"/>
      <c r="BA31" s="117">
        <f t="shared" si="35"/>
        <v>0</v>
      </c>
      <c r="BB31" s="117">
        <f t="shared" si="36"/>
        <v>47398.88</v>
      </c>
      <c r="BC31" s="118">
        <f>'[5]Т03-10'!$M$10+'[5]Т03-10'!$M$15+'[5]Т03-10'!$M$56+'[5]Т03-10'!$M$76+'[5]Т03-10'!$M$119</f>
        <v>1209.699</v>
      </c>
      <c r="BD31" s="142"/>
      <c r="BE31" s="119">
        <f aca="true" t="shared" si="37" ref="BE31:BE41">(AC31-BB31)+(AF31-BC31)</f>
        <v>-2416.063459999997</v>
      </c>
      <c r="BF31" s="119">
        <f aca="true" t="shared" si="38" ref="BF31:BF41">AB31-S31</f>
        <v>-2202.149999999994</v>
      </c>
    </row>
    <row r="32" spans="1:58" ht="13.5" hidden="1" thickBot="1">
      <c r="A32" s="144" t="s">
        <v>45</v>
      </c>
      <c r="B32" s="108">
        <v>5301</v>
      </c>
      <c r="C32" s="152">
        <f t="shared" si="23"/>
        <v>45853.65</v>
      </c>
      <c r="D32" s="150">
        <f t="shared" si="24"/>
        <v>4149.93</v>
      </c>
      <c r="E32" s="80">
        <v>3856.11</v>
      </c>
      <c r="F32" s="80">
        <v>958</v>
      </c>
      <c r="G32" s="80">
        <v>5221.07</v>
      </c>
      <c r="H32" s="80">
        <v>1298.54</v>
      </c>
      <c r="I32" s="80">
        <v>12547.78</v>
      </c>
      <c r="J32" s="80">
        <v>3118.63</v>
      </c>
      <c r="K32" s="80">
        <v>8691.64</v>
      </c>
      <c r="L32" s="80">
        <v>2160.69</v>
      </c>
      <c r="M32" s="80">
        <v>3084.92</v>
      </c>
      <c r="N32" s="80">
        <v>766.34</v>
      </c>
      <c r="O32" s="80">
        <v>0</v>
      </c>
      <c r="P32" s="165">
        <v>0</v>
      </c>
      <c r="Q32" s="165">
        <v>0</v>
      </c>
      <c r="R32" s="165">
        <v>0</v>
      </c>
      <c r="S32" s="81">
        <f t="shared" si="25"/>
        <v>33401.52</v>
      </c>
      <c r="T32" s="109">
        <f t="shared" si="26"/>
        <v>8302.2</v>
      </c>
      <c r="U32" s="81">
        <v>4431.45</v>
      </c>
      <c r="V32" s="81">
        <v>5999.29</v>
      </c>
      <c r="W32" s="81">
        <v>14421.3</v>
      </c>
      <c r="X32" s="81">
        <v>9989.56</v>
      </c>
      <c r="Y32" s="81">
        <v>3545.13</v>
      </c>
      <c r="Z32" s="110">
        <v>0</v>
      </c>
      <c r="AA32" s="110">
        <v>0</v>
      </c>
      <c r="AB32" s="110">
        <f>SUM(U32:AA32)</f>
        <v>38386.729999999996</v>
      </c>
      <c r="AC32" s="123">
        <f t="shared" si="27"/>
        <v>50838.86</v>
      </c>
      <c r="AD32" s="89">
        <f t="shared" si="28"/>
        <v>0</v>
      </c>
      <c r="AE32" s="89">
        <f t="shared" si="29"/>
        <v>0</v>
      </c>
      <c r="AF32" s="89">
        <f>'[5]Т01-10'!$I$10+'[5]Т01-10'!$I$15+'[5]Т01-10'!$I$55+'[5]Т01-10'!$I$75+'[5]Т01-10'!$I$118</f>
        <v>2541.0155400000003</v>
      </c>
      <c r="AG32" s="13">
        <f t="shared" si="30"/>
        <v>3180.6</v>
      </c>
      <c r="AH32" s="13">
        <f t="shared" si="31"/>
        <v>1060.2</v>
      </c>
      <c r="AI32" s="13">
        <f t="shared" si="32"/>
        <v>5301</v>
      </c>
      <c r="AJ32" s="13">
        <v>0</v>
      </c>
      <c r="AK32" s="13">
        <f t="shared" si="33"/>
        <v>5194.98</v>
      </c>
      <c r="AL32" s="13">
        <v>0</v>
      </c>
      <c r="AM32" s="13">
        <f t="shared" si="34"/>
        <v>11927.25</v>
      </c>
      <c r="AN32" s="13">
        <v>0</v>
      </c>
      <c r="AO32" s="13"/>
      <c r="AP32" s="13"/>
      <c r="AQ32" s="113">
        <v>6855</v>
      </c>
      <c r="AR32" s="113"/>
      <c r="AS32" s="87">
        <v>5171</v>
      </c>
      <c r="AT32" s="87"/>
      <c r="AU32" s="87">
        <f>AT32*0.18</f>
        <v>0</v>
      </c>
      <c r="AV32" s="114">
        <v>383</v>
      </c>
      <c r="AW32" s="115">
        <v>3.25</v>
      </c>
      <c r="AX32" s="13">
        <f>AV32*AW32*1.4</f>
        <v>1742.6499999999999</v>
      </c>
      <c r="AY32" s="116"/>
      <c r="AZ32" s="117"/>
      <c r="BA32" s="117">
        <f t="shared" si="35"/>
        <v>0</v>
      </c>
      <c r="BB32" s="117">
        <f t="shared" si="36"/>
        <v>40432.68</v>
      </c>
      <c r="BC32" s="118">
        <f>'[5]Т03-10'!$M$10+'[5]Т03-10'!$M$15+'[5]Т03-10'!$M$56+'[5]Т03-10'!$M$76+'[5]Т03-10'!$M$119</f>
        <v>1209.699</v>
      </c>
      <c r="BD32" s="148"/>
      <c r="BE32" s="119">
        <f t="shared" si="37"/>
        <v>11737.49654</v>
      </c>
      <c r="BF32" s="119">
        <f t="shared" si="38"/>
        <v>4985.209999999999</v>
      </c>
    </row>
    <row r="33" spans="1:58" ht="12.75" hidden="1">
      <c r="A33" s="149" t="s">
        <v>46</v>
      </c>
      <c r="B33" s="108">
        <v>5301</v>
      </c>
      <c r="C33" s="152">
        <f t="shared" si="23"/>
        <v>45853.65</v>
      </c>
      <c r="D33" s="150">
        <f t="shared" si="24"/>
        <v>4157.050000000001</v>
      </c>
      <c r="E33" s="80">
        <v>3855.26</v>
      </c>
      <c r="F33" s="80">
        <v>958</v>
      </c>
      <c r="G33" s="80">
        <v>5219.99</v>
      </c>
      <c r="H33" s="80">
        <v>1298.54</v>
      </c>
      <c r="I33" s="80">
        <v>12545.1</v>
      </c>
      <c r="J33" s="80">
        <v>3118.63</v>
      </c>
      <c r="K33" s="80">
        <v>8689.81</v>
      </c>
      <c r="L33" s="80">
        <v>2160.69</v>
      </c>
      <c r="M33" s="80">
        <v>3084.24</v>
      </c>
      <c r="N33" s="80">
        <v>766.34</v>
      </c>
      <c r="O33" s="80">
        <v>0</v>
      </c>
      <c r="P33" s="165">
        <v>0</v>
      </c>
      <c r="Q33" s="165"/>
      <c r="R33" s="165"/>
      <c r="S33" s="81">
        <f t="shared" si="25"/>
        <v>33394.399999999994</v>
      </c>
      <c r="T33" s="109">
        <f t="shared" si="26"/>
        <v>8302.2</v>
      </c>
      <c r="U33" s="81">
        <v>3142.15</v>
      </c>
      <c r="V33" s="81">
        <v>4291.1</v>
      </c>
      <c r="W33" s="81">
        <v>10329.51</v>
      </c>
      <c r="X33" s="81">
        <v>7151.76</v>
      </c>
      <c r="Y33" s="81">
        <v>2542.39</v>
      </c>
      <c r="Z33" s="110">
        <v>0</v>
      </c>
      <c r="AA33" s="110">
        <v>0</v>
      </c>
      <c r="AB33" s="110">
        <f>SUM(U33:AA33)</f>
        <v>27456.910000000003</v>
      </c>
      <c r="AC33" s="123">
        <f t="shared" si="27"/>
        <v>39916.16</v>
      </c>
      <c r="AD33" s="89">
        <f t="shared" si="28"/>
        <v>0</v>
      </c>
      <c r="AE33" s="89">
        <f t="shared" si="29"/>
        <v>0</v>
      </c>
      <c r="AF33" s="89">
        <f>'[6]Т04-10'!$I$10+'[6]Т04-10'!$I$15+'[6]Т04-10'!$I$56+'[6]Т04-10'!$I$76+'[6]Т04-10'!$I$119</f>
        <v>2541.0155400000003</v>
      </c>
      <c r="AG33" s="13">
        <f t="shared" si="30"/>
        <v>3180.6</v>
      </c>
      <c r="AH33" s="13">
        <f t="shared" si="31"/>
        <v>1060.2</v>
      </c>
      <c r="AI33" s="13">
        <f t="shared" si="32"/>
        <v>5301</v>
      </c>
      <c r="AJ33" s="13">
        <v>0</v>
      </c>
      <c r="AK33" s="13">
        <f t="shared" si="33"/>
        <v>5194.98</v>
      </c>
      <c r="AL33" s="13">
        <v>0</v>
      </c>
      <c r="AM33" s="13">
        <f t="shared" si="34"/>
        <v>11927.25</v>
      </c>
      <c r="AN33" s="13">
        <v>0</v>
      </c>
      <c r="AO33" s="13"/>
      <c r="AP33" s="13"/>
      <c r="AQ33" s="113"/>
      <c r="AR33" s="113"/>
      <c r="AS33" s="87">
        <v>12241</v>
      </c>
      <c r="AT33" s="87"/>
      <c r="AU33" s="87">
        <f>AT33*0.18</f>
        <v>0</v>
      </c>
      <c r="AV33" s="114">
        <v>307</v>
      </c>
      <c r="AW33" s="115">
        <v>3.25</v>
      </c>
      <c r="AX33" s="13">
        <f>AV33*AW33*1.4</f>
        <v>1396.85</v>
      </c>
      <c r="AY33" s="116"/>
      <c r="AZ33" s="117"/>
      <c r="BA33" s="117">
        <f t="shared" si="35"/>
        <v>0</v>
      </c>
      <c r="BB33" s="117">
        <f t="shared" si="36"/>
        <v>40301.88</v>
      </c>
      <c r="BC33" s="118">
        <f>'[6]Т04-10'!$M$10+'[6]Т04-10'!$M$15+'[6]Т04-10'!$M$56+'[6]Т04-10'!$M$76+'[6]Т04-10'!$M$119</f>
        <v>1209.699</v>
      </c>
      <c r="BD33" s="156"/>
      <c r="BE33" s="119">
        <f t="shared" si="37"/>
        <v>945.5965400000064</v>
      </c>
      <c r="BF33" s="119">
        <f t="shared" si="38"/>
        <v>-5937.489999999991</v>
      </c>
    </row>
    <row r="34" spans="1:58" ht="12.75" hidden="1">
      <c r="A34" s="11" t="s">
        <v>47</v>
      </c>
      <c r="B34" s="108">
        <v>5306.98</v>
      </c>
      <c r="C34" s="152">
        <f t="shared" si="23"/>
        <v>45905.377</v>
      </c>
      <c r="D34" s="150">
        <f t="shared" si="24"/>
        <v>4127.38700000001</v>
      </c>
      <c r="E34" s="80">
        <v>3878.17</v>
      </c>
      <c r="F34" s="80">
        <v>944.59</v>
      </c>
      <c r="G34" s="80">
        <v>5250.75</v>
      </c>
      <c r="H34" s="80">
        <v>1280.36</v>
      </c>
      <c r="I34" s="80">
        <v>12619.38</v>
      </c>
      <c r="J34" s="80">
        <v>3074.96</v>
      </c>
      <c r="K34" s="80">
        <v>8741.13</v>
      </c>
      <c r="L34" s="80">
        <v>2130.45</v>
      </c>
      <c r="M34" s="80">
        <v>3102.6</v>
      </c>
      <c r="N34" s="80">
        <v>755.6</v>
      </c>
      <c r="O34" s="80">
        <v>0</v>
      </c>
      <c r="P34" s="165">
        <v>0</v>
      </c>
      <c r="Q34" s="165"/>
      <c r="R34" s="165"/>
      <c r="S34" s="81">
        <f t="shared" si="25"/>
        <v>33592.03</v>
      </c>
      <c r="T34" s="109">
        <f t="shared" si="26"/>
        <v>8185.96</v>
      </c>
      <c r="U34" s="163">
        <v>3809.9</v>
      </c>
      <c r="V34" s="163">
        <v>5157.96</v>
      </c>
      <c r="W34" s="163">
        <v>12396.8</v>
      </c>
      <c r="X34" s="163">
        <v>8586.93</v>
      </c>
      <c r="Y34" s="163">
        <v>3048</v>
      </c>
      <c r="Z34" s="164">
        <v>0</v>
      </c>
      <c r="AA34" s="164">
        <v>0</v>
      </c>
      <c r="AB34" s="110">
        <f aca="true" t="shared" si="39" ref="AB34:AB41">SUM(U34:AA34)</f>
        <v>32999.59</v>
      </c>
      <c r="AC34" s="123">
        <f t="shared" si="27"/>
        <v>45312.937000000005</v>
      </c>
      <c r="AD34" s="89">
        <f t="shared" si="28"/>
        <v>0</v>
      </c>
      <c r="AE34" s="89">
        <f t="shared" si="29"/>
        <v>0</v>
      </c>
      <c r="AF34" s="89">
        <f>'[7]Т05-10'!$I$10+'[7]Т05-10'!$I$15+'[7]Т05-10'!$I$56+'[7]Т05-10'!$I$76+'[7]Т05-10'!$I$119</f>
        <v>1965.3696200000002</v>
      </c>
      <c r="AG34" s="13">
        <f t="shared" si="30"/>
        <v>3184.1879999999996</v>
      </c>
      <c r="AH34" s="13">
        <f t="shared" si="31"/>
        <v>1061.396</v>
      </c>
      <c r="AI34" s="13">
        <f t="shared" si="32"/>
        <v>5306.98</v>
      </c>
      <c r="AJ34" s="13">
        <v>0</v>
      </c>
      <c r="AK34" s="13">
        <f t="shared" si="33"/>
        <v>5200.840399999999</v>
      </c>
      <c r="AL34" s="13">
        <v>0</v>
      </c>
      <c r="AM34" s="13">
        <f t="shared" si="34"/>
        <v>11940.704999999998</v>
      </c>
      <c r="AN34" s="13">
        <v>0</v>
      </c>
      <c r="AO34" s="13"/>
      <c r="AP34" s="13"/>
      <c r="AQ34" s="113"/>
      <c r="AR34" s="113"/>
      <c r="AS34" s="87">
        <v>11654</v>
      </c>
      <c r="AT34" s="87"/>
      <c r="AU34" s="87">
        <f>AT34*0.18</f>
        <v>0</v>
      </c>
      <c r="AV34" s="114">
        <v>263</v>
      </c>
      <c r="AW34" s="115">
        <v>3.25</v>
      </c>
      <c r="AX34" s="13">
        <f>AV34*AW34*1.4</f>
        <v>1196.6499999999999</v>
      </c>
      <c r="AY34" s="116"/>
      <c r="AZ34" s="117"/>
      <c r="BA34" s="117">
        <f t="shared" si="35"/>
        <v>0</v>
      </c>
      <c r="BB34" s="117">
        <f t="shared" si="36"/>
        <v>39544.759399999995</v>
      </c>
      <c r="BC34" s="118">
        <f>'[6]Т04-10'!$M$10+'[6]Т04-10'!$M$15+'[6]Т04-10'!$M$56+'[6]Т04-10'!$M$76+'[6]Т04-10'!$M$119</f>
        <v>1209.699</v>
      </c>
      <c r="BD34" s="27"/>
      <c r="BE34" s="119">
        <f t="shared" si="37"/>
        <v>6523.84822000001</v>
      </c>
      <c r="BF34" s="119">
        <f t="shared" si="38"/>
        <v>-592.4400000000023</v>
      </c>
    </row>
    <row r="35" spans="1:58" ht="13.5" hidden="1" thickBot="1">
      <c r="A35" s="144" t="s">
        <v>48</v>
      </c>
      <c r="B35" s="176">
        <v>5306.98</v>
      </c>
      <c r="C35" s="152">
        <f t="shared" si="23"/>
        <v>45905.377</v>
      </c>
      <c r="D35" s="150">
        <f t="shared" si="24"/>
        <v>4127.367000000006</v>
      </c>
      <c r="E35" s="177">
        <v>3878.18</v>
      </c>
      <c r="F35" s="177">
        <v>944.59</v>
      </c>
      <c r="G35" s="177">
        <v>5250.74</v>
      </c>
      <c r="H35" s="177">
        <v>1280.36</v>
      </c>
      <c r="I35" s="177">
        <v>12619.38</v>
      </c>
      <c r="J35" s="177">
        <v>3074.97</v>
      </c>
      <c r="K35" s="177">
        <v>8741.12</v>
      </c>
      <c r="L35" s="177">
        <v>2130.46</v>
      </c>
      <c r="M35" s="177">
        <v>3102.62</v>
      </c>
      <c r="N35" s="177">
        <v>755.59</v>
      </c>
      <c r="O35" s="177">
        <v>0</v>
      </c>
      <c r="P35" s="178">
        <v>0</v>
      </c>
      <c r="Q35" s="177">
        <v>0</v>
      </c>
      <c r="R35" s="178">
        <v>0</v>
      </c>
      <c r="S35" s="179">
        <f t="shared" si="25"/>
        <v>33592.04</v>
      </c>
      <c r="T35" s="180">
        <f t="shared" si="26"/>
        <v>8185.97</v>
      </c>
      <c r="U35" s="179">
        <v>3256.35</v>
      </c>
      <c r="V35" s="179">
        <v>4409.47</v>
      </c>
      <c r="W35" s="179">
        <v>10596.64</v>
      </c>
      <c r="X35" s="179">
        <v>7340.1</v>
      </c>
      <c r="Y35" s="179">
        <v>2605.12</v>
      </c>
      <c r="Z35" s="181">
        <v>0</v>
      </c>
      <c r="AA35" s="181">
        <v>0</v>
      </c>
      <c r="AB35" s="181">
        <f t="shared" si="39"/>
        <v>28207.679999999997</v>
      </c>
      <c r="AC35" s="182">
        <f t="shared" si="27"/>
        <v>40521.01700000001</v>
      </c>
      <c r="AD35" s="183">
        <f t="shared" si="28"/>
        <v>0</v>
      </c>
      <c r="AE35" s="183">
        <f t="shared" si="29"/>
        <v>0</v>
      </c>
      <c r="AF35" s="183">
        <f>'[8]Т06-10'!$I$10+'[8]Т06-10'!$I$15+'[8]Т06-10'!$I$74+'[8]Т06-10'!$I$116</f>
        <v>1965.3696200000002</v>
      </c>
      <c r="AG35" s="184">
        <f t="shared" si="30"/>
        <v>3184.1879999999996</v>
      </c>
      <c r="AH35" s="184">
        <f t="shared" si="31"/>
        <v>1061.396</v>
      </c>
      <c r="AI35" s="184">
        <f t="shared" si="32"/>
        <v>5306.98</v>
      </c>
      <c r="AJ35" s="184">
        <v>0</v>
      </c>
      <c r="AK35" s="184">
        <f t="shared" si="33"/>
        <v>5200.840399999999</v>
      </c>
      <c r="AL35" s="184">
        <v>0</v>
      </c>
      <c r="AM35" s="184">
        <f t="shared" si="34"/>
        <v>11940.704999999998</v>
      </c>
      <c r="AN35" s="184">
        <v>0</v>
      </c>
      <c r="AO35" s="184"/>
      <c r="AP35" s="184"/>
      <c r="AQ35" s="185">
        <f>100+100</f>
        <v>200</v>
      </c>
      <c r="AR35" s="185"/>
      <c r="AS35" s="186">
        <v>2957</v>
      </c>
      <c r="AT35" s="186">
        <v>766.27</v>
      </c>
      <c r="AU35" s="186">
        <f>AT35*0</f>
        <v>0</v>
      </c>
      <c r="AV35" s="187">
        <v>233</v>
      </c>
      <c r="AW35" s="188">
        <v>3.25</v>
      </c>
      <c r="AX35" s="184">
        <f aca="true" t="shared" si="40" ref="AX35:AX41">AV35*AW35*1.4</f>
        <v>1060.1499999999999</v>
      </c>
      <c r="AY35" s="116"/>
      <c r="AZ35" s="189"/>
      <c r="BA35" s="189">
        <f t="shared" si="35"/>
        <v>0</v>
      </c>
      <c r="BB35" s="189">
        <f t="shared" si="36"/>
        <v>31677.529399999996</v>
      </c>
      <c r="BC35" s="190">
        <f>'[9]Т06-10'!$M$10+'[9]Т06-10'!$M$15+'[9]Т06-10'!$M$74+'[9]Т06-10'!$M$116</f>
        <v>935.647</v>
      </c>
      <c r="BD35" s="95"/>
      <c r="BE35" s="119">
        <f t="shared" si="37"/>
        <v>9873.210220000012</v>
      </c>
      <c r="BF35" s="119">
        <f t="shared" si="38"/>
        <v>-5384.360000000004</v>
      </c>
    </row>
    <row r="36" spans="1:58" ht="12.75" hidden="1">
      <c r="A36" s="149" t="s">
        <v>49</v>
      </c>
      <c r="B36" s="176">
        <v>5306.98</v>
      </c>
      <c r="C36" s="152">
        <f t="shared" si="23"/>
        <v>45905.377</v>
      </c>
      <c r="D36" s="150">
        <f t="shared" si="24"/>
        <v>4031.3170000000027</v>
      </c>
      <c r="E36" s="195">
        <v>4834.06</v>
      </c>
      <c r="F36" s="177">
        <v>0</v>
      </c>
      <c r="G36" s="177">
        <v>6545.81</v>
      </c>
      <c r="H36" s="177">
        <v>0</v>
      </c>
      <c r="I36" s="177">
        <v>15730.51</v>
      </c>
      <c r="J36" s="177">
        <v>0</v>
      </c>
      <c r="K36" s="177">
        <v>10896.44</v>
      </c>
      <c r="L36" s="177">
        <v>0</v>
      </c>
      <c r="M36" s="177">
        <v>3867.24</v>
      </c>
      <c r="N36" s="177">
        <v>0</v>
      </c>
      <c r="O36" s="177">
        <v>0</v>
      </c>
      <c r="P36" s="178">
        <v>0</v>
      </c>
      <c r="Q36" s="178"/>
      <c r="R36" s="178"/>
      <c r="S36" s="179">
        <f t="shared" si="25"/>
        <v>41874.06</v>
      </c>
      <c r="T36" s="180">
        <f t="shared" si="26"/>
        <v>0</v>
      </c>
      <c r="U36" s="196">
        <v>3535.91</v>
      </c>
      <c r="V36" s="179">
        <v>4787.39</v>
      </c>
      <c r="W36" s="179">
        <v>11505.58</v>
      </c>
      <c r="X36" s="179">
        <v>7969.59</v>
      </c>
      <c r="Y36" s="179">
        <v>2828.81</v>
      </c>
      <c r="Z36" s="181">
        <v>0</v>
      </c>
      <c r="AA36" s="181">
        <v>0</v>
      </c>
      <c r="AB36" s="181">
        <f t="shared" si="39"/>
        <v>30627.28</v>
      </c>
      <c r="AC36" s="182">
        <f t="shared" si="27"/>
        <v>34658.597</v>
      </c>
      <c r="AD36" s="183">
        <f t="shared" si="28"/>
        <v>0</v>
      </c>
      <c r="AE36" s="183">
        <f t="shared" si="29"/>
        <v>0</v>
      </c>
      <c r="AF36" s="183">
        <f>'[8]Т07-10'!$I$9+'[8]Т07-10'!$I$14+'[8]Т07-10'!$I$73+'[8]Т07-10'!$I$115</f>
        <v>1965.3696200000002</v>
      </c>
      <c r="AG36" s="184">
        <f t="shared" si="30"/>
        <v>3184.1879999999996</v>
      </c>
      <c r="AH36" s="184">
        <f t="shared" si="31"/>
        <v>1061.396</v>
      </c>
      <c r="AI36" s="184">
        <f t="shared" si="32"/>
        <v>5306.98</v>
      </c>
      <c r="AJ36" s="184">
        <v>0</v>
      </c>
      <c r="AK36" s="184">
        <f t="shared" si="33"/>
        <v>5200.840399999999</v>
      </c>
      <c r="AL36" s="184">
        <v>0</v>
      </c>
      <c r="AM36" s="184">
        <f t="shared" si="34"/>
        <v>11940.704999999998</v>
      </c>
      <c r="AN36" s="184">
        <v>0</v>
      </c>
      <c r="AO36" s="184"/>
      <c r="AP36" s="184"/>
      <c r="AQ36" s="185"/>
      <c r="AR36" s="185"/>
      <c r="AS36" s="186"/>
      <c r="AT36" s="186"/>
      <c r="AU36" s="186">
        <f>AT36*0.18</f>
        <v>0</v>
      </c>
      <c r="AV36" s="187">
        <v>248</v>
      </c>
      <c r="AW36" s="188">
        <v>3.25</v>
      </c>
      <c r="AX36" s="184">
        <f t="shared" si="40"/>
        <v>1128.3999999999999</v>
      </c>
      <c r="AY36" s="116"/>
      <c r="AZ36" s="189"/>
      <c r="BA36" s="189">
        <f t="shared" si="35"/>
        <v>0</v>
      </c>
      <c r="BB36" s="189">
        <f t="shared" si="36"/>
        <v>27822.509399999995</v>
      </c>
      <c r="BC36" s="190">
        <f>'[9]Т06-10'!$M$10+'[9]Т06-10'!$M$15+'[9]Т06-10'!$M$74+'[9]Т06-10'!$M$116</f>
        <v>935.647</v>
      </c>
      <c r="BD36" s="27"/>
      <c r="BE36" s="119">
        <f t="shared" si="37"/>
        <v>7865.810220000007</v>
      </c>
      <c r="BF36" s="119">
        <f t="shared" si="38"/>
        <v>-11246.779999999999</v>
      </c>
    </row>
    <row r="37" spans="1:58" ht="12.75" hidden="1">
      <c r="A37" s="11" t="s">
        <v>50</v>
      </c>
      <c r="B37" s="176">
        <v>5306.98</v>
      </c>
      <c r="C37" s="152">
        <f t="shared" si="23"/>
        <v>45905.377</v>
      </c>
      <c r="D37" s="174">
        <f>C37-E37-F37-G37-H37-I37-J37-K37-L37-M37-N37+70450</f>
        <v>74467.247</v>
      </c>
      <c r="E37" s="195">
        <v>4835.72</v>
      </c>
      <c r="F37" s="177">
        <v>0</v>
      </c>
      <c r="G37" s="177">
        <v>6547.96</v>
      </c>
      <c r="H37" s="177">
        <v>0</v>
      </c>
      <c r="I37" s="177">
        <v>15735.81</v>
      </c>
      <c r="J37" s="177">
        <v>0</v>
      </c>
      <c r="K37" s="177">
        <v>10900.06</v>
      </c>
      <c r="L37" s="177">
        <v>0</v>
      </c>
      <c r="M37" s="177">
        <v>3868.58</v>
      </c>
      <c r="N37" s="177">
        <v>0</v>
      </c>
      <c r="O37" s="177">
        <v>0</v>
      </c>
      <c r="P37" s="178">
        <v>0</v>
      </c>
      <c r="Q37" s="178"/>
      <c r="R37" s="178"/>
      <c r="S37" s="179">
        <f t="shared" si="25"/>
        <v>41888.13</v>
      </c>
      <c r="T37" s="180">
        <f t="shared" si="26"/>
        <v>0</v>
      </c>
      <c r="U37" s="163">
        <v>4642.72</v>
      </c>
      <c r="V37" s="163">
        <v>6286.32</v>
      </c>
      <c r="W37" s="163">
        <v>15107.55</v>
      </c>
      <c r="X37" s="163">
        <v>10464.8</v>
      </c>
      <c r="Y37" s="163">
        <v>3714.07</v>
      </c>
      <c r="Z37" s="164">
        <v>0</v>
      </c>
      <c r="AA37" s="164">
        <v>0</v>
      </c>
      <c r="AB37" s="181">
        <f t="shared" si="39"/>
        <v>40215.46</v>
      </c>
      <c r="AC37" s="182">
        <f t="shared" si="27"/>
        <v>114682.707</v>
      </c>
      <c r="AD37" s="183">
        <f t="shared" si="28"/>
        <v>0</v>
      </c>
      <c r="AE37" s="183">
        <f t="shared" si="29"/>
        <v>0</v>
      </c>
      <c r="AF37" s="183">
        <f>'[8]Т07-10'!$I$9+'[8]Т07-10'!$I$14+'[8]Т07-10'!$I$73+'[8]Т07-10'!$I$115</f>
        <v>1965.3696200000002</v>
      </c>
      <c r="AG37" s="184">
        <f t="shared" si="30"/>
        <v>3184.1879999999996</v>
      </c>
      <c r="AH37" s="184">
        <f t="shared" si="31"/>
        <v>1061.396</v>
      </c>
      <c r="AI37" s="184">
        <f t="shared" si="32"/>
        <v>5306.98</v>
      </c>
      <c r="AJ37" s="184">
        <v>0</v>
      </c>
      <c r="AK37" s="184">
        <f t="shared" si="33"/>
        <v>5200.840399999999</v>
      </c>
      <c r="AL37" s="184">
        <v>0</v>
      </c>
      <c r="AM37" s="184">
        <f t="shared" si="34"/>
        <v>11940.704999999998</v>
      </c>
      <c r="AN37" s="184">
        <v>0</v>
      </c>
      <c r="AO37" s="184"/>
      <c r="AP37" s="184"/>
      <c r="AQ37" s="185">
        <v>23069</v>
      </c>
      <c r="AR37" s="185"/>
      <c r="AS37" s="186"/>
      <c r="AT37" s="186">
        <f>47.8+267</f>
        <v>314.8</v>
      </c>
      <c r="AU37" s="186">
        <f>0*0.18</f>
        <v>0</v>
      </c>
      <c r="AV37" s="187">
        <v>293</v>
      </c>
      <c r="AW37" s="188">
        <v>3.25</v>
      </c>
      <c r="AX37" s="184">
        <f t="shared" si="40"/>
        <v>1333.1499999999999</v>
      </c>
      <c r="AY37" s="116"/>
      <c r="AZ37" s="189"/>
      <c r="BA37" s="189">
        <f t="shared" si="35"/>
        <v>0</v>
      </c>
      <c r="BB37" s="189">
        <f>SUM(AG37:BA37)-AV37-AW37</f>
        <v>51411.0594</v>
      </c>
      <c r="BC37" s="190">
        <f>'[9]Т06-10'!$M$10+'[9]Т06-10'!$M$15+'[9]Т06-10'!$M$74+'[9]Т06-10'!$M$116</f>
        <v>935.647</v>
      </c>
      <c r="BD37" s="27"/>
      <c r="BE37" s="119">
        <f t="shared" si="37"/>
        <v>64301.37022</v>
      </c>
      <c r="BF37" s="119">
        <f t="shared" si="38"/>
        <v>-1672.6699999999983</v>
      </c>
    </row>
    <row r="38" spans="1:58" ht="13.5" hidden="1" thickBot="1">
      <c r="A38" s="144" t="s">
        <v>51</v>
      </c>
      <c r="B38" s="176">
        <v>5306.98</v>
      </c>
      <c r="C38" s="152">
        <f t="shared" si="23"/>
        <v>45905.377</v>
      </c>
      <c r="D38" s="150">
        <f>C38-E38-F38-G38-H38-I38-J38-K38-L38-M38-N38</f>
        <v>4025.347000000003</v>
      </c>
      <c r="E38" s="177">
        <v>4834.77</v>
      </c>
      <c r="F38" s="177">
        <v>0</v>
      </c>
      <c r="G38" s="177">
        <v>6546.72</v>
      </c>
      <c r="H38" s="177">
        <v>0</v>
      </c>
      <c r="I38" s="177">
        <v>15732.75</v>
      </c>
      <c r="J38" s="177">
        <v>0</v>
      </c>
      <c r="K38" s="177">
        <v>10897.97</v>
      </c>
      <c r="L38" s="177">
        <v>0</v>
      </c>
      <c r="M38" s="177">
        <v>3867.82</v>
      </c>
      <c r="N38" s="177">
        <v>0</v>
      </c>
      <c r="O38" s="177">
        <v>0</v>
      </c>
      <c r="P38" s="178">
        <v>0</v>
      </c>
      <c r="Q38" s="178"/>
      <c r="R38" s="178"/>
      <c r="S38" s="179">
        <f t="shared" si="25"/>
        <v>41880.03</v>
      </c>
      <c r="T38" s="180">
        <f t="shared" si="26"/>
        <v>0</v>
      </c>
      <c r="U38" s="179">
        <v>4076.27</v>
      </c>
      <c r="V38" s="179">
        <v>5519.43</v>
      </c>
      <c r="W38" s="179">
        <v>15202.69</v>
      </c>
      <c r="X38" s="179">
        <v>9188.08</v>
      </c>
      <c r="Y38" s="179">
        <v>3261.02</v>
      </c>
      <c r="Z38" s="181">
        <v>0</v>
      </c>
      <c r="AA38" s="181">
        <v>0</v>
      </c>
      <c r="AB38" s="181">
        <f t="shared" si="39"/>
        <v>37247.49</v>
      </c>
      <c r="AC38" s="182">
        <f t="shared" si="27"/>
        <v>41272.837</v>
      </c>
      <c r="AD38" s="183">
        <f t="shared" si="28"/>
        <v>0</v>
      </c>
      <c r="AE38" s="183">
        <f t="shared" si="29"/>
        <v>0</v>
      </c>
      <c r="AF38" s="183">
        <f>'[8]Т07-10'!$I$9+'[8]Т07-10'!$I$14+'[8]Т07-10'!$I$73+'[8]Т07-10'!$I$115</f>
        <v>1965.3696200000002</v>
      </c>
      <c r="AG38" s="184">
        <f t="shared" si="30"/>
        <v>3184.1879999999996</v>
      </c>
      <c r="AH38" s="184">
        <f t="shared" si="31"/>
        <v>1061.396</v>
      </c>
      <c r="AI38" s="184">
        <f t="shared" si="32"/>
        <v>5306.98</v>
      </c>
      <c r="AJ38" s="184">
        <v>0</v>
      </c>
      <c r="AK38" s="184">
        <f t="shared" si="33"/>
        <v>5200.840399999999</v>
      </c>
      <c r="AL38" s="184">
        <v>0</v>
      </c>
      <c r="AM38" s="184">
        <f t="shared" si="34"/>
        <v>11940.704999999998</v>
      </c>
      <c r="AN38" s="184">
        <v>0</v>
      </c>
      <c r="AO38" s="184"/>
      <c r="AP38" s="184"/>
      <c r="AQ38" s="185"/>
      <c r="AR38" s="185"/>
      <c r="AS38" s="186">
        <v>5122</v>
      </c>
      <c r="AT38" s="186">
        <v>132</v>
      </c>
      <c r="AU38" s="197">
        <f>0*0.18</f>
        <v>0</v>
      </c>
      <c r="AV38" s="187">
        <v>349</v>
      </c>
      <c r="AW38" s="188">
        <v>3.25</v>
      </c>
      <c r="AX38" s="184">
        <f t="shared" si="40"/>
        <v>1587.9499999999998</v>
      </c>
      <c r="AY38" s="116"/>
      <c r="AZ38" s="189"/>
      <c r="BA38" s="189">
        <f t="shared" si="35"/>
        <v>0</v>
      </c>
      <c r="BB38" s="189">
        <f>SUM(AG38:BA38)-AV38-AW38</f>
        <v>33536.05939999999</v>
      </c>
      <c r="BC38" s="190">
        <f>'[9]Т06-10'!$M$10+'[9]Т06-10'!$M$15+'[9]Т06-10'!$M$74+'[9]Т06-10'!$M$116</f>
        <v>935.647</v>
      </c>
      <c r="BD38" s="95"/>
      <c r="BE38" s="119">
        <f t="shared" si="37"/>
        <v>8766.500220000009</v>
      </c>
      <c r="BF38" s="119">
        <f t="shared" si="38"/>
        <v>-4632.540000000001</v>
      </c>
    </row>
    <row r="39" spans="1:58" ht="12.75" hidden="1">
      <c r="A39" s="151" t="s">
        <v>39</v>
      </c>
      <c r="B39" s="176">
        <v>5306.98</v>
      </c>
      <c r="C39" s="152">
        <f t="shared" si="23"/>
        <v>45905.377</v>
      </c>
      <c r="D39" s="150">
        <f>C39-E39-F39-G39-H39-I39-J39-K39-L39-M39-N39</f>
        <v>4065.127</v>
      </c>
      <c r="E39" s="73">
        <v>4830.08</v>
      </c>
      <c r="F39" s="73">
        <v>0</v>
      </c>
      <c r="G39" s="73">
        <v>6540.64</v>
      </c>
      <c r="H39" s="73">
        <v>0</v>
      </c>
      <c r="I39" s="73">
        <v>15717.78</v>
      </c>
      <c r="J39" s="73">
        <v>0</v>
      </c>
      <c r="K39" s="73">
        <v>10887.68</v>
      </c>
      <c r="L39" s="73">
        <v>0</v>
      </c>
      <c r="M39" s="73">
        <v>3864.07</v>
      </c>
      <c r="N39" s="73">
        <v>0</v>
      </c>
      <c r="O39" s="73">
        <v>0</v>
      </c>
      <c r="P39" s="169">
        <v>0</v>
      </c>
      <c r="Q39" s="169"/>
      <c r="R39" s="169"/>
      <c r="S39" s="179">
        <f t="shared" si="25"/>
        <v>41840.25</v>
      </c>
      <c r="T39" s="180">
        <f t="shared" si="26"/>
        <v>0</v>
      </c>
      <c r="U39" s="179">
        <v>6144.85</v>
      </c>
      <c r="V39" s="179">
        <v>8317.29</v>
      </c>
      <c r="W39" s="179">
        <v>19992.39</v>
      </c>
      <c r="X39" s="179">
        <v>13847.72</v>
      </c>
      <c r="Y39" s="179">
        <v>4915.91</v>
      </c>
      <c r="Z39" s="181">
        <v>0</v>
      </c>
      <c r="AA39" s="181">
        <v>0</v>
      </c>
      <c r="AB39" s="181">
        <f t="shared" si="39"/>
        <v>53218.16</v>
      </c>
      <c r="AC39" s="182">
        <f t="shared" si="27"/>
        <v>57283.287000000004</v>
      </c>
      <c r="AD39" s="183">
        <f t="shared" si="28"/>
        <v>0</v>
      </c>
      <c r="AE39" s="183">
        <f t="shared" si="29"/>
        <v>0</v>
      </c>
      <c r="AF39" s="183">
        <f>'[8]Т10-10'!$I$9+'[8]Т10-10'!$I$14+'[8]Т10-10'!$I$73+'[8]Т10-10'!$I$116+150</f>
        <v>1812.15154</v>
      </c>
      <c r="AG39" s="184">
        <f t="shared" si="30"/>
        <v>3184.1879999999996</v>
      </c>
      <c r="AH39" s="184">
        <f t="shared" si="31"/>
        <v>1061.396</v>
      </c>
      <c r="AI39" s="184">
        <f t="shared" si="32"/>
        <v>5306.98</v>
      </c>
      <c r="AJ39" s="184">
        <v>0</v>
      </c>
      <c r="AK39" s="184">
        <f t="shared" si="33"/>
        <v>5200.840399999999</v>
      </c>
      <c r="AL39" s="184">
        <v>0</v>
      </c>
      <c r="AM39" s="184">
        <f t="shared" si="34"/>
        <v>11940.704999999998</v>
      </c>
      <c r="AN39" s="184">
        <v>0</v>
      </c>
      <c r="AO39" s="184">
        <v>6806.7</v>
      </c>
      <c r="AP39" s="184"/>
      <c r="AQ39" s="185">
        <v>23958</v>
      </c>
      <c r="AR39" s="185"/>
      <c r="AS39" s="186">
        <v>5430</v>
      </c>
      <c r="AT39" s="186">
        <f>168+170</f>
        <v>338</v>
      </c>
      <c r="AU39" s="186">
        <f>0*0.18</f>
        <v>0</v>
      </c>
      <c r="AV39" s="187">
        <v>425</v>
      </c>
      <c r="AW39" s="188">
        <v>3.25</v>
      </c>
      <c r="AX39" s="184">
        <f t="shared" si="40"/>
        <v>1933.7499999999998</v>
      </c>
      <c r="AY39" s="116"/>
      <c r="AZ39" s="189"/>
      <c r="BA39" s="189">
        <f>0</f>
        <v>0</v>
      </c>
      <c r="BB39" s="189">
        <f>SUM(AG39:BA39)-AV39-AW39</f>
        <v>65160.559399999984</v>
      </c>
      <c r="BC39" s="190">
        <f>'[8]Т10-10'!$M$9+'[8]Т10-10'!$M$14+'[8]Т10-10'!$M$73+'[8]Т10-10'!$M$116+37.5</f>
        <v>973.147</v>
      </c>
      <c r="BD39" s="155"/>
      <c r="BE39" s="119">
        <f t="shared" si="37"/>
        <v>-7038.26785999998</v>
      </c>
      <c r="BF39" s="119">
        <f t="shared" si="38"/>
        <v>11377.910000000003</v>
      </c>
    </row>
    <row r="40" spans="1:58" ht="12.75" hidden="1">
      <c r="A40" s="11" t="s">
        <v>40</v>
      </c>
      <c r="B40" s="176">
        <v>5306.98</v>
      </c>
      <c r="C40" s="152">
        <f t="shared" si="23"/>
        <v>45905.377</v>
      </c>
      <c r="D40" s="150">
        <f>C40-E40-F40-G40-H40-I40-J40-K40-L40-M40-N40</f>
        <v>4055.5670000000005</v>
      </c>
      <c r="E40" s="177">
        <v>4831.19</v>
      </c>
      <c r="F40" s="177">
        <v>0</v>
      </c>
      <c r="G40" s="177">
        <v>6542.11</v>
      </c>
      <c r="H40" s="177">
        <v>0</v>
      </c>
      <c r="I40" s="177">
        <v>15721.38</v>
      </c>
      <c r="J40" s="177">
        <v>0</v>
      </c>
      <c r="K40" s="177">
        <v>10890.16</v>
      </c>
      <c r="L40" s="177">
        <v>0</v>
      </c>
      <c r="M40" s="177">
        <v>3864.97</v>
      </c>
      <c r="N40" s="177">
        <v>0</v>
      </c>
      <c r="O40" s="177">
        <v>0</v>
      </c>
      <c r="P40" s="178">
        <v>0</v>
      </c>
      <c r="Q40" s="178"/>
      <c r="R40" s="178"/>
      <c r="S40" s="179">
        <f t="shared" si="25"/>
        <v>41849.81</v>
      </c>
      <c r="T40" s="180">
        <f t="shared" si="26"/>
        <v>0</v>
      </c>
      <c r="U40" s="196">
        <v>5059.98</v>
      </c>
      <c r="V40" s="179">
        <v>6851.37</v>
      </c>
      <c r="W40" s="179">
        <v>18465.29</v>
      </c>
      <c r="X40" s="179">
        <v>11405.23</v>
      </c>
      <c r="Y40" s="179">
        <v>4047.96</v>
      </c>
      <c r="Z40" s="181">
        <v>0</v>
      </c>
      <c r="AA40" s="181">
        <v>0</v>
      </c>
      <c r="AB40" s="181">
        <f t="shared" si="39"/>
        <v>45829.829999999994</v>
      </c>
      <c r="AC40" s="182">
        <f t="shared" si="27"/>
        <v>49885.397</v>
      </c>
      <c r="AD40" s="183">
        <f t="shared" si="28"/>
        <v>0</v>
      </c>
      <c r="AE40" s="183">
        <f t="shared" si="29"/>
        <v>0</v>
      </c>
      <c r="AF40" s="183">
        <f>'[8]Т11'!$I$9+'[8]Т11'!$I$14+'[8]Т11'!$I$73+'[8]Т11'!$I$115+150</f>
        <v>1812.15154</v>
      </c>
      <c r="AG40" s="184">
        <f t="shared" si="30"/>
        <v>3184.1879999999996</v>
      </c>
      <c r="AH40" s="184">
        <f t="shared" si="31"/>
        <v>1061.396</v>
      </c>
      <c r="AI40" s="184">
        <f t="shared" si="32"/>
        <v>5306.98</v>
      </c>
      <c r="AJ40" s="184">
        <v>0</v>
      </c>
      <c r="AK40" s="184">
        <f t="shared" si="33"/>
        <v>5200.840399999999</v>
      </c>
      <c r="AL40" s="184">
        <v>0</v>
      </c>
      <c r="AM40" s="184">
        <f t="shared" si="34"/>
        <v>11940.704999999998</v>
      </c>
      <c r="AN40" s="184">
        <v>0</v>
      </c>
      <c r="AO40" s="184"/>
      <c r="AP40" s="184"/>
      <c r="AQ40" s="185"/>
      <c r="AR40" s="185"/>
      <c r="AS40" s="186">
        <v>13892</v>
      </c>
      <c r="AT40" s="186"/>
      <c r="AU40" s="186">
        <f>0*0.18</f>
        <v>0</v>
      </c>
      <c r="AV40" s="187">
        <v>470</v>
      </c>
      <c r="AW40" s="188">
        <v>3.25</v>
      </c>
      <c r="AX40" s="184">
        <f t="shared" si="40"/>
        <v>2138.5</v>
      </c>
      <c r="AY40" s="116"/>
      <c r="AZ40" s="189"/>
      <c r="BA40" s="189">
        <v>0</v>
      </c>
      <c r="BB40" s="189">
        <f>SUM(AG40:BA40)-AV40-AW40</f>
        <v>42724.609399999994</v>
      </c>
      <c r="BC40" s="190">
        <f>'[8]Т11'!$M$9+'[8]Т11'!$M$14+'[8]Т11'!$M$73+'[8]Т11'!$M$115+37.5</f>
        <v>973.147</v>
      </c>
      <c r="BD40" s="42"/>
      <c r="BE40" s="119">
        <f t="shared" si="37"/>
        <v>7999.792140000003</v>
      </c>
      <c r="BF40" s="119">
        <f t="shared" si="38"/>
        <v>3980.019999999997</v>
      </c>
    </row>
    <row r="41" spans="1:58" s="121" customFormat="1" ht="12.75" hidden="1">
      <c r="A41" s="107" t="s">
        <v>41</v>
      </c>
      <c r="B41" s="176">
        <v>5306.98</v>
      </c>
      <c r="C41" s="152">
        <f t="shared" si="23"/>
        <v>45905.377</v>
      </c>
      <c r="D41" s="150">
        <f>C41-E41-F41-G41-H41-I41-J41-K41-L41-M41-N41</f>
        <v>4027.4970000000017</v>
      </c>
      <c r="E41" s="177">
        <v>4834.5</v>
      </c>
      <c r="F41" s="177">
        <v>0</v>
      </c>
      <c r="G41" s="177">
        <v>6546.41</v>
      </c>
      <c r="H41" s="177">
        <v>0</v>
      </c>
      <c r="I41" s="177">
        <v>15731.94</v>
      </c>
      <c r="J41" s="177">
        <v>0</v>
      </c>
      <c r="K41" s="177">
        <v>10897.42</v>
      </c>
      <c r="L41" s="177">
        <v>0</v>
      </c>
      <c r="M41" s="177">
        <v>3867.61</v>
      </c>
      <c r="N41" s="177">
        <v>0</v>
      </c>
      <c r="O41" s="177">
        <v>0</v>
      </c>
      <c r="P41" s="178">
        <v>0</v>
      </c>
      <c r="Q41" s="178"/>
      <c r="R41" s="178"/>
      <c r="S41" s="179">
        <f t="shared" si="25"/>
        <v>41877.88</v>
      </c>
      <c r="T41" s="180">
        <f t="shared" si="26"/>
        <v>0</v>
      </c>
      <c r="U41" s="179">
        <v>5474.64</v>
      </c>
      <c r="V41" s="179">
        <v>7414.26</v>
      </c>
      <c r="W41" s="179">
        <v>17816.19</v>
      </c>
      <c r="X41" s="179">
        <v>12341.62</v>
      </c>
      <c r="Y41" s="179">
        <v>4379.82</v>
      </c>
      <c r="Z41" s="181">
        <v>0</v>
      </c>
      <c r="AA41" s="181">
        <v>0</v>
      </c>
      <c r="AB41" s="181">
        <f t="shared" si="39"/>
        <v>47426.53</v>
      </c>
      <c r="AC41" s="182">
        <f t="shared" si="27"/>
        <v>51454.027</v>
      </c>
      <c r="AD41" s="183">
        <f t="shared" si="28"/>
        <v>0</v>
      </c>
      <c r="AE41" s="183">
        <f t="shared" si="29"/>
        <v>0</v>
      </c>
      <c r="AF41" s="183">
        <f>'[8]Т11'!$I$9+'[8]Т11'!$I$14+'[8]Т11'!$I$73+'[8]Т11'!$I$115+150</f>
        <v>1812.15154</v>
      </c>
      <c r="AG41" s="184">
        <f t="shared" si="30"/>
        <v>3184.1879999999996</v>
      </c>
      <c r="AH41" s="184">
        <f t="shared" si="31"/>
        <v>1061.396</v>
      </c>
      <c r="AI41" s="184">
        <f t="shared" si="32"/>
        <v>5306.98</v>
      </c>
      <c r="AJ41" s="184">
        <v>0</v>
      </c>
      <c r="AK41" s="184">
        <f t="shared" si="33"/>
        <v>5200.840399999999</v>
      </c>
      <c r="AL41" s="184">
        <v>0</v>
      </c>
      <c r="AM41" s="184">
        <f t="shared" si="34"/>
        <v>11940.704999999998</v>
      </c>
      <c r="AN41" s="184">
        <v>0</v>
      </c>
      <c r="AO41" s="184"/>
      <c r="AP41" s="184"/>
      <c r="AQ41" s="185"/>
      <c r="AR41" s="185"/>
      <c r="AS41" s="186">
        <v>10355</v>
      </c>
      <c r="AT41" s="186">
        <f>11500+12000+146307.93+567.81+8018.77+3960</f>
        <v>182354.50999999998</v>
      </c>
      <c r="AU41" s="186">
        <f>(567.81+8018.77)*0.18</f>
        <v>1545.5844</v>
      </c>
      <c r="AV41" s="187">
        <v>514</v>
      </c>
      <c r="AW41" s="188">
        <v>3.25</v>
      </c>
      <c r="AX41" s="184">
        <f t="shared" si="40"/>
        <v>2338.7</v>
      </c>
      <c r="AY41" s="116"/>
      <c r="AZ41" s="189"/>
      <c r="BA41" s="189">
        <v>0</v>
      </c>
      <c r="BB41" s="189">
        <f>SUM(AG41:BA41)-AV41-AW41</f>
        <v>223287.90379999997</v>
      </c>
      <c r="BC41" s="190">
        <f>'[8]Т11'!$M$9+'[8]Т11'!$M$14+'[8]Т11'!$M$73+'[8]Т11'!$M$115+37.5</f>
        <v>973.147</v>
      </c>
      <c r="BD41" s="156"/>
      <c r="BE41" s="119">
        <f t="shared" si="37"/>
        <v>-170994.87225999997</v>
      </c>
      <c r="BF41" s="119">
        <f t="shared" si="38"/>
        <v>5548.6500000000015</v>
      </c>
    </row>
    <row r="42" spans="1:58" s="16" customFormat="1" ht="12.75" hidden="1">
      <c r="A42" s="14" t="s">
        <v>3</v>
      </c>
      <c r="B42" s="49"/>
      <c r="C42" s="49">
        <f>SUM(C30:C41)</f>
        <v>550657.6159999999</v>
      </c>
      <c r="D42" s="49">
        <f aca="true" t="shared" si="41" ref="D42:BF42">SUM(D30:D41)</f>
        <v>119559.326</v>
      </c>
      <c r="E42" s="49">
        <f t="shared" si="41"/>
        <v>52155.28</v>
      </c>
      <c r="F42" s="49">
        <f t="shared" si="41"/>
        <v>5743.13</v>
      </c>
      <c r="G42" s="49">
        <f t="shared" si="41"/>
        <v>70620.70999999999</v>
      </c>
      <c r="H42" s="49">
        <f t="shared" si="41"/>
        <v>7784.609999999999</v>
      </c>
      <c r="I42" s="49">
        <f t="shared" si="41"/>
        <v>169716.36000000002</v>
      </c>
      <c r="J42" s="49">
        <f t="shared" si="41"/>
        <v>18695.84</v>
      </c>
      <c r="K42" s="49">
        <f t="shared" si="41"/>
        <v>117560.59999999999</v>
      </c>
      <c r="L42" s="49">
        <f t="shared" si="41"/>
        <v>12953.130000000001</v>
      </c>
      <c r="M42" s="49">
        <f t="shared" si="41"/>
        <v>41724.54</v>
      </c>
      <c r="N42" s="49">
        <f t="shared" si="41"/>
        <v>4594.09</v>
      </c>
      <c r="O42" s="49">
        <f t="shared" si="41"/>
        <v>0</v>
      </c>
      <c r="P42" s="49">
        <f t="shared" si="41"/>
        <v>0</v>
      </c>
      <c r="Q42" s="49">
        <f t="shared" si="41"/>
        <v>0</v>
      </c>
      <c r="R42" s="49">
        <f t="shared" si="41"/>
        <v>0</v>
      </c>
      <c r="S42" s="49">
        <f t="shared" si="41"/>
        <v>451777.48999999993</v>
      </c>
      <c r="T42" s="49">
        <f t="shared" si="41"/>
        <v>49770.8</v>
      </c>
      <c r="U42" s="49">
        <f t="shared" si="41"/>
        <v>49909.649999999994</v>
      </c>
      <c r="V42" s="49">
        <f t="shared" si="41"/>
        <v>67616.31</v>
      </c>
      <c r="W42" s="49">
        <f t="shared" si="41"/>
        <v>166449.33000000002</v>
      </c>
      <c r="X42" s="49">
        <f t="shared" si="41"/>
        <v>113152.43</v>
      </c>
      <c r="Y42" s="49">
        <f t="shared" si="41"/>
        <v>39956.69</v>
      </c>
      <c r="Z42" s="49">
        <f t="shared" si="41"/>
        <v>0</v>
      </c>
      <c r="AA42" s="49">
        <f t="shared" si="41"/>
        <v>0</v>
      </c>
      <c r="AB42" s="49">
        <f t="shared" si="41"/>
        <v>437084.4099999999</v>
      </c>
      <c r="AC42" s="49">
        <f t="shared" si="41"/>
        <v>606414.5360000001</v>
      </c>
      <c r="AD42" s="49">
        <f t="shared" si="41"/>
        <v>0</v>
      </c>
      <c r="AE42" s="49">
        <f t="shared" si="41"/>
        <v>0</v>
      </c>
      <c r="AF42" s="49">
        <f t="shared" si="41"/>
        <v>25427.364879999997</v>
      </c>
      <c r="AG42" s="49">
        <f t="shared" si="41"/>
        <v>38195.903999999995</v>
      </c>
      <c r="AH42" s="49">
        <f t="shared" si="41"/>
        <v>12731.968000000003</v>
      </c>
      <c r="AI42" s="49">
        <f t="shared" si="41"/>
        <v>63659.83999999998</v>
      </c>
      <c r="AJ42" s="49">
        <f t="shared" si="41"/>
        <v>0</v>
      </c>
      <c r="AK42" s="49">
        <f t="shared" si="41"/>
        <v>62386.643200000006</v>
      </c>
      <c r="AL42" s="49">
        <f t="shared" si="41"/>
        <v>0</v>
      </c>
      <c r="AM42" s="49">
        <f t="shared" si="41"/>
        <v>143234.63999999998</v>
      </c>
      <c r="AN42" s="49">
        <f t="shared" si="41"/>
        <v>0</v>
      </c>
      <c r="AO42" s="49">
        <f t="shared" si="41"/>
        <v>6806.7</v>
      </c>
      <c r="AP42" s="49">
        <f t="shared" si="41"/>
        <v>0</v>
      </c>
      <c r="AQ42" s="157">
        <f t="shared" si="41"/>
        <v>54082</v>
      </c>
      <c r="AR42" s="157">
        <f t="shared" si="41"/>
        <v>0</v>
      </c>
      <c r="AS42" s="48">
        <f t="shared" si="41"/>
        <v>86039</v>
      </c>
      <c r="AT42" s="48">
        <f t="shared" si="41"/>
        <v>183905.58</v>
      </c>
      <c r="AU42" s="48">
        <f t="shared" si="41"/>
        <v>1545.5844</v>
      </c>
      <c r="AV42" s="49">
        <f t="shared" si="41"/>
        <v>4400</v>
      </c>
      <c r="AW42" s="49">
        <f t="shared" si="41"/>
        <v>39</v>
      </c>
      <c r="AX42" s="49">
        <f t="shared" si="41"/>
        <v>20020</v>
      </c>
      <c r="AY42" s="49">
        <f t="shared" si="41"/>
        <v>0</v>
      </c>
      <c r="AZ42" s="49">
        <f t="shared" si="41"/>
        <v>0</v>
      </c>
      <c r="BA42" s="49">
        <f t="shared" si="41"/>
        <v>0</v>
      </c>
      <c r="BB42" s="49">
        <f t="shared" si="41"/>
        <v>672607.8595999999</v>
      </c>
      <c r="BC42" s="49">
        <f t="shared" si="41"/>
        <v>12710.524000000005</v>
      </c>
      <c r="BD42" s="49">
        <f t="shared" si="41"/>
        <v>0</v>
      </c>
      <c r="BE42" s="49">
        <f t="shared" si="41"/>
        <v>-53476.4827199999</v>
      </c>
      <c r="BF42" s="158">
        <f t="shared" si="41"/>
        <v>-14693.079999999987</v>
      </c>
    </row>
    <row r="43" spans="1:58" s="16" customFormat="1" ht="12.75" hidden="1">
      <c r="A43" s="14"/>
      <c r="B43" s="49"/>
      <c r="C43" s="49"/>
      <c r="D43" s="4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0"/>
      <c r="V43" s="50"/>
      <c r="W43" s="50"/>
      <c r="X43" s="50"/>
      <c r="Y43" s="50"/>
      <c r="Z43" s="50"/>
      <c r="AA43" s="50"/>
      <c r="AB43" s="50"/>
      <c r="AC43" s="50"/>
      <c r="AD43" s="88"/>
      <c r="AE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86"/>
      <c r="AQ43" s="159"/>
      <c r="AR43" s="159"/>
      <c r="AS43" s="86"/>
      <c r="AT43" s="86"/>
      <c r="AU43" s="86"/>
      <c r="AV43" s="15"/>
      <c r="AW43" s="15"/>
      <c r="AX43" s="160"/>
      <c r="AY43" s="61"/>
      <c r="AZ43" s="61"/>
      <c r="BA43" s="61"/>
      <c r="BB43" s="61"/>
      <c r="BC43" s="61"/>
      <c r="BD43" s="61"/>
      <c r="BE43" s="61"/>
      <c r="BF43" s="161"/>
    </row>
    <row r="44" spans="1:58" s="16" customFormat="1" ht="13.5" thickBot="1">
      <c r="A44" s="18" t="s">
        <v>52</v>
      </c>
      <c r="B44" s="19"/>
      <c r="C44" s="19">
        <f>C28+C42</f>
        <v>1238666.506</v>
      </c>
      <c r="D44" s="19">
        <f aca="true" t="shared" si="42" ref="D44:BF44">D28+D42</f>
        <v>210417.14970645006</v>
      </c>
      <c r="E44" s="19">
        <f t="shared" si="42"/>
        <v>107915.8</v>
      </c>
      <c r="F44" s="19">
        <f t="shared" si="42"/>
        <v>19175.72</v>
      </c>
      <c r="G44" s="19">
        <f t="shared" si="42"/>
        <v>146022.51</v>
      </c>
      <c r="H44" s="19">
        <f t="shared" si="42"/>
        <v>25960.870000000003</v>
      </c>
      <c r="I44" s="19">
        <f t="shared" si="42"/>
        <v>351064.45</v>
      </c>
      <c r="J44" s="19">
        <f t="shared" si="42"/>
        <v>61392.56</v>
      </c>
      <c r="K44" s="19">
        <f t="shared" si="42"/>
        <v>243150.74</v>
      </c>
      <c r="L44" s="19">
        <f t="shared" si="42"/>
        <v>43217.83</v>
      </c>
      <c r="M44" s="19">
        <f t="shared" si="42"/>
        <v>86333.55</v>
      </c>
      <c r="N44" s="19">
        <f t="shared" si="42"/>
        <v>15339.450000000003</v>
      </c>
      <c r="O44" s="19">
        <f t="shared" si="42"/>
        <v>0</v>
      </c>
      <c r="P44" s="19">
        <f t="shared" si="42"/>
        <v>0</v>
      </c>
      <c r="Q44" s="19">
        <f t="shared" si="42"/>
        <v>0</v>
      </c>
      <c r="R44" s="19">
        <f t="shared" si="42"/>
        <v>0</v>
      </c>
      <c r="S44" s="19">
        <f t="shared" si="42"/>
        <v>934487.05</v>
      </c>
      <c r="T44" s="19">
        <f t="shared" si="42"/>
        <v>165086.43</v>
      </c>
      <c r="U44" s="19">
        <f t="shared" si="42"/>
        <v>100559.65</v>
      </c>
      <c r="V44" s="19">
        <f t="shared" si="42"/>
        <v>136073.34000000003</v>
      </c>
      <c r="W44" s="19">
        <f t="shared" si="42"/>
        <v>330985.14</v>
      </c>
      <c r="X44" s="19">
        <f t="shared" si="42"/>
        <v>227120.36</v>
      </c>
      <c r="Y44" s="19">
        <f t="shared" si="42"/>
        <v>80493.84</v>
      </c>
      <c r="Z44" s="19">
        <f t="shared" si="42"/>
        <v>0</v>
      </c>
      <c r="AA44" s="19">
        <f t="shared" si="42"/>
        <v>0</v>
      </c>
      <c r="AB44" s="19">
        <f t="shared" si="42"/>
        <v>875232.3299999998</v>
      </c>
      <c r="AC44" s="19">
        <f t="shared" si="42"/>
        <v>1250735.90970645</v>
      </c>
      <c r="AD44" s="19">
        <f t="shared" si="42"/>
        <v>0</v>
      </c>
      <c r="AE44" s="19">
        <f t="shared" si="42"/>
        <v>0</v>
      </c>
      <c r="AF44" s="19">
        <f t="shared" si="42"/>
        <v>46486.02489999999</v>
      </c>
      <c r="AG44" s="19">
        <f t="shared" si="42"/>
        <v>84646.398</v>
      </c>
      <c r="AH44" s="19">
        <f t="shared" si="42"/>
        <v>28363.460559000006</v>
      </c>
      <c r="AI44" s="19">
        <f t="shared" si="42"/>
        <v>128792.45043574998</v>
      </c>
      <c r="AJ44" s="19">
        <f t="shared" si="42"/>
        <v>11723.869878434998</v>
      </c>
      <c r="AK44" s="19">
        <f t="shared" si="42"/>
        <v>128291.21721169002</v>
      </c>
      <c r="AL44" s="19">
        <f t="shared" si="42"/>
        <v>11862.823322104201</v>
      </c>
      <c r="AM44" s="19">
        <f t="shared" si="42"/>
        <v>287556.21427097794</v>
      </c>
      <c r="AN44" s="19">
        <f t="shared" si="42"/>
        <v>25977.883368776034</v>
      </c>
      <c r="AO44" s="19">
        <f t="shared" si="42"/>
        <v>12716.099999999999</v>
      </c>
      <c r="AP44" s="19">
        <f t="shared" si="42"/>
        <v>1063.692</v>
      </c>
      <c r="AQ44" s="162">
        <f t="shared" si="42"/>
        <v>66508.76</v>
      </c>
      <c r="AR44" s="162">
        <f t="shared" si="42"/>
        <v>2236.8168</v>
      </c>
      <c r="AS44" s="46">
        <f t="shared" si="42"/>
        <v>267783.57999999996</v>
      </c>
      <c r="AT44" s="46">
        <f t="shared" si="42"/>
        <v>185638.08</v>
      </c>
      <c r="AU44" s="46">
        <f t="shared" si="42"/>
        <v>34571.4688</v>
      </c>
      <c r="AV44" s="19"/>
      <c r="AW44" s="19"/>
      <c r="AX44" s="19">
        <f t="shared" si="42"/>
        <v>38918.884000000005</v>
      </c>
      <c r="AY44" s="19">
        <f t="shared" si="42"/>
        <v>0</v>
      </c>
      <c r="AZ44" s="19">
        <f t="shared" si="42"/>
        <v>0</v>
      </c>
      <c r="BA44" s="19">
        <f t="shared" si="42"/>
        <v>0</v>
      </c>
      <c r="BB44" s="19">
        <f t="shared" si="42"/>
        <v>1316651.698646733</v>
      </c>
      <c r="BC44" s="19">
        <f t="shared" si="42"/>
        <v>22041.280191184807</v>
      </c>
      <c r="BD44" s="19">
        <f t="shared" si="42"/>
        <v>632315.9352179179</v>
      </c>
      <c r="BE44" s="19">
        <f t="shared" si="42"/>
        <v>-41471.0442314679</v>
      </c>
      <c r="BF44" s="19">
        <f t="shared" si="42"/>
        <v>-59254.72000000001</v>
      </c>
    </row>
  </sheetData>
  <sheetProtection/>
  <mergeCells count="67">
    <mergeCell ref="A1:N1"/>
    <mergeCell ref="A3:A6"/>
    <mergeCell ref="B3:B6"/>
    <mergeCell ref="C3:C6"/>
    <mergeCell ref="D3:D6"/>
    <mergeCell ref="I5:I6"/>
    <mergeCell ref="J5:J6"/>
    <mergeCell ref="K5:K6"/>
    <mergeCell ref="E5:E6"/>
    <mergeCell ref="F5:F6"/>
    <mergeCell ref="AE3:AE6"/>
    <mergeCell ref="T5:T6"/>
    <mergeCell ref="U5:U6"/>
    <mergeCell ref="S3:T4"/>
    <mergeCell ref="AB5:AB6"/>
    <mergeCell ref="AD3:AD6"/>
    <mergeCell ref="S5:S6"/>
    <mergeCell ref="Z5:Z6"/>
    <mergeCell ref="AA5:AA6"/>
    <mergeCell ref="Y5:Y6"/>
    <mergeCell ref="G5:G6"/>
    <mergeCell ref="H5:H6"/>
    <mergeCell ref="P5:P6"/>
    <mergeCell ref="Q5:Q6"/>
    <mergeCell ref="L5:L6"/>
    <mergeCell ref="AC3:AC6"/>
    <mergeCell ref="M3:N4"/>
    <mergeCell ref="O3:P4"/>
    <mergeCell ref="Q3:R4"/>
    <mergeCell ref="M5:M6"/>
    <mergeCell ref="N5:N6"/>
    <mergeCell ref="O5:O6"/>
    <mergeCell ref="AF3:AF6"/>
    <mergeCell ref="AN5:AN6"/>
    <mergeCell ref="AO5:AO6"/>
    <mergeCell ref="AT5:AT6"/>
    <mergeCell ref="AR5:AR6"/>
    <mergeCell ref="AG5:AG6"/>
    <mergeCell ref="AH5:AH6"/>
    <mergeCell ref="AI5:AI6"/>
    <mergeCell ref="AJ5:AJ6"/>
    <mergeCell ref="AK5:AK6"/>
    <mergeCell ref="U3:AB4"/>
    <mergeCell ref="E3:F4"/>
    <mergeCell ref="G3:H4"/>
    <mergeCell ref="I3:J4"/>
    <mergeCell ref="K3:L4"/>
    <mergeCell ref="V5:V6"/>
    <mergeCell ref="W5:W6"/>
    <mergeCell ref="X5:X6"/>
    <mergeCell ref="R5:R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BE3:BE6"/>
    <mergeCell ref="AL5:AL6"/>
    <mergeCell ref="AM5:AM6"/>
    <mergeCell ref="AP5:AP6"/>
    <mergeCell ref="AQ5:AQ6"/>
    <mergeCell ref="AS5:A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0">
      <selection activeCell="E61" sqref="E61"/>
    </sheetView>
  </sheetViews>
  <sheetFormatPr defaultColWidth="9.00390625" defaultRowHeight="12.75"/>
  <cols>
    <col min="1" max="1" width="10.25390625" style="2" customWidth="1"/>
    <col min="2" max="2" width="10.125" style="2" customWidth="1"/>
    <col min="3" max="3" width="12.00390625" style="2" customWidth="1"/>
    <col min="4" max="4" width="10.00390625" style="2" customWidth="1"/>
    <col min="5" max="5" width="10.125" style="2" bestFit="1" customWidth="1"/>
    <col min="6" max="6" width="9.875" style="2" customWidth="1"/>
    <col min="7" max="7" width="9.25390625" style="2" customWidth="1"/>
    <col min="8" max="8" width="11.375" style="2" customWidth="1"/>
    <col min="9" max="9" width="11.875" style="2" customWidth="1"/>
    <col min="10" max="10" width="9.25390625" style="2" customWidth="1"/>
    <col min="11" max="11" width="10.75390625" style="2" customWidth="1"/>
    <col min="12" max="12" width="10.375" style="2" customWidth="1"/>
    <col min="13" max="13" width="10.125" style="2" customWidth="1"/>
    <col min="14" max="14" width="8.875" style="2" customWidth="1"/>
    <col min="15" max="16" width="11.875" style="2" customWidth="1"/>
    <col min="17" max="17" width="10.75390625" style="2" customWidth="1"/>
    <col min="18" max="18" width="13.00390625" style="2" customWidth="1"/>
    <col min="19" max="16384" width="9.125" style="2" customWidth="1"/>
  </cols>
  <sheetData>
    <row r="1" ht="18.75">
      <c r="E1" s="20" t="s">
        <v>53</v>
      </c>
    </row>
    <row r="2" ht="18.75">
      <c r="E2" s="20" t="s">
        <v>54</v>
      </c>
    </row>
    <row r="5" spans="1:17" ht="12.75">
      <c r="A5" s="379" t="s">
        <v>75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</row>
    <row r="6" spans="1:17" ht="12.75">
      <c r="A6" s="367" t="s">
        <v>93</v>
      </c>
      <c r="B6" s="367"/>
      <c r="C6" s="367"/>
      <c r="D6" s="367"/>
      <c r="E6" s="367"/>
      <c r="F6" s="367"/>
      <c r="G6" s="367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5" ht="13.5" thickBot="1">
      <c r="A8" s="22" t="s">
        <v>55</v>
      </c>
      <c r="D8" s="4"/>
      <c r="E8" s="22">
        <v>8.65</v>
      </c>
    </row>
    <row r="9" spans="1:18" ht="12.75" customHeight="1">
      <c r="A9" s="380" t="s">
        <v>56</v>
      </c>
      <c r="B9" s="383" t="s">
        <v>0</v>
      </c>
      <c r="C9" s="386" t="s">
        <v>57</v>
      </c>
      <c r="D9" s="389" t="s">
        <v>2</v>
      </c>
      <c r="E9" s="402" t="s">
        <v>76</v>
      </c>
      <c r="F9" s="342"/>
      <c r="G9" s="364" t="s">
        <v>74</v>
      </c>
      <c r="H9" s="392" t="s">
        <v>58</v>
      </c>
      <c r="I9" s="393"/>
      <c r="J9" s="396" t="s">
        <v>8</v>
      </c>
      <c r="K9" s="397"/>
      <c r="L9" s="397"/>
      <c r="M9" s="397"/>
      <c r="N9" s="397"/>
      <c r="O9" s="398"/>
      <c r="P9" s="364" t="s">
        <v>81</v>
      </c>
      <c r="Q9" s="373" t="s">
        <v>59</v>
      </c>
      <c r="R9" s="373" t="s">
        <v>10</v>
      </c>
    </row>
    <row r="10" spans="1:18" ht="12.75">
      <c r="A10" s="381"/>
      <c r="B10" s="384"/>
      <c r="C10" s="387"/>
      <c r="D10" s="390"/>
      <c r="E10" s="403"/>
      <c r="F10" s="404"/>
      <c r="G10" s="365"/>
      <c r="H10" s="394"/>
      <c r="I10" s="395"/>
      <c r="J10" s="399"/>
      <c r="K10" s="400"/>
      <c r="L10" s="400"/>
      <c r="M10" s="400"/>
      <c r="N10" s="400"/>
      <c r="O10" s="401"/>
      <c r="P10" s="365"/>
      <c r="Q10" s="374"/>
      <c r="R10" s="374"/>
    </row>
    <row r="11" spans="1:18" ht="26.25" customHeight="1">
      <c r="A11" s="381"/>
      <c r="B11" s="384"/>
      <c r="C11" s="387"/>
      <c r="D11" s="390"/>
      <c r="E11" s="376" t="s">
        <v>77</v>
      </c>
      <c r="F11" s="344"/>
      <c r="G11" s="365"/>
      <c r="H11" s="79" t="s">
        <v>60</v>
      </c>
      <c r="I11" s="370" t="s">
        <v>5</v>
      </c>
      <c r="J11" s="377" t="s">
        <v>61</v>
      </c>
      <c r="K11" s="362" t="s">
        <v>30</v>
      </c>
      <c r="L11" s="362" t="s">
        <v>62</v>
      </c>
      <c r="M11" s="362" t="s">
        <v>35</v>
      </c>
      <c r="N11" s="362" t="s">
        <v>63</v>
      </c>
      <c r="O11" s="370" t="s">
        <v>37</v>
      </c>
      <c r="P11" s="365"/>
      <c r="Q11" s="374"/>
      <c r="R11" s="374"/>
    </row>
    <row r="12" spans="1:18" ht="85.5" customHeight="1" thickBot="1">
      <c r="A12" s="382"/>
      <c r="B12" s="385"/>
      <c r="C12" s="388"/>
      <c r="D12" s="391"/>
      <c r="E12" s="51" t="s">
        <v>64</v>
      </c>
      <c r="F12" s="56" t="s">
        <v>19</v>
      </c>
      <c r="G12" s="366"/>
      <c r="H12" s="71" t="s">
        <v>65</v>
      </c>
      <c r="I12" s="371"/>
      <c r="J12" s="378"/>
      <c r="K12" s="363"/>
      <c r="L12" s="363"/>
      <c r="M12" s="363"/>
      <c r="N12" s="363"/>
      <c r="O12" s="371"/>
      <c r="P12" s="366"/>
      <c r="Q12" s="375"/>
      <c r="R12" s="375"/>
    </row>
    <row r="13" spans="1:18" ht="13.5" thickBot="1">
      <c r="A13" s="52">
        <v>1</v>
      </c>
      <c r="B13" s="53">
        <v>2</v>
      </c>
      <c r="C13" s="55">
        <v>3</v>
      </c>
      <c r="D13" s="52">
        <v>4</v>
      </c>
      <c r="E13" s="53">
        <v>5</v>
      </c>
      <c r="F13" s="54">
        <v>6</v>
      </c>
      <c r="G13" s="75">
        <v>7</v>
      </c>
      <c r="H13" s="52">
        <v>8</v>
      </c>
      <c r="I13" s="54">
        <v>9</v>
      </c>
      <c r="J13" s="97">
        <v>10</v>
      </c>
      <c r="K13" s="53">
        <v>11</v>
      </c>
      <c r="L13" s="53">
        <v>12</v>
      </c>
      <c r="M13" s="53">
        <v>13</v>
      </c>
      <c r="N13" s="53">
        <v>14</v>
      </c>
      <c r="O13" s="53">
        <v>15</v>
      </c>
      <c r="P13" s="53">
        <v>16</v>
      </c>
      <c r="Q13" s="53">
        <v>17</v>
      </c>
      <c r="R13" s="53">
        <v>18</v>
      </c>
    </row>
    <row r="14" spans="1:18" ht="13.5" hidden="1" thickBot="1">
      <c r="A14" s="7" t="s">
        <v>38</v>
      </c>
      <c r="B14" s="8"/>
      <c r="C14" s="23"/>
      <c r="D14" s="7"/>
      <c r="E14" s="8"/>
      <c r="F14" s="9"/>
      <c r="G14" s="76"/>
      <c r="H14" s="7"/>
      <c r="I14" s="9"/>
      <c r="J14" s="7"/>
      <c r="K14" s="8"/>
      <c r="L14" s="8"/>
      <c r="M14" s="8"/>
      <c r="N14" s="8"/>
      <c r="O14" s="9"/>
      <c r="P14" s="175"/>
      <c r="Q14" s="66"/>
      <c r="R14" s="63"/>
    </row>
    <row r="15" spans="1:18" ht="13.5" hidden="1" thickBot="1">
      <c r="A15" s="11" t="s">
        <v>39</v>
      </c>
      <c r="B15" s="72">
        <f>Лист1!B9</f>
        <v>5304.3</v>
      </c>
      <c r="C15" s="24">
        <f>B15*8.65</f>
        <v>45882.19500000001</v>
      </c>
      <c r="D15" s="25">
        <f>Лист1!D9</f>
        <v>11052.103131600003</v>
      </c>
      <c r="E15" s="12">
        <f>Лист1!S9</f>
        <v>31453.34</v>
      </c>
      <c r="F15" s="27">
        <f>Лист1!T9</f>
        <v>7105.5</v>
      </c>
      <c r="G15" s="77">
        <f>Лист1!AD9</f>
        <v>0</v>
      </c>
      <c r="H15" s="26">
        <f>Лист1!AB9</f>
        <v>958.41</v>
      </c>
      <c r="I15" s="27">
        <f>Лист1!AC9</f>
        <v>19116.0131316</v>
      </c>
      <c r="J15" s="26">
        <f>Лист1!AG9</f>
        <v>3182.58</v>
      </c>
      <c r="K15" s="12">
        <f>Лист1!AI9+Лист1!AJ9</f>
        <v>5331.4674331999995</v>
      </c>
      <c r="L15" s="12">
        <f>Лист1!AH9+Лист1!AK9+Лист1!AL9+Лист1!AM9+Лист1!AN9+Лист1!AO9+Лист1!AP9+Лист1!AQ14+Лист1!AR14</f>
        <v>18720.95982033</v>
      </c>
      <c r="M15" s="28">
        <f>Лист1!AS9+Лист1!AT9+Лист1!AU9</f>
        <v>6058.0728</v>
      </c>
      <c r="N15" s="28">
        <f>Лист1!AX9</f>
        <v>0</v>
      </c>
      <c r="O15" s="27">
        <f>Лист1!BB9</f>
        <v>33293.08005352999</v>
      </c>
      <c r="P15" s="192"/>
      <c r="Q15" s="64">
        <f>Лист1!BE9</f>
        <v>-14177.066921929993</v>
      </c>
      <c r="R15" s="64">
        <f>Лист1!BF9</f>
        <v>-30494.93</v>
      </c>
    </row>
    <row r="16" spans="1:18" ht="13.5" hidden="1" thickBot="1">
      <c r="A16" s="11" t="s">
        <v>40</v>
      </c>
      <c r="B16" s="72">
        <f>Лист1!B10</f>
        <v>5304.3</v>
      </c>
      <c r="C16" s="24">
        <f aca="true" t="shared" si="0" ref="C16:C28">B16*8.65</f>
        <v>45882.19500000001</v>
      </c>
      <c r="D16" s="25">
        <f>Лист1!D10</f>
        <v>11052.103131600003</v>
      </c>
      <c r="E16" s="12">
        <f>Лист1!S10</f>
        <v>30508.85</v>
      </c>
      <c r="F16" s="27">
        <f>Лист1!T10</f>
        <v>7060.180000000001</v>
      </c>
      <c r="G16" s="77">
        <f>Лист1!AD10</f>
        <v>0</v>
      </c>
      <c r="H16" s="26">
        <f>Лист1!AB10</f>
        <v>23711.28</v>
      </c>
      <c r="I16" s="27">
        <f>Лист1!AC10</f>
        <v>41823.56313160001</v>
      </c>
      <c r="J16" s="26">
        <f>Лист1!AG10</f>
        <v>3182.58</v>
      </c>
      <c r="K16" s="12">
        <f>Лист1!AI10+Лист1!AJ10</f>
        <v>5331.4674331999995</v>
      </c>
      <c r="L16" s="12">
        <f>Лист1!AH10+Лист1!AK10+Лист1!AL10+Лист1!AM10+Лист1!AN10+Лист1!AO10+Лист1!AP10+Лист1!AQ15+Лист1!AR15</f>
        <v>18664.458416729998</v>
      </c>
      <c r="M16" s="28">
        <f>Лист1!AS10+Лист1!AT10+Лист1!AU10</f>
        <v>3280.4</v>
      </c>
      <c r="N16" s="28">
        <f>Лист1!AX10</f>
        <v>0</v>
      </c>
      <c r="O16" s="27">
        <f>Лист1!BB10</f>
        <v>30458.905849929997</v>
      </c>
      <c r="P16" s="192"/>
      <c r="Q16" s="64">
        <f>Лист1!BE10</f>
        <v>11364.65728167001</v>
      </c>
      <c r="R16" s="64">
        <f>Лист1!BF10</f>
        <v>-6797.57</v>
      </c>
    </row>
    <row r="17" spans="1:20" ht="13.5" hidden="1" thickBot="1">
      <c r="A17" s="29" t="s">
        <v>41</v>
      </c>
      <c r="B17" s="72">
        <f>Лист1!B11</f>
        <v>5304.3</v>
      </c>
      <c r="C17" s="30">
        <f t="shared" si="0"/>
        <v>45882.19500000001</v>
      </c>
      <c r="D17" s="25">
        <f>Лист1!D11</f>
        <v>11027.785568250001</v>
      </c>
      <c r="E17" s="12">
        <f>Лист1!S11</f>
        <v>30630.35</v>
      </c>
      <c r="F17" s="27">
        <f>Лист1!T11</f>
        <v>7111.529999999999</v>
      </c>
      <c r="G17" s="77">
        <f>Лист1!AD11</f>
        <v>0</v>
      </c>
      <c r="H17" s="26">
        <f>Лист1!AB11</f>
        <v>32876.94</v>
      </c>
      <c r="I17" s="27">
        <f>Лист1!AC11</f>
        <v>51016.25556825</v>
      </c>
      <c r="J17" s="26">
        <f>Лист1!AG11</f>
        <v>3182.58</v>
      </c>
      <c r="K17" s="12">
        <f>Лист1!AI11+Лист1!AJ11</f>
        <v>5315.95672968</v>
      </c>
      <c r="L17" s="12">
        <f>Лист1!AH11+Лист1!AK11+Лист1!AL11+Лист1!AM11+Лист1!AN11+Лист1!AO11+Лист1!AP11+Лист1!AQ16+Лист1!AR16</f>
        <v>18634.656199939</v>
      </c>
      <c r="M17" s="28">
        <f>Лист1!AS11+Лист1!AT11+Лист1!AU11</f>
        <v>16426.78</v>
      </c>
      <c r="N17" s="28">
        <f>Лист1!AX11</f>
        <v>0</v>
      </c>
      <c r="O17" s="27">
        <f>Лист1!BB11</f>
        <v>43559.972929619</v>
      </c>
      <c r="P17" s="192"/>
      <c r="Q17" s="64">
        <f>Лист1!BE11</f>
        <v>7456.282638631004</v>
      </c>
      <c r="R17" s="64">
        <f>Лист1!BF11</f>
        <v>2246.590000000004</v>
      </c>
      <c r="S17" s="1"/>
      <c r="T17" s="1"/>
    </row>
    <row r="18" spans="1:20" s="16" customFormat="1" ht="13.5" hidden="1" thickBot="1">
      <c r="A18" s="31" t="s">
        <v>3</v>
      </c>
      <c r="B18" s="32"/>
      <c r="C18" s="33">
        <f>SUM(C15:C17)</f>
        <v>137646.58500000002</v>
      </c>
      <c r="D18" s="57">
        <f aca="true" t="shared" si="1" ref="D18:J18">SUM(D15:D17)</f>
        <v>33131.99183145001</v>
      </c>
      <c r="E18" s="33">
        <f t="shared" si="1"/>
        <v>92592.54000000001</v>
      </c>
      <c r="F18" s="58">
        <f t="shared" si="1"/>
        <v>21277.21</v>
      </c>
      <c r="G18" s="58">
        <f>SUM(G15:G17)</f>
        <v>0</v>
      </c>
      <c r="H18" s="57">
        <f t="shared" si="1"/>
        <v>57546.630000000005</v>
      </c>
      <c r="I18" s="58">
        <f t="shared" si="1"/>
        <v>111955.83183145002</v>
      </c>
      <c r="J18" s="57">
        <f t="shared" si="1"/>
        <v>9547.74</v>
      </c>
      <c r="K18" s="33">
        <f aca="true" t="shared" si="2" ref="K18:R18">SUM(K15:K17)</f>
        <v>15978.891596079999</v>
      </c>
      <c r="L18" s="33">
        <f t="shared" si="2"/>
        <v>56020.074436999</v>
      </c>
      <c r="M18" s="33">
        <f t="shared" si="2"/>
        <v>25765.2528</v>
      </c>
      <c r="N18" s="33">
        <f t="shared" si="2"/>
        <v>0</v>
      </c>
      <c r="O18" s="58">
        <f t="shared" si="2"/>
        <v>107311.958833079</v>
      </c>
      <c r="P18" s="193"/>
      <c r="Q18" s="65">
        <f t="shared" si="2"/>
        <v>4643.872998371022</v>
      </c>
      <c r="R18" s="65">
        <f t="shared" si="2"/>
        <v>-35045.909999999996</v>
      </c>
      <c r="S18" s="60"/>
      <c r="T18" s="61"/>
    </row>
    <row r="19" spans="1:20" ht="13.5" hidden="1" thickBot="1">
      <c r="A19" s="7" t="s">
        <v>42</v>
      </c>
      <c r="B19" s="37"/>
      <c r="C19" s="38"/>
      <c r="D19" s="39"/>
      <c r="E19" s="40"/>
      <c r="F19" s="42"/>
      <c r="G19" s="78"/>
      <c r="H19" s="41"/>
      <c r="I19" s="42"/>
      <c r="J19" s="41"/>
      <c r="K19" s="12"/>
      <c r="L19" s="12"/>
      <c r="M19" s="28"/>
      <c r="N19" s="59"/>
      <c r="O19" s="27"/>
      <c r="P19" s="192"/>
      <c r="Q19" s="64"/>
      <c r="R19" s="64"/>
      <c r="S19" s="1"/>
      <c r="T19" s="1"/>
    </row>
    <row r="20" spans="1:20" ht="13.5" hidden="1" thickBot="1">
      <c r="A20" s="11" t="s">
        <v>43</v>
      </c>
      <c r="B20" s="72">
        <f>Лист1!B14</f>
        <v>5303</v>
      </c>
      <c r="C20" s="24">
        <f t="shared" si="0"/>
        <v>45870.950000000004</v>
      </c>
      <c r="D20" s="25">
        <f>Лист1!D14</f>
        <v>5733.868750000001</v>
      </c>
      <c r="E20" s="12">
        <f>Лист1!S14</f>
        <v>31675.190000000002</v>
      </c>
      <c r="F20" s="27">
        <f>Лист1!T14</f>
        <v>6386.38</v>
      </c>
      <c r="G20" s="77">
        <f>Лист1!AD14</f>
        <v>0</v>
      </c>
      <c r="H20" s="26">
        <f>Лист1!AB14</f>
        <v>23787.4</v>
      </c>
      <c r="I20" s="27">
        <f>Лист1!AC14</f>
        <v>35907.64875</v>
      </c>
      <c r="J20" s="26">
        <f>Лист1!AG14</f>
        <v>2863.62</v>
      </c>
      <c r="K20" s="12">
        <f>Лист1!AI14+Лист1!AJ14</f>
        <v>4611.4705030000005</v>
      </c>
      <c r="L20" s="12">
        <f>Лист1!AH14+Лист1!AK14+Лист1!AL14+Лист1!AM14+Лист1!AN14+Лист1!AO14+Лист1!AP14+Лист1!AQ14+Лист1!AR14</f>
        <v>15837.19515274</v>
      </c>
      <c r="M20" s="28">
        <f>Лист1!AS14+Лист1!AT14+Лист1!AU14</f>
        <v>634.85</v>
      </c>
      <c r="N20" s="28">
        <f>Лист1!AX14</f>
        <v>0</v>
      </c>
      <c r="O20" s="27">
        <f>Лист1!BB14</f>
        <v>23947.135655739996</v>
      </c>
      <c r="P20" s="192"/>
      <c r="Q20" s="64">
        <f>Лист1!BE14</f>
        <v>12474.569218380004</v>
      </c>
      <c r="R20" s="64">
        <f>Лист1!BF14</f>
        <v>-7887.790000000001</v>
      </c>
      <c r="S20" s="1"/>
      <c r="T20" s="1"/>
    </row>
    <row r="21" spans="1:20" ht="13.5" hidden="1" thickBot="1">
      <c r="A21" s="11" t="s">
        <v>44</v>
      </c>
      <c r="B21" s="72">
        <f>Лист1!B15</f>
        <v>5302.7</v>
      </c>
      <c r="C21" s="24">
        <f t="shared" si="0"/>
        <v>45868.355</v>
      </c>
      <c r="D21" s="25">
        <f>Лист1!D15</f>
        <v>5733.544375</v>
      </c>
      <c r="E21" s="12">
        <f>Лист1!S15</f>
        <v>30959.07</v>
      </c>
      <c r="F21" s="27">
        <f>Лист1!T15</f>
        <v>6761.7300000000005</v>
      </c>
      <c r="G21" s="77">
        <f>Лист1!AD15</f>
        <v>0</v>
      </c>
      <c r="H21" s="26">
        <f>Лист1!AB15</f>
        <v>24701.859999999997</v>
      </c>
      <c r="I21" s="27">
        <f>Лист1!AC15</f>
        <v>37197.134374999994</v>
      </c>
      <c r="J21" s="26">
        <f>Лист1!AG15</f>
        <v>2863.458</v>
      </c>
      <c r="K21" s="12">
        <f>Лист1!AI15+Лист1!AJ15</f>
        <v>4611.2332227</v>
      </c>
      <c r="L21" s="12">
        <f>Лист1!AH15+Лист1!AK15+Лист1!AL15+Лист1!AM15+Лист1!AN15+Лист1!AO15+Лист1!AP15+Лист1!AQ15+Лист1!AR15</f>
        <v>15859.160745375997</v>
      </c>
      <c r="M21" s="28">
        <f>Лист1!AS15+Лист1!AT15+Лист1!AU15</f>
        <v>236</v>
      </c>
      <c r="N21" s="28">
        <f>Лист1!AX15</f>
        <v>0</v>
      </c>
      <c r="O21" s="27">
        <f>Лист1!BB15</f>
        <v>23569.851968075996</v>
      </c>
      <c r="P21" s="192"/>
      <c r="Q21" s="64">
        <f>Лист1!BE15</f>
        <v>14140.767021643998</v>
      </c>
      <c r="R21" s="64">
        <f>Лист1!BF15</f>
        <v>-6257.210000000003</v>
      </c>
      <c r="S21" s="1"/>
      <c r="T21" s="1"/>
    </row>
    <row r="22" spans="1:20" ht="13.5" hidden="1" thickBot="1">
      <c r="A22" s="11" t="s">
        <v>45</v>
      </c>
      <c r="B22" s="72">
        <f>Лист1!B16</f>
        <v>5302.7</v>
      </c>
      <c r="C22" s="24">
        <f t="shared" si="0"/>
        <v>45868.355</v>
      </c>
      <c r="D22" s="25">
        <f>Лист1!D16</f>
        <v>5733.544375</v>
      </c>
      <c r="E22" s="12">
        <f>Лист1!S16</f>
        <v>30308.76</v>
      </c>
      <c r="F22" s="27">
        <f>Лист1!T16</f>
        <v>7556.27</v>
      </c>
      <c r="G22" s="77">
        <f>Лист1!AD16</f>
        <v>0</v>
      </c>
      <c r="H22" s="26">
        <f>Лист1!AB16</f>
        <v>31478.129999999997</v>
      </c>
      <c r="I22" s="27">
        <f>Лист1!AC16</f>
        <v>44767.944375</v>
      </c>
      <c r="J22" s="26">
        <f>Лист1!AG16</f>
        <v>2863.458</v>
      </c>
      <c r="K22" s="12">
        <f>Лист1!AI16+Лист1!AJ16</f>
        <v>4613.892526750001</v>
      </c>
      <c r="L22" s="12">
        <f>Лист1!AH16+Лист1!AK16+Лист1!AL16+Лист1!AM16+Лист1!AN16+Лист1!AO16+Лист1!AP16+Лист1!AQ16+Лист1!AR16</f>
        <v>15331.617468846</v>
      </c>
      <c r="M22" s="28">
        <f>Лист1!AS16+Лист1!AT16+Лист1!AU16</f>
        <v>43806.32</v>
      </c>
      <c r="N22" s="28">
        <f>Лист1!AX16</f>
        <v>0</v>
      </c>
      <c r="O22" s="27">
        <f>Лист1!BB16</f>
        <v>66615.28799559601</v>
      </c>
      <c r="P22" s="192"/>
      <c r="Q22" s="64">
        <f>Лист1!BE16</f>
        <v>-21325.87276233601</v>
      </c>
      <c r="R22" s="64">
        <f>Лист1!BF16</f>
        <v>1169.369999999999</v>
      </c>
      <c r="S22" s="1"/>
      <c r="T22" s="1"/>
    </row>
    <row r="23" spans="1:20" ht="13.5" hidden="1" thickBot="1">
      <c r="A23" s="11" t="s">
        <v>46</v>
      </c>
      <c r="B23" s="72">
        <f>Лист1!B17</f>
        <v>5302.7</v>
      </c>
      <c r="C23" s="24">
        <f t="shared" si="0"/>
        <v>45868.355</v>
      </c>
      <c r="D23" s="25">
        <f>Лист1!D17</f>
        <v>5733.544375</v>
      </c>
      <c r="E23" s="12">
        <f>Лист1!S17</f>
        <v>31058.289999999997</v>
      </c>
      <c r="F23" s="27">
        <f>Лист1!T17</f>
        <v>7354.789999999999</v>
      </c>
      <c r="G23" s="77">
        <f>Лист1!AD17</f>
        <v>0</v>
      </c>
      <c r="H23" s="26">
        <f>Лист1!AB17</f>
        <v>27456.910000000003</v>
      </c>
      <c r="I23" s="27">
        <f>Лист1!AC17</f>
        <v>40545.244375</v>
      </c>
      <c r="J23" s="26">
        <f>Лист1!AG17</f>
        <v>2863.458</v>
      </c>
      <c r="K23" s="12">
        <f>Лист1!AI17+Лист1!AJ17</f>
        <v>4751.64447654</v>
      </c>
      <c r="L23" s="12">
        <f>Лист1!AH17+Лист1!AK17+Лист1!AL17+Лист1!AM17+Лист1!AN17+Лист1!AO17+Лист1!AP17+Лист1!AQ17+Лист1!AR17</f>
        <v>15548.859892072</v>
      </c>
      <c r="M23" s="28">
        <f>Лист1!AS17+Лист1!AT17+Лист1!AU17</f>
        <v>33368.2052</v>
      </c>
      <c r="N23" s="28">
        <f>Лист1!AX17</f>
        <v>6893.8</v>
      </c>
      <c r="O23" s="27">
        <f>Лист1!BB17</f>
        <v>63425.967568612</v>
      </c>
      <c r="P23" s="192"/>
      <c r="Q23" s="64">
        <f>Лист1!BE17</f>
        <v>-22369.887693052002</v>
      </c>
      <c r="R23" s="64">
        <f>Лист1!BF17</f>
        <v>-3601.3799999999937</v>
      </c>
      <c r="S23" s="1"/>
      <c r="T23" s="1"/>
    </row>
    <row r="24" spans="1:20" ht="13.5" hidden="1" thickBot="1">
      <c r="A24" s="11" t="s">
        <v>47</v>
      </c>
      <c r="B24" s="72">
        <f>Лист1!B18</f>
        <v>5302.1</v>
      </c>
      <c r="C24" s="24">
        <f t="shared" si="0"/>
        <v>45863.16500000001</v>
      </c>
      <c r="D24" s="25">
        <f>Лист1!D18</f>
        <v>4110.575000000002</v>
      </c>
      <c r="E24" s="12">
        <f>Лист1!S18</f>
        <v>33498.93</v>
      </c>
      <c r="F24" s="27">
        <f>Лист1!T18</f>
        <v>8253.660000000002</v>
      </c>
      <c r="G24" s="77">
        <f>Лист1!AD18</f>
        <v>0</v>
      </c>
      <c r="H24" s="26">
        <f>Лист1!AB18</f>
        <v>28502.899999999998</v>
      </c>
      <c r="I24" s="27">
        <f>Лист1!AC18</f>
        <v>40867.135</v>
      </c>
      <c r="J24" s="26">
        <f>Лист1!AG18</f>
        <v>3181.26</v>
      </c>
      <c r="K24" s="12">
        <f>Лист1!AI18+Лист1!AJ18</f>
        <v>5318.0063</v>
      </c>
      <c r="L24" s="12">
        <f>Лист1!AH18+Лист1!AK18+Лист1!AL18+Лист1!AM18+Лист1!AN18+Лист1!AO18+Лист1!AP18+Лист1!AQ18+Лист1!AR18</f>
        <v>18213.773920000003</v>
      </c>
      <c r="M24" s="28">
        <f>Лист1!AS18+Лист1!AT18+Лист1!AU18</f>
        <v>20550.927200000002</v>
      </c>
      <c r="N24" s="28">
        <f>Лист1!AX18</f>
        <v>1129.6376</v>
      </c>
      <c r="O24" s="27">
        <f>Лист1!BB18</f>
        <v>48393.60502</v>
      </c>
      <c r="P24" s="192"/>
      <c r="Q24" s="64">
        <f>Лист1!BE18</f>
        <v>-7060.1892145560005</v>
      </c>
      <c r="R24" s="64">
        <f>Лист1!BF18</f>
        <v>-4996.0300000000025</v>
      </c>
      <c r="S24" s="1"/>
      <c r="T24" s="1"/>
    </row>
    <row r="25" spans="1:20" ht="13.5" hidden="1" thickBot="1">
      <c r="A25" s="11" t="s">
        <v>48</v>
      </c>
      <c r="B25" s="72">
        <f>Лист1!B19</f>
        <v>5302.1</v>
      </c>
      <c r="C25" s="24">
        <f t="shared" si="0"/>
        <v>45863.16500000001</v>
      </c>
      <c r="D25" s="25">
        <f>Лист1!D19</f>
        <v>4189.295000000005</v>
      </c>
      <c r="E25" s="12">
        <f>Лист1!S19</f>
        <v>33344.63</v>
      </c>
      <c r="F25" s="27">
        <f>Лист1!T19</f>
        <v>8329.24</v>
      </c>
      <c r="G25" s="77">
        <f>Лист1!AD19</f>
        <v>0</v>
      </c>
      <c r="H25" s="26">
        <f>Лист1!AB19</f>
        <v>32185.809999999998</v>
      </c>
      <c r="I25" s="27">
        <f>Лист1!AC19</f>
        <v>44704.345</v>
      </c>
      <c r="J25" s="26">
        <f>Лист1!AG19</f>
        <v>3181.26</v>
      </c>
      <c r="K25" s="12">
        <f>Лист1!AI19+Лист1!AJ19</f>
        <v>5318.0063</v>
      </c>
      <c r="L25" s="12">
        <f>Лист1!AH19+Лист1!AK19+Лист1!AL19+Лист1!AM19+Лист1!AN19+Лист1!AO19+Лист1!AP19+Лист1!AQ19+Лист1!AR19</f>
        <v>32877.829709000005</v>
      </c>
      <c r="M25" s="28">
        <f>Лист1!AS19+Лист1!AT19+Лист1!AU19</f>
        <v>19818.619199999997</v>
      </c>
      <c r="N25" s="28">
        <f>Лист1!AX19</f>
        <v>1000.7816000000001</v>
      </c>
      <c r="O25" s="27">
        <f>Лист1!BB19</f>
        <v>62196.496809000004</v>
      </c>
      <c r="P25" s="192"/>
      <c r="Q25" s="64">
        <f>Лист1!BE19</f>
        <v>-17003.092257360004</v>
      </c>
      <c r="R25" s="64">
        <f>Лист1!BF19</f>
        <v>-1158.8199999999997</v>
      </c>
      <c r="S25" s="1"/>
      <c r="T25" s="1"/>
    </row>
    <row r="26" spans="1:20" ht="13.5" hidden="1" thickBot="1">
      <c r="A26" s="11" t="s">
        <v>49</v>
      </c>
      <c r="B26" s="72">
        <f>Лист1!B20</f>
        <v>5302.1</v>
      </c>
      <c r="C26" s="24">
        <f t="shared" si="0"/>
        <v>45863.16500000001</v>
      </c>
      <c r="D26" s="25">
        <f>Лист1!D20</f>
        <v>4478.405000000003</v>
      </c>
      <c r="E26" s="12">
        <f>Лист1!S20</f>
        <v>33055.520000000004</v>
      </c>
      <c r="F26" s="27">
        <f>Лист1!T20</f>
        <v>8329.24</v>
      </c>
      <c r="G26" s="77">
        <f>Лист1!AD20</f>
        <v>0</v>
      </c>
      <c r="H26" s="26">
        <f>Лист1!AB20</f>
        <v>36460.909999999996</v>
      </c>
      <c r="I26" s="27">
        <f>Лист1!AC20</f>
        <v>49268.555</v>
      </c>
      <c r="J26" s="26">
        <f>Лист1!AG20</f>
        <v>3181.26</v>
      </c>
      <c r="K26" s="12">
        <f>Лист1!AI20+Лист1!AJ20</f>
        <v>5241.95880991</v>
      </c>
      <c r="L26" s="12">
        <f>Лист1!AH20+Лист1!AK20+Лист1!AL20+Лист1!AM20+Лист1!AN20+Лист1!AO20+Лист1!AP20+Лист1!AQ20+Лист1!AR20</f>
        <v>18033.021195362002</v>
      </c>
      <c r="M26" s="28">
        <f>Лист1!AS20+Лист1!AT20+Лист1!AU20</f>
        <v>10208.18</v>
      </c>
      <c r="N26" s="28">
        <f>Лист1!AX20</f>
        <v>1065.2096000000001</v>
      </c>
      <c r="O26" s="27">
        <f>Лист1!BB20</f>
        <v>37729.629605272006</v>
      </c>
      <c r="P26" s="192"/>
      <c r="Q26" s="64">
        <f>Лист1!BE20</f>
        <v>13039.663961327995</v>
      </c>
      <c r="R26" s="64">
        <f>Лист1!BF20</f>
        <v>3405.389999999992</v>
      </c>
      <c r="S26" s="1"/>
      <c r="T26" s="1"/>
    </row>
    <row r="27" spans="1:20" ht="13.5" hidden="1" thickBot="1">
      <c r="A27" s="11" t="s">
        <v>50</v>
      </c>
      <c r="B27" s="72">
        <f>Лист1!B21</f>
        <v>5302.1</v>
      </c>
      <c r="C27" s="24">
        <f t="shared" si="0"/>
        <v>45863.16500000001</v>
      </c>
      <c r="D27" s="25">
        <f>Лист1!D21</f>
        <v>4212.045000000008</v>
      </c>
      <c r="E27" s="12">
        <f>Лист1!S21</f>
        <v>33387.119999999995</v>
      </c>
      <c r="F27" s="27">
        <f>Лист1!T21</f>
        <v>8264</v>
      </c>
      <c r="G27" s="77">
        <f>Лист1!AD21</f>
        <v>0</v>
      </c>
      <c r="H27" s="26">
        <f>Лист1!AB21</f>
        <v>30915.46</v>
      </c>
      <c r="I27" s="27">
        <f>Лист1!AC21</f>
        <v>43391.505000000005</v>
      </c>
      <c r="J27" s="26">
        <f>Лист1!AG21</f>
        <v>3181.26</v>
      </c>
      <c r="K27" s="12">
        <f>Лист1!AI21+Лист1!AJ21</f>
        <v>5239.618887138</v>
      </c>
      <c r="L27" s="12">
        <f>Лист1!AH21+Лист1!AK21+Лист1!AL21+Лист1!AM21+Лист1!AN21+Лист1!AO21+Лист1!AP21+Лист1!AQ21+Лист1!AR21</f>
        <v>18030.416697800003</v>
      </c>
      <c r="M27" s="28">
        <f>Лист1!AS21+Лист1!AT21+Лист1!AU21</f>
        <v>12196.48</v>
      </c>
      <c r="N27" s="28">
        <f>Лист1!AX21</f>
        <v>1258.4936000000002</v>
      </c>
      <c r="O27" s="27">
        <f>Лист1!BB21</f>
        <v>39906.269184938006</v>
      </c>
      <c r="P27" s="192"/>
      <c r="Q27" s="64">
        <f>Лист1!BE21</f>
        <v>4623.710880669998</v>
      </c>
      <c r="R27" s="64">
        <f>Лист1!BF21</f>
        <v>-2471.659999999996</v>
      </c>
      <c r="S27" s="1"/>
      <c r="T27" s="1"/>
    </row>
    <row r="28" spans="1:20" ht="13.5" hidden="1" thickBot="1">
      <c r="A28" s="11" t="s">
        <v>51</v>
      </c>
      <c r="B28" s="72">
        <f>Лист1!B22</f>
        <v>5302.1</v>
      </c>
      <c r="C28" s="24">
        <f t="shared" si="0"/>
        <v>45863.16500000001</v>
      </c>
      <c r="D28" s="25">
        <f>Лист1!D22</f>
        <v>4212.475000000011</v>
      </c>
      <c r="E28" s="12">
        <f>Лист1!S22</f>
        <v>33143.19</v>
      </c>
      <c r="F28" s="27">
        <f>Лист1!T22</f>
        <v>8507.5</v>
      </c>
      <c r="G28" s="77">
        <f>Лист1!AD22</f>
        <v>0</v>
      </c>
      <c r="H28" s="26">
        <f>Лист1!AB22</f>
        <v>30002.65</v>
      </c>
      <c r="I28" s="27">
        <f>Лист1!AC22</f>
        <v>42722.625000000015</v>
      </c>
      <c r="J28" s="26">
        <f>Лист1!AG22</f>
        <v>3181.26</v>
      </c>
      <c r="K28" s="12">
        <f>Лист1!AI22+Лист1!AJ22</f>
        <v>5238.714826067</v>
      </c>
      <c r="L28" s="12">
        <f>Лист1!AH22+Лист1!AK22+Лист1!AL22+Лист1!AM22+Лист1!AN22+Лист1!AO22+Лист1!AP22+Лист1!AQ22+Лист1!AR22</f>
        <v>18028.1669743532</v>
      </c>
      <c r="M28" s="28">
        <f>Лист1!AS22+Лист1!AT22+Лист1!AU22</f>
        <v>0</v>
      </c>
      <c r="N28" s="28">
        <f>Лист1!AX22</f>
        <v>1499.0248000000001</v>
      </c>
      <c r="O28" s="27">
        <f>Лист1!BB22</f>
        <v>27947.1666004202</v>
      </c>
      <c r="P28" s="192"/>
      <c r="Q28" s="64">
        <f>Лист1!BE22</f>
        <v>15914.087603443013</v>
      </c>
      <c r="R28" s="64">
        <f>Лист1!BF22</f>
        <v>-3140.540000000001</v>
      </c>
      <c r="S28" s="1"/>
      <c r="T28" s="1"/>
    </row>
    <row r="29" spans="1:20" ht="13.5" hidden="1" thickBot="1">
      <c r="A29" s="11" t="s">
        <v>39</v>
      </c>
      <c r="B29" s="72">
        <f>Лист1!B23</f>
        <v>5302.1</v>
      </c>
      <c r="C29" s="24">
        <f>B29*8.65</f>
        <v>45863.16500000001</v>
      </c>
      <c r="D29" s="25">
        <f>Лист1!D23</f>
        <v>4252.7650000000085</v>
      </c>
      <c r="E29" s="12">
        <f>Лист1!S23</f>
        <v>33214.62</v>
      </c>
      <c r="F29" s="27">
        <f>Лист1!T23</f>
        <v>8395.78</v>
      </c>
      <c r="G29" s="77">
        <f>Лист1!AD23</f>
        <v>0</v>
      </c>
      <c r="H29" s="26">
        <f>Лист1!AB23</f>
        <v>39399.95</v>
      </c>
      <c r="I29" s="27">
        <f>Лист1!AC23</f>
        <v>52048.495</v>
      </c>
      <c r="J29" s="26">
        <f>Лист1!AG23</f>
        <v>3181.26</v>
      </c>
      <c r="K29" s="12">
        <f>Лист1!AI23+Лист1!AJ23</f>
        <v>5299.236866</v>
      </c>
      <c r="L29" s="12">
        <f>Лист1!AH23+Лист1!AK23+Лист1!AL23+Лист1!AM23+Лист1!AN23+Лист1!AO23+Лист1!AP23+Лист1!AQ23+Лист1!AR23</f>
        <v>25156.113740000004</v>
      </c>
      <c r="M29" s="28">
        <f>Лист1!AS23+Лист1!AT23+Лист1!AU23</f>
        <v>811.368</v>
      </c>
      <c r="N29" s="28">
        <f>Лист1!AX23</f>
        <v>1825.4600000000003</v>
      </c>
      <c r="O29" s="27">
        <f>Лист1!BB23</f>
        <v>36273.438606</v>
      </c>
      <c r="P29" s="192"/>
      <c r="Q29" s="64">
        <f>Лист1!BE23</f>
        <v>18050.184972</v>
      </c>
      <c r="R29" s="64">
        <f>Лист1!BF23</f>
        <v>6185.3299999999945</v>
      </c>
      <c r="S29" s="1"/>
      <c r="T29" s="1"/>
    </row>
    <row r="30" spans="1:20" ht="13.5" hidden="1" thickBot="1">
      <c r="A30" s="11" t="s">
        <v>40</v>
      </c>
      <c r="B30" s="72">
        <f>Лист1!B24</f>
        <v>5301</v>
      </c>
      <c r="C30" s="24">
        <f>B30*8.65</f>
        <v>45853.65</v>
      </c>
      <c r="D30" s="25">
        <f>Лист1!D24</f>
        <v>5049.650000000004</v>
      </c>
      <c r="E30" s="12">
        <f>Лист1!S24</f>
        <v>33393.600000000006</v>
      </c>
      <c r="F30" s="27">
        <f>Лист1!T24</f>
        <v>7410.400000000001</v>
      </c>
      <c r="G30" s="77">
        <f>Лист1!AD24</f>
        <v>0</v>
      </c>
      <c r="H30" s="26">
        <f>Лист1!AB24</f>
        <v>34434.579999999994</v>
      </c>
      <c r="I30" s="27">
        <f>Лист1!AC24</f>
        <v>46894.63</v>
      </c>
      <c r="J30" s="26">
        <f>Лист1!AG24</f>
        <v>3180.6</v>
      </c>
      <c r="K30" s="12">
        <f>Лист1!AI24+Лист1!AJ24</f>
        <v>5316.902999999999</v>
      </c>
      <c r="L30" s="12">
        <f>Лист1!AH24+Лист1!AK24+Лист1!AL24+Лист1!AM24+Лист1!AN24+Лист1!AO24+Лист1!AP24+Лист1!AQ24+Лист1!AR24</f>
        <v>18199.3932</v>
      </c>
      <c r="M30" s="28">
        <f>Лист1!AS24+Лист1!AT24+Лист1!AU24</f>
        <v>46349.22</v>
      </c>
      <c r="N30" s="28">
        <f>Лист1!AX24</f>
        <v>2018.7440000000001</v>
      </c>
      <c r="O30" s="27">
        <f>Лист1!BB24</f>
        <v>75064.86020000001</v>
      </c>
      <c r="P30" s="192"/>
      <c r="Q30" s="64">
        <f>Лист1!BE24</f>
        <v>-26840.35772000001</v>
      </c>
      <c r="R30" s="64">
        <f>Лист1!BF24</f>
        <v>1040.9799999999886</v>
      </c>
      <c r="S30" s="1"/>
      <c r="T30" s="1"/>
    </row>
    <row r="31" spans="1:20" ht="13.5" hidden="1" thickBot="1">
      <c r="A31" s="29" t="s">
        <v>41</v>
      </c>
      <c r="B31" s="72">
        <f>Лист1!B25</f>
        <v>5301</v>
      </c>
      <c r="C31" s="30">
        <f>B31*8.65</f>
        <v>45853.65</v>
      </c>
      <c r="D31" s="25">
        <f>Лист1!D25</f>
        <v>4286.120000000002</v>
      </c>
      <c r="E31" s="12">
        <f>Лист1!S25</f>
        <v>33078.1</v>
      </c>
      <c r="F31" s="27">
        <f>Лист1!T25</f>
        <v>8489.43</v>
      </c>
      <c r="G31" s="77">
        <f>Лист1!AD25</f>
        <v>0</v>
      </c>
      <c r="H31" s="26">
        <f>Лист1!AB25</f>
        <v>41274.729999999996</v>
      </c>
      <c r="I31" s="27">
        <f>Лист1!AC25</f>
        <v>54050.28</v>
      </c>
      <c r="J31" s="26">
        <f>Лист1!AG25</f>
        <v>3180.6</v>
      </c>
      <c r="K31" s="12">
        <f>Лист1!AI25+Лист1!AJ25</f>
        <v>5316.902999999999</v>
      </c>
      <c r="L31" s="12">
        <f>Лист1!AH25+Лист1!AK25+Лист1!AL25+Лист1!AM25+Лист1!AN25+Лист1!AO25+Лист1!AP25+Лист1!AQ25+Лист1!AR25</f>
        <v>18199.3932</v>
      </c>
      <c r="M31" s="28">
        <f>Лист1!AS25+Лист1!AT25+Лист1!AU25</f>
        <v>2757.542</v>
      </c>
      <c r="N31" s="28">
        <f>Лист1!AX25</f>
        <v>2207.7328</v>
      </c>
      <c r="O31" s="27">
        <f>Лист1!BB25</f>
        <v>31662.171000000006</v>
      </c>
      <c r="P31" s="192"/>
      <c r="Q31" s="64">
        <f>Лист1!BE25</f>
        <v>23717.981479999995</v>
      </c>
      <c r="R31" s="64">
        <f>Лист1!BF25</f>
        <v>8196.629999999997</v>
      </c>
      <c r="S31" s="1"/>
      <c r="T31" s="1"/>
    </row>
    <row r="32" spans="1:20" s="16" customFormat="1" ht="13.5" hidden="1" thickBot="1">
      <c r="A32" s="31" t="s">
        <v>3</v>
      </c>
      <c r="B32" s="32"/>
      <c r="C32" s="33">
        <f aca="true" t="shared" si="3" ref="C32:R32">SUM(C20:C31)</f>
        <v>550362.3050000002</v>
      </c>
      <c r="D32" s="57">
        <f t="shared" si="3"/>
        <v>57725.83187500004</v>
      </c>
      <c r="E32" s="33">
        <f t="shared" si="3"/>
        <v>390117.02</v>
      </c>
      <c r="F32" s="58">
        <f t="shared" si="3"/>
        <v>94038.41999999998</v>
      </c>
      <c r="G32" s="58">
        <f>SUM(G20:G31)</f>
        <v>0</v>
      </c>
      <c r="H32" s="57">
        <f t="shared" si="3"/>
        <v>380601.29</v>
      </c>
      <c r="I32" s="58">
        <f>SUM(I20:I31)</f>
        <v>532365.541875</v>
      </c>
      <c r="J32" s="57">
        <f t="shared" si="3"/>
        <v>36902.75400000001</v>
      </c>
      <c r="K32" s="33">
        <f t="shared" si="3"/>
        <v>60877.588718105006</v>
      </c>
      <c r="L32" s="33">
        <f t="shared" si="3"/>
        <v>229314.94189554921</v>
      </c>
      <c r="M32" s="33">
        <f t="shared" si="3"/>
        <v>190737.71159999998</v>
      </c>
      <c r="N32" s="33">
        <f t="shared" si="3"/>
        <v>18898.884000000002</v>
      </c>
      <c r="O32" s="58">
        <f t="shared" si="3"/>
        <v>536731.8802136541</v>
      </c>
      <c r="P32" s="193"/>
      <c r="Q32" s="65">
        <f t="shared" si="3"/>
        <v>7361.565490160972</v>
      </c>
      <c r="R32" s="65">
        <f t="shared" si="3"/>
        <v>-9515.730000000025</v>
      </c>
      <c r="S32" s="61"/>
      <c r="T32" s="61"/>
    </row>
    <row r="33" spans="1:20" ht="13.5" thickBot="1">
      <c r="A33" s="83" t="s">
        <v>94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  <c r="R33" s="69"/>
      <c r="S33" s="1"/>
      <c r="T33" s="1"/>
    </row>
    <row r="34" spans="1:20" s="16" customFormat="1" ht="13.5" thickBot="1">
      <c r="A34" s="70" t="s">
        <v>52</v>
      </c>
      <c r="B34" s="35"/>
      <c r="C34" s="36">
        <f>C18+C32</f>
        <v>688008.8900000001</v>
      </c>
      <c r="D34" s="34">
        <f aca="true" t="shared" si="4" ref="D34:R34">D18+D32</f>
        <v>90857.82370645006</v>
      </c>
      <c r="E34" s="35">
        <f t="shared" si="4"/>
        <v>482709.56000000006</v>
      </c>
      <c r="F34" s="36">
        <f t="shared" si="4"/>
        <v>115315.62999999998</v>
      </c>
      <c r="G34" s="36">
        <f>Лист1!AF28</f>
        <v>21058.660019999996</v>
      </c>
      <c r="H34" s="34">
        <f t="shared" si="4"/>
        <v>438147.92</v>
      </c>
      <c r="I34" s="36">
        <f t="shared" si="4"/>
        <v>644321.37370645</v>
      </c>
      <c r="J34" s="34">
        <f t="shared" si="4"/>
        <v>46450.494000000006</v>
      </c>
      <c r="K34" s="35">
        <f t="shared" si="4"/>
        <v>76856.480314185</v>
      </c>
      <c r="L34" s="35">
        <f t="shared" si="4"/>
        <v>285335.0163325482</v>
      </c>
      <c r="M34" s="35">
        <f t="shared" si="4"/>
        <v>216502.96439999997</v>
      </c>
      <c r="N34" s="35">
        <f t="shared" si="4"/>
        <v>18898.884000000002</v>
      </c>
      <c r="O34" s="36">
        <f t="shared" si="4"/>
        <v>644043.8390467331</v>
      </c>
      <c r="P34" s="194">
        <f>Лист1!BC28</f>
        <v>9330.7561911848</v>
      </c>
      <c r="Q34" s="67">
        <f>Q18+Q32</f>
        <v>12005.438488531994</v>
      </c>
      <c r="R34" s="67">
        <f t="shared" si="4"/>
        <v>-44561.64000000002</v>
      </c>
      <c r="S34" s="62"/>
      <c r="T34" s="61"/>
    </row>
    <row r="35" spans="1:20" ht="12.75">
      <c r="A35" s="7" t="s">
        <v>90</v>
      </c>
      <c r="B35" s="37"/>
      <c r="C35" s="38"/>
      <c r="D35" s="39"/>
      <c r="E35" s="40"/>
      <c r="F35" s="42"/>
      <c r="G35" s="78"/>
      <c r="H35" s="41"/>
      <c r="I35" s="42"/>
      <c r="J35" s="41"/>
      <c r="K35" s="12"/>
      <c r="L35" s="12"/>
      <c r="M35" s="28"/>
      <c r="N35" s="59"/>
      <c r="O35" s="27"/>
      <c r="P35" s="192"/>
      <c r="Q35" s="64"/>
      <c r="R35" s="64"/>
      <c r="S35" s="1"/>
      <c r="T35" s="1"/>
    </row>
    <row r="36" spans="1:20" ht="12.75">
      <c r="A36" s="11" t="s">
        <v>43</v>
      </c>
      <c r="B36" s="72">
        <f>Лист1!B30</f>
        <v>5301</v>
      </c>
      <c r="C36" s="24">
        <f aca="true" t="shared" si="5" ref="C36:C44">B36*8.65</f>
        <v>45853.65</v>
      </c>
      <c r="D36" s="25">
        <f>Лист1!D30</f>
        <v>4187.579999999992</v>
      </c>
      <c r="E36" s="12">
        <f>Лист1!S30</f>
        <v>33176.649999999994</v>
      </c>
      <c r="F36" s="27">
        <f>Лист1!T30</f>
        <v>8489.42</v>
      </c>
      <c r="G36" s="77">
        <f>Лист1!AF30</f>
        <v>2541.0155400000003</v>
      </c>
      <c r="H36" s="26">
        <f>Лист1!AB30</f>
        <v>24260.21</v>
      </c>
      <c r="I36" s="27">
        <f>Лист1!AC30</f>
        <v>36937.20999999999</v>
      </c>
      <c r="J36" s="26">
        <f>Лист1!AG30</f>
        <v>3180.6</v>
      </c>
      <c r="K36" s="12">
        <f>Лист1!AI30+Лист1!AJ30</f>
        <v>5301</v>
      </c>
      <c r="L36" s="12">
        <f>Лист1!AH30+Лист1!AK30+Лист1!AL30+Лист1!AM30+Лист1!AN30+Лист1!AO30+Лист1!AP30+Лист1!AQ30+Лист1!AR30</f>
        <v>18182.43</v>
      </c>
      <c r="M36" s="28">
        <f>Лист1!AS30+Лист1!AT30+Лист1!AU30</f>
        <v>334</v>
      </c>
      <c r="N36" s="28">
        <f>Лист1!AX30</f>
        <v>2311.3999999999996</v>
      </c>
      <c r="O36" s="27">
        <f>Лист1!BB30</f>
        <v>29309.43</v>
      </c>
      <c r="P36" s="192">
        <f>Лист1!BC30</f>
        <v>1209.699</v>
      </c>
      <c r="Q36" s="64">
        <f>Лист1!BE30</f>
        <v>8959.096539999991</v>
      </c>
      <c r="R36" s="64">
        <f>Лист1!BF30</f>
        <v>-8916.439999999995</v>
      </c>
      <c r="S36" s="1"/>
      <c r="T36" s="1"/>
    </row>
    <row r="37" spans="1:20" ht="12.75">
      <c r="A37" s="11" t="s">
        <v>44</v>
      </c>
      <c r="B37" s="72">
        <f>Лист1!B31</f>
        <v>5301</v>
      </c>
      <c r="C37" s="24">
        <f t="shared" si="5"/>
        <v>45853.65</v>
      </c>
      <c r="D37" s="25">
        <f>Лист1!D31</f>
        <v>4137.909999999996</v>
      </c>
      <c r="E37" s="12">
        <f>Лист1!S31</f>
        <v>33410.689999999995</v>
      </c>
      <c r="F37" s="27">
        <f>Лист1!T31</f>
        <v>8305.05</v>
      </c>
      <c r="G37" s="77">
        <f>Лист1!AF31</f>
        <v>2541.0155400000003</v>
      </c>
      <c r="H37" s="26">
        <f>Лист1!AB31</f>
        <v>31208.54</v>
      </c>
      <c r="I37" s="27">
        <f>Лист1!AC31</f>
        <v>43651.5</v>
      </c>
      <c r="J37" s="26">
        <f>Лист1!AG31</f>
        <v>3180.6</v>
      </c>
      <c r="K37" s="12">
        <f>Лист1!AI31+Лист1!AJ31</f>
        <v>5301</v>
      </c>
      <c r="L37" s="12">
        <f>Лист1!AH31+Лист1!AK31+Лист1!AL31+Лист1!AM31+Лист1!AN31+Лист1!AO31+Лист1!AP31+Лист1!AQ31+Лист1!AR31</f>
        <v>18182.43</v>
      </c>
      <c r="M37" s="28">
        <f>Лист1!AS31+Лист1!AT31+Лист1!AU31</f>
        <v>18883</v>
      </c>
      <c r="N37" s="28">
        <f>Лист1!AX31</f>
        <v>1851.85</v>
      </c>
      <c r="O37" s="27">
        <f>Лист1!BB31</f>
        <v>47398.88</v>
      </c>
      <c r="P37" s="192">
        <f>Лист1!BC31</f>
        <v>1209.699</v>
      </c>
      <c r="Q37" s="64">
        <f>Лист1!BE31</f>
        <v>-2416.063459999997</v>
      </c>
      <c r="R37" s="64">
        <f>Лист1!BF31</f>
        <v>-2202.149999999994</v>
      </c>
      <c r="S37" s="1"/>
      <c r="T37" s="1"/>
    </row>
    <row r="38" spans="1:20" ht="12.75">
      <c r="A38" s="11" t="s">
        <v>45</v>
      </c>
      <c r="B38" s="72">
        <f>Лист1!B32</f>
        <v>5301</v>
      </c>
      <c r="C38" s="24">
        <f t="shared" si="5"/>
        <v>45853.65</v>
      </c>
      <c r="D38" s="25">
        <f>Лист1!D32</f>
        <v>4149.93</v>
      </c>
      <c r="E38" s="12">
        <f>Лист1!S32</f>
        <v>33401.52</v>
      </c>
      <c r="F38" s="27">
        <f>Лист1!T32</f>
        <v>8302.2</v>
      </c>
      <c r="G38" s="77">
        <f>Лист1!AF32</f>
        <v>2541.0155400000003</v>
      </c>
      <c r="H38" s="26">
        <f>Лист1!AB32</f>
        <v>38386.729999999996</v>
      </c>
      <c r="I38" s="27">
        <f>Лист1!AC32</f>
        <v>50838.86</v>
      </c>
      <c r="J38" s="26">
        <f>Лист1!AG32</f>
        <v>3180.6</v>
      </c>
      <c r="K38" s="12">
        <f>Лист1!AI32+Лист1!AJ32</f>
        <v>5301</v>
      </c>
      <c r="L38" s="12">
        <f>Лист1!AH32+Лист1!AK32+Лист1!AL32+Лист1!AM32+Лист1!AN32+Лист1!AO32+Лист1!AP32+Лист1!AQ32+Лист1!AR32</f>
        <v>25037.43</v>
      </c>
      <c r="M38" s="28">
        <f>Лист1!AS32+Лист1!AT32+Лист1!AU32</f>
        <v>5171</v>
      </c>
      <c r="N38" s="28">
        <f>Лист1!AX32</f>
        <v>1742.6499999999999</v>
      </c>
      <c r="O38" s="27">
        <f>Лист1!BB32</f>
        <v>40432.68</v>
      </c>
      <c r="P38" s="192">
        <f>Лист1!BC32</f>
        <v>1209.699</v>
      </c>
      <c r="Q38" s="64">
        <f>Лист1!BE32</f>
        <v>11737.49654</v>
      </c>
      <c r="R38" s="64">
        <f>Лист1!BF32</f>
        <v>4985.209999999999</v>
      </c>
      <c r="S38" s="1"/>
      <c r="T38" s="1"/>
    </row>
    <row r="39" spans="1:20" ht="12.75">
      <c r="A39" s="11" t="s">
        <v>46</v>
      </c>
      <c r="B39" s="72">
        <f>Лист1!B33</f>
        <v>5301</v>
      </c>
      <c r="C39" s="24">
        <f t="shared" si="5"/>
        <v>45853.65</v>
      </c>
      <c r="D39" s="25">
        <f>Лист1!D33</f>
        <v>4157.050000000001</v>
      </c>
      <c r="E39" s="12">
        <f>Лист1!S33</f>
        <v>33394.399999999994</v>
      </c>
      <c r="F39" s="27">
        <f>Лист1!T33</f>
        <v>8302.2</v>
      </c>
      <c r="G39" s="77">
        <f>Лист1!AF33</f>
        <v>2541.0155400000003</v>
      </c>
      <c r="H39" s="26">
        <f>Лист1!AB33</f>
        <v>27456.910000000003</v>
      </c>
      <c r="I39" s="27">
        <f>Лист1!AC33</f>
        <v>39916.16</v>
      </c>
      <c r="J39" s="26">
        <f>Лист1!AG33</f>
        <v>3180.6</v>
      </c>
      <c r="K39" s="12">
        <f>Лист1!AI33+Лист1!AJ33</f>
        <v>5301</v>
      </c>
      <c r="L39" s="12">
        <f>Лист1!AH33+Лист1!AK33+Лист1!AL33+Лист1!AM33+Лист1!AN33+Лист1!AO33+Лист1!AP33+Лист1!AQ33+Лист1!AR33</f>
        <v>18182.43</v>
      </c>
      <c r="M39" s="28">
        <f>Лист1!AS33+Лист1!AT33+Лист1!AU33</f>
        <v>12241</v>
      </c>
      <c r="N39" s="28">
        <f>Лист1!AX33</f>
        <v>1396.85</v>
      </c>
      <c r="O39" s="27">
        <f>Лист1!BB33</f>
        <v>40301.88</v>
      </c>
      <c r="P39" s="192">
        <f>Лист1!BC33</f>
        <v>1209.699</v>
      </c>
      <c r="Q39" s="64">
        <f>Лист1!BE33</f>
        <v>945.5965400000064</v>
      </c>
      <c r="R39" s="64">
        <f>Лист1!BF33</f>
        <v>-5937.489999999991</v>
      </c>
      <c r="S39" s="1"/>
      <c r="T39" s="1"/>
    </row>
    <row r="40" spans="1:20" ht="12.75">
      <c r="A40" s="11" t="s">
        <v>47</v>
      </c>
      <c r="B40" s="72">
        <f>Лист1!B34</f>
        <v>5306.98</v>
      </c>
      <c r="C40" s="24">
        <f t="shared" si="5"/>
        <v>45905.377</v>
      </c>
      <c r="D40" s="25">
        <f>Лист1!D34</f>
        <v>4127.38700000001</v>
      </c>
      <c r="E40" s="12">
        <f>Лист1!S34</f>
        <v>33592.03</v>
      </c>
      <c r="F40" s="27">
        <f>Лист1!T34</f>
        <v>8185.96</v>
      </c>
      <c r="G40" s="77">
        <f>Лист1!AF34</f>
        <v>1965.3696200000002</v>
      </c>
      <c r="H40" s="26">
        <f>Лист1!AB34</f>
        <v>32999.59</v>
      </c>
      <c r="I40" s="27">
        <f>Лист1!AC34</f>
        <v>45312.937000000005</v>
      </c>
      <c r="J40" s="26">
        <f>Лист1!AG34</f>
        <v>3184.1879999999996</v>
      </c>
      <c r="K40" s="12">
        <f>Лист1!AI34+Лист1!AJ34</f>
        <v>5306.98</v>
      </c>
      <c r="L40" s="12">
        <f>Лист1!AH34+Лист1!AK34+Лист1!AL34+Лист1!AM34+Лист1!AN34+Лист1!AO34+Лист1!AP34+Лист1!AQ34+Лист1!AR34</f>
        <v>18202.941399999996</v>
      </c>
      <c r="M40" s="28">
        <f>Лист1!AS34+Лист1!AT34+Лист1!AU34</f>
        <v>11654</v>
      </c>
      <c r="N40" s="28">
        <f>Лист1!AX34</f>
        <v>1196.6499999999999</v>
      </c>
      <c r="O40" s="27">
        <f>Лист1!BB34</f>
        <v>39544.759399999995</v>
      </c>
      <c r="P40" s="192">
        <f>Лист1!BC34</f>
        <v>1209.699</v>
      </c>
      <c r="Q40" s="64">
        <f>Лист1!BE34</f>
        <v>6523.84822000001</v>
      </c>
      <c r="R40" s="64">
        <f>Лист1!BF34</f>
        <v>-592.4400000000023</v>
      </c>
      <c r="S40" s="1"/>
      <c r="T40" s="1"/>
    </row>
    <row r="41" spans="1:20" ht="12.75">
      <c r="A41" s="11" t="s">
        <v>48</v>
      </c>
      <c r="B41" s="72">
        <f>Лист1!B35</f>
        <v>5306.98</v>
      </c>
      <c r="C41" s="24">
        <f t="shared" si="5"/>
        <v>45905.377</v>
      </c>
      <c r="D41" s="25">
        <f>Лист1!D35</f>
        <v>4127.367000000006</v>
      </c>
      <c r="E41" s="12">
        <f>Лист1!S35</f>
        <v>33592.04</v>
      </c>
      <c r="F41" s="27">
        <f>Лист1!T35</f>
        <v>8185.97</v>
      </c>
      <c r="G41" s="77">
        <f>Лист1!AF35</f>
        <v>1965.3696200000002</v>
      </c>
      <c r="H41" s="26">
        <f>Лист1!AB35</f>
        <v>28207.679999999997</v>
      </c>
      <c r="I41" s="27">
        <f>Лист1!AC35</f>
        <v>40521.01700000001</v>
      </c>
      <c r="J41" s="26">
        <f>Лист1!AG35</f>
        <v>3184.1879999999996</v>
      </c>
      <c r="K41" s="12">
        <f>Лист1!AI35+Лист1!AJ35</f>
        <v>5306.98</v>
      </c>
      <c r="L41" s="12">
        <f>Лист1!AH35+Лист1!AK35+Лист1!AL35+Лист1!AM35+Лист1!AN35+Лист1!AO35+Лист1!AP35+Лист1!AQ35+Лист1!AR35</f>
        <v>18402.941399999996</v>
      </c>
      <c r="M41" s="28">
        <f>Лист1!AS35+Лист1!AT35+Лист1!AU35</f>
        <v>3723.27</v>
      </c>
      <c r="N41" s="28">
        <f>Лист1!AX35</f>
        <v>1060.1499999999999</v>
      </c>
      <c r="O41" s="27">
        <f>Лист1!BB35</f>
        <v>31677.529399999996</v>
      </c>
      <c r="P41" s="192">
        <f>Лист1!BC35</f>
        <v>935.647</v>
      </c>
      <c r="Q41" s="64">
        <f>Лист1!BE35</f>
        <v>9873.210220000012</v>
      </c>
      <c r="R41" s="64">
        <f>Лист1!BF35</f>
        <v>-5384.360000000004</v>
      </c>
      <c r="S41" s="1"/>
      <c r="T41" s="1"/>
    </row>
    <row r="42" spans="1:20" ht="12.75">
      <c r="A42" s="11" t="s">
        <v>49</v>
      </c>
      <c r="B42" s="72">
        <f>Лист1!B36</f>
        <v>5306.98</v>
      </c>
      <c r="C42" s="24">
        <f t="shared" si="5"/>
        <v>45905.377</v>
      </c>
      <c r="D42" s="25">
        <f>Лист1!D36</f>
        <v>4031.3170000000027</v>
      </c>
      <c r="E42" s="12">
        <f>Лист1!S36</f>
        <v>41874.06</v>
      </c>
      <c r="F42" s="27">
        <f>Лист1!T36</f>
        <v>0</v>
      </c>
      <c r="G42" s="77">
        <f>Лист1!AF36</f>
        <v>1965.3696200000002</v>
      </c>
      <c r="H42" s="26">
        <f>Лист1!AB36</f>
        <v>30627.28</v>
      </c>
      <c r="I42" s="27">
        <f>Лист1!AC36</f>
        <v>34658.597</v>
      </c>
      <c r="J42" s="26">
        <f>Лист1!AG36</f>
        <v>3184.1879999999996</v>
      </c>
      <c r="K42" s="12">
        <f>Лист1!AI36+Лист1!AJ36</f>
        <v>5306.98</v>
      </c>
      <c r="L42" s="12">
        <f>Лист1!AH36+Лист1!AK36+Лист1!AL36+Лист1!AM36+Лист1!AN36+Лист1!AO36+Лист1!AP36+Лист1!AQ36+Лист1!AR36</f>
        <v>18202.941399999996</v>
      </c>
      <c r="M42" s="28">
        <f>Лист1!AS36+Лист1!AT36+Лист1!AU36</f>
        <v>0</v>
      </c>
      <c r="N42" s="28">
        <f>Лист1!AX36</f>
        <v>1128.3999999999999</v>
      </c>
      <c r="O42" s="27">
        <f>Лист1!BB36</f>
        <v>27822.509399999995</v>
      </c>
      <c r="P42" s="192">
        <f>Лист1!BC36</f>
        <v>935.647</v>
      </c>
      <c r="Q42" s="64">
        <f>Лист1!BE36</f>
        <v>7865.810220000007</v>
      </c>
      <c r="R42" s="64">
        <f>Лист1!BF36</f>
        <v>-11246.779999999999</v>
      </c>
      <c r="S42" s="1"/>
      <c r="T42" s="1"/>
    </row>
    <row r="43" spans="1:20" ht="12.75">
      <c r="A43" s="11" t="s">
        <v>50</v>
      </c>
      <c r="B43" s="72">
        <f>Лист1!B37</f>
        <v>5306.98</v>
      </c>
      <c r="C43" s="24">
        <f t="shared" si="5"/>
        <v>45905.377</v>
      </c>
      <c r="D43" s="25">
        <f>Лист1!D37</f>
        <v>74467.247</v>
      </c>
      <c r="E43" s="12">
        <f>Лист1!S37</f>
        <v>41888.13</v>
      </c>
      <c r="F43" s="27">
        <f>Лист1!T37</f>
        <v>0</v>
      </c>
      <c r="G43" s="77">
        <f>Лист1!AF37</f>
        <v>1965.3696200000002</v>
      </c>
      <c r="H43" s="26">
        <f>Лист1!AB37</f>
        <v>40215.46</v>
      </c>
      <c r="I43" s="27">
        <f>Лист1!AC37</f>
        <v>114682.707</v>
      </c>
      <c r="J43" s="26">
        <f>Лист1!AG37</f>
        <v>3184.1879999999996</v>
      </c>
      <c r="K43" s="12">
        <f>Лист1!AI37+Лист1!AJ37</f>
        <v>5306.98</v>
      </c>
      <c r="L43" s="12">
        <f>Лист1!AH37+Лист1!AK37+Лист1!AL37+Лист1!AM37+Лист1!AN37+Лист1!AO37+Лист1!AP37+Лист1!AQ37+Лист1!AR37</f>
        <v>41271.941399999996</v>
      </c>
      <c r="M43" s="28">
        <f>Лист1!AS37+Лист1!AT37+Лист1!AU37</f>
        <v>314.8</v>
      </c>
      <c r="N43" s="28">
        <f>Лист1!AX37</f>
        <v>1333.1499999999999</v>
      </c>
      <c r="O43" s="27">
        <f>Лист1!BB37</f>
        <v>51411.0594</v>
      </c>
      <c r="P43" s="192">
        <f>Лист1!BC37</f>
        <v>935.647</v>
      </c>
      <c r="Q43" s="64">
        <f>Лист1!BE37</f>
        <v>64301.37022</v>
      </c>
      <c r="R43" s="64">
        <f>Лист1!BF37</f>
        <v>-1672.6699999999983</v>
      </c>
      <c r="S43" s="1"/>
      <c r="T43" s="1"/>
    </row>
    <row r="44" spans="1:20" ht="12.75">
      <c r="A44" s="11" t="s">
        <v>51</v>
      </c>
      <c r="B44" s="72">
        <f>Лист1!B38</f>
        <v>5306.98</v>
      </c>
      <c r="C44" s="24">
        <f t="shared" si="5"/>
        <v>45905.377</v>
      </c>
      <c r="D44" s="25">
        <f>Лист1!D38</f>
        <v>4025.347000000003</v>
      </c>
      <c r="E44" s="12">
        <f>Лист1!S38</f>
        <v>41880.03</v>
      </c>
      <c r="F44" s="27">
        <f>Лист1!T38</f>
        <v>0</v>
      </c>
      <c r="G44" s="77">
        <f>Лист1!AF38</f>
        <v>1965.3696200000002</v>
      </c>
      <c r="H44" s="26">
        <f>Лист1!AB38</f>
        <v>37247.49</v>
      </c>
      <c r="I44" s="27">
        <f>Лист1!AC38</f>
        <v>41272.837</v>
      </c>
      <c r="J44" s="26">
        <f>Лист1!AG38</f>
        <v>3184.1879999999996</v>
      </c>
      <c r="K44" s="12">
        <f>Лист1!AI38+Лист1!AJ38</f>
        <v>5306.98</v>
      </c>
      <c r="L44" s="12">
        <f>Лист1!AH38+Лист1!AK38+Лист1!AL38+Лист1!AM38+Лист1!AN38+Лист1!AO38+Лист1!AP38+Лист1!AQ38+Лист1!AR38</f>
        <v>18202.941399999996</v>
      </c>
      <c r="M44" s="28">
        <f>Лист1!AS38+Лист1!AT38+Лист1!AU38</f>
        <v>5254</v>
      </c>
      <c r="N44" s="28">
        <f>Лист1!AX38</f>
        <v>1587.9499999999998</v>
      </c>
      <c r="O44" s="27">
        <f>Лист1!BB38</f>
        <v>33536.05939999999</v>
      </c>
      <c r="P44" s="192">
        <f>Лист1!BC38</f>
        <v>935.647</v>
      </c>
      <c r="Q44" s="64">
        <f>Лист1!BE38</f>
        <v>8766.500220000009</v>
      </c>
      <c r="R44" s="64">
        <f>Лист1!BF38</f>
        <v>-4632.540000000001</v>
      </c>
      <c r="S44" s="1"/>
      <c r="T44" s="1"/>
    </row>
    <row r="45" spans="1:20" ht="12.75">
      <c r="A45" s="11" t="s">
        <v>39</v>
      </c>
      <c r="B45" s="72">
        <f>Лист1!B39</f>
        <v>5306.98</v>
      </c>
      <c r="C45" s="24">
        <f>B45*8.65</f>
        <v>45905.377</v>
      </c>
      <c r="D45" s="25">
        <f>Лист1!D39</f>
        <v>4065.127</v>
      </c>
      <c r="E45" s="12">
        <f>Лист1!S39</f>
        <v>41840.25</v>
      </c>
      <c r="F45" s="27">
        <f>Лист1!T39</f>
        <v>0</v>
      </c>
      <c r="G45" s="77">
        <f>Лист1!AF39</f>
        <v>1812.15154</v>
      </c>
      <c r="H45" s="26">
        <f>Лист1!AB39</f>
        <v>53218.16</v>
      </c>
      <c r="I45" s="27">
        <f>Лист1!AC39</f>
        <v>57283.287000000004</v>
      </c>
      <c r="J45" s="26">
        <f>Лист1!AG39</f>
        <v>3184.1879999999996</v>
      </c>
      <c r="K45" s="12">
        <f>Лист1!AI39+Лист1!AJ39</f>
        <v>5306.98</v>
      </c>
      <c r="L45" s="12">
        <f>Лист1!AH39+Лист1!AK39+Лист1!AL39+Лист1!AM39+Лист1!AN39+Лист1!AO39+Лист1!AP39+Лист1!AQ39+Лист1!AR39</f>
        <v>48967.64139999999</v>
      </c>
      <c r="M45" s="28">
        <f>Лист1!AS39+Лист1!AT39+Лист1!AU39</f>
        <v>5768</v>
      </c>
      <c r="N45" s="28">
        <f>Лист1!AX39</f>
        <v>1933.7499999999998</v>
      </c>
      <c r="O45" s="27">
        <f>Лист1!BB39</f>
        <v>65160.559399999984</v>
      </c>
      <c r="P45" s="192">
        <f>Лист1!BC39</f>
        <v>973.147</v>
      </c>
      <c r="Q45" s="64">
        <f>Лист1!BE39</f>
        <v>-7038.26785999998</v>
      </c>
      <c r="R45" s="64">
        <f>Лист1!BF39</f>
        <v>11377.910000000003</v>
      </c>
      <c r="S45" s="1"/>
      <c r="T45" s="1"/>
    </row>
    <row r="46" spans="1:20" ht="12.75">
      <c r="A46" s="11" t="s">
        <v>40</v>
      </c>
      <c r="B46" s="72">
        <f>Лист1!B40</f>
        <v>5306.98</v>
      </c>
      <c r="C46" s="24">
        <f>B46*8.65</f>
        <v>45905.377</v>
      </c>
      <c r="D46" s="25">
        <f>Лист1!D40</f>
        <v>4055.5670000000005</v>
      </c>
      <c r="E46" s="12">
        <f>Лист1!S40</f>
        <v>41849.81</v>
      </c>
      <c r="F46" s="27">
        <f>Лист1!T40</f>
        <v>0</v>
      </c>
      <c r="G46" s="77">
        <f>Лист1!AF40</f>
        <v>1812.15154</v>
      </c>
      <c r="H46" s="26">
        <f>Лист1!AB40</f>
        <v>45829.829999999994</v>
      </c>
      <c r="I46" s="27">
        <f>Лист1!AC40</f>
        <v>49885.397</v>
      </c>
      <c r="J46" s="26">
        <f>Лист1!AG40</f>
        <v>3184.1879999999996</v>
      </c>
      <c r="K46" s="12">
        <f>Лист1!AI40+Лист1!AJ40</f>
        <v>5306.98</v>
      </c>
      <c r="L46" s="12">
        <f>Лист1!AH40+Лист1!AK40+Лист1!AL40+Лист1!AM40+Лист1!AN40+Лист1!AO40+Лист1!AP40+Лист1!AQ40+Лист1!AR40</f>
        <v>18202.941399999996</v>
      </c>
      <c r="M46" s="28">
        <f>Лист1!AS40+Лист1!AT40+Лист1!AU40</f>
        <v>13892</v>
      </c>
      <c r="N46" s="28">
        <f>Лист1!AX40</f>
        <v>2138.5</v>
      </c>
      <c r="O46" s="27">
        <f>Лист1!BB40</f>
        <v>42724.609399999994</v>
      </c>
      <c r="P46" s="192">
        <f>Лист1!BC40</f>
        <v>973.147</v>
      </c>
      <c r="Q46" s="64">
        <f>Лист1!BE40</f>
        <v>7999.792140000003</v>
      </c>
      <c r="R46" s="64">
        <f>Лист1!BF40</f>
        <v>3980.019999999997</v>
      </c>
      <c r="S46" s="1"/>
      <c r="T46" s="1"/>
    </row>
    <row r="47" spans="1:20" ht="13.5" thickBot="1">
      <c r="A47" s="29" t="s">
        <v>41</v>
      </c>
      <c r="B47" s="72">
        <f>Лист1!B41</f>
        <v>5306.98</v>
      </c>
      <c r="C47" s="30">
        <f>B47*8.65</f>
        <v>45905.377</v>
      </c>
      <c r="D47" s="25">
        <f>Лист1!D41</f>
        <v>4027.4970000000017</v>
      </c>
      <c r="E47" s="12">
        <f>Лист1!S41</f>
        <v>41877.88</v>
      </c>
      <c r="F47" s="27">
        <f>Лист1!T41</f>
        <v>0</v>
      </c>
      <c r="G47" s="77">
        <f>Лист1!AF41</f>
        <v>1812.15154</v>
      </c>
      <c r="H47" s="26">
        <f>Лист1!AB41</f>
        <v>47426.53</v>
      </c>
      <c r="I47" s="27">
        <f>Лист1!AC41</f>
        <v>51454.027</v>
      </c>
      <c r="J47" s="26">
        <f>Лист1!AG41</f>
        <v>3184.1879999999996</v>
      </c>
      <c r="K47" s="12">
        <f>Лист1!AI41+Лист1!AJ41</f>
        <v>5306.98</v>
      </c>
      <c r="L47" s="12">
        <f>Лист1!AH41+Лист1!AK41+Лист1!AL41+Лист1!AM41+Лист1!AN41+Лист1!AO41+Лист1!AP41+Лист1!AQ41+Лист1!AR41</f>
        <v>18202.941399999996</v>
      </c>
      <c r="M47" s="28">
        <f>Лист1!AS41+Лист1!AT41+Лист1!AU41</f>
        <v>194255.09439999997</v>
      </c>
      <c r="N47" s="28">
        <f>Лист1!AX41</f>
        <v>2338.7</v>
      </c>
      <c r="O47" s="27">
        <f>Лист1!BB41</f>
        <v>223287.90379999997</v>
      </c>
      <c r="P47" s="192">
        <f>Лист1!BC41</f>
        <v>973.147</v>
      </c>
      <c r="Q47" s="64">
        <f>Лист1!BE41</f>
        <v>-170994.87225999997</v>
      </c>
      <c r="R47" s="64">
        <f>Лист1!BF41</f>
        <v>5548.6500000000015</v>
      </c>
      <c r="S47" s="1"/>
      <c r="T47" s="1"/>
    </row>
    <row r="48" spans="1:20" s="16" customFormat="1" ht="13.5" thickBot="1">
      <c r="A48" s="31" t="s">
        <v>3</v>
      </c>
      <c r="B48" s="32"/>
      <c r="C48" s="33">
        <f aca="true" t="shared" si="6" ref="C48:R48">SUM(C36:C47)</f>
        <v>550657.6159999999</v>
      </c>
      <c r="D48" s="57">
        <f t="shared" si="6"/>
        <v>119559.326</v>
      </c>
      <c r="E48" s="33">
        <f t="shared" si="6"/>
        <v>451777.48999999993</v>
      </c>
      <c r="F48" s="58">
        <f t="shared" si="6"/>
        <v>49770.8</v>
      </c>
      <c r="G48" s="58">
        <f t="shared" si="6"/>
        <v>25427.364879999997</v>
      </c>
      <c r="H48" s="57">
        <f t="shared" si="6"/>
        <v>437084.4099999999</v>
      </c>
      <c r="I48" s="58">
        <f t="shared" si="6"/>
        <v>606414.5360000001</v>
      </c>
      <c r="J48" s="57">
        <f t="shared" si="6"/>
        <v>38195.903999999995</v>
      </c>
      <c r="K48" s="33">
        <f t="shared" si="6"/>
        <v>63659.83999999998</v>
      </c>
      <c r="L48" s="33">
        <f t="shared" si="6"/>
        <v>279241.9512</v>
      </c>
      <c r="M48" s="33">
        <f t="shared" si="6"/>
        <v>271490.1644</v>
      </c>
      <c r="N48" s="33">
        <f t="shared" si="6"/>
        <v>20020</v>
      </c>
      <c r="O48" s="58">
        <f t="shared" si="6"/>
        <v>672607.8595999999</v>
      </c>
      <c r="P48" s="58">
        <f t="shared" si="6"/>
        <v>12710.524000000005</v>
      </c>
      <c r="Q48" s="65">
        <f t="shared" si="6"/>
        <v>-53476.4827199999</v>
      </c>
      <c r="R48" s="65">
        <f t="shared" si="6"/>
        <v>-14693.079999999987</v>
      </c>
      <c r="S48" s="61"/>
      <c r="T48" s="61"/>
    </row>
    <row r="49" spans="1:20" ht="13.5" thickBot="1">
      <c r="A49" s="83" t="s">
        <v>66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69"/>
      <c r="S49" s="1"/>
      <c r="T49" s="1"/>
    </row>
    <row r="50" spans="1:20" s="16" customFormat="1" ht="13.5" thickBot="1">
      <c r="A50" s="70" t="s">
        <v>52</v>
      </c>
      <c r="B50" s="35"/>
      <c r="C50" s="36">
        <f>C34+C48</f>
        <v>1238666.506</v>
      </c>
      <c r="D50" s="34">
        <f>D34+D48</f>
        <v>210417.14970645006</v>
      </c>
      <c r="E50" s="35">
        <f>E34+E48</f>
        <v>934487.05</v>
      </c>
      <c r="F50" s="36">
        <f>F34+F48</f>
        <v>165086.43</v>
      </c>
      <c r="G50" s="36">
        <f>G34+G48</f>
        <v>46486.02489999999</v>
      </c>
      <c r="H50" s="34">
        <f aca="true" t="shared" si="7" ref="H50:P50">H34+H48</f>
        <v>875232.3299999998</v>
      </c>
      <c r="I50" s="36">
        <f t="shared" si="7"/>
        <v>1250735.90970645</v>
      </c>
      <c r="J50" s="34">
        <f t="shared" si="7"/>
        <v>84646.398</v>
      </c>
      <c r="K50" s="35">
        <f t="shared" si="7"/>
        <v>140516.320314185</v>
      </c>
      <c r="L50" s="35">
        <f t="shared" si="7"/>
        <v>564576.9675325482</v>
      </c>
      <c r="M50" s="35">
        <f t="shared" si="7"/>
        <v>487993.12879999995</v>
      </c>
      <c r="N50" s="35">
        <f t="shared" si="7"/>
        <v>38918.884000000005</v>
      </c>
      <c r="O50" s="68">
        <f t="shared" si="7"/>
        <v>1316651.698646733</v>
      </c>
      <c r="P50" s="68">
        <f t="shared" si="7"/>
        <v>22041.280191184807</v>
      </c>
      <c r="Q50" s="67">
        <f>Q34+Q48</f>
        <v>-41471.0442314679</v>
      </c>
      <c r="R50" s="67">
        <f>R34+R48</f>
        <v>-59254.72000000001</v>
      </c>
      <c r="S50" s="62"/>
      <c r="T50" s="61"/>
    </row>
    <row r="53" spans="1:20" ht="12.75">
      <c r="A53" s="16" t="s">
        <v>70</v>
      </c>
      <c r="D53" s="74" t="s">
        <v>92</v>
      </c>
      <c r="S53" s="1"/>
      <c r="T53" s="1"/>
    </row>
    <row r="54" spans="1:20" ht="12.75">
      <c r="A54" s="17" t="s">
        <v>71</v>
      </c>
      <c r="B54" s="17" t="s">
        <v>72</v>
      </c>
      <c r="C54" s="372" t="s">
        <v>73</v>
      </c>
      <c r="D54" s="372"/>
      <c r="S54" s="1"/>
      <c r="T54" s="1"/>
    </row>
    <row r="55" spans="1:20" ht="12.75">
      <c r="A55" s="17">
        <v>361315</v>
      </c>
      <c r="B55" s="98">
        <v>437910</v>
      </c>
      <c r="C55" s="368">
        <f>A55-B55</f>
        <v>-76595</v>
      </c>
      <c r="D55" s="369"/>
      <c r="S55" s="1"/>
      <c r="T55" s="1"/>
    </row>
    <row r="56" spans="1:20" ht="12.75">
      <c r="A56" s="43"/>
      <c r="S56" s="1"/>
      <c r="T56" s="1"/>
    </row>
    <row r="57" spans="1:20" ht="12.75">
      <c r="A57" s="2" t="s">
        <v>67</v>
      </c>
      <c r="G57" s="2" t="s">
        <v>68</v>
      </c>
      <c r="S57" s="1"/>
      <c r="T57" s="1"/>
    </row>
    <row r="58" ht="12.75">
      <c r="A58" s="1"/>
    </row>
    <row r="59" ht="12.75">
      <c r="A59" s="191" t="s">
        <v>95</v>
      </c>
    </row>
    <row r="60" ht="12.75">
      <c r="A60" s="2" t="s">
        <v>69</v>
      </c>
    </row>
  </sheetData>
  <sheetProtection/>
  <mergeCells count="23">
    <mergeCell ref="Q9:Q12"/>
    <mergeCell ref="E9:F10"/>
    <mergeCell ref="G9:G12"/>
    <mergeCell ref="R9:R12"/>
    <mergeCell ref="E11:F11"/>
    <mergeCell ref="I11:I12"/>
    <mergeCell ref="J11:J12"/>
    <mergeCell ref="K11:K12"/>
    <mergeCell ref="A5:Q5"/>
    <mergeCell ref="A9:A12"/>
    <mergeCell ref="B9:B12"/>
    <mergeCell ref="C9:C12"/>
    <mergeCell ref="D9:D12"/>
    <mergeCell ref="L11:L12"/>
    <mergeCell ref="M11:M12"/>
    <mergeCell ref="P9:P12"/>
    <mergeCell ref="A6:G6"/>
    <mergeCell ref="N11:N12"/>
    <mergeCell ref="C55:D55"/>
    <mergeCell ref="O11:O12"/>
    <mergeCell ref="C54:D54"/>
    <mergeCell ref="H9:I10"/>
    <mergeCell ref="J9:O10"/>
  </mergeCells>
  <printOptions/>
  <pageMargins left="0.25" right="0.17" top="0.45" bottom="0.37" header="0.3" footer="0.2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00390625" defaultRowHeight="12.75"/>
  <cols>
    <col min="1" max="1" width="8.75390625" style="199" bestFit="1" customWidth="1"/>
    <col min="2" max="2" width="9.125" style="199" customWidth="1"/>
    <col min="3" max="3" width="11.375" style="199" customWidth="1"/>
    <col min="4" max="4" width="10.375" style="199" customWidth="1"/>
    <col min="5" max="5" width="10.125" style="199" bestFit="1" customWidth="1"/>
    <col min="6" max="6" width="9.125" style="199" customWidth="1"/>
    <col min="7" max="7" width="10.25390625" style="199" customWidth="1"/>
    <col min="8" max="8" width="9.125" style="199" customWidth="1"/>
    <col min="9" max="9" width="9.875" style="199" customWidth="1"/>
    <col min="10" max="10" width="9.125" style="199" customWidth="1"/>
    <col min="11" max="11" width="10.375" style="199" customWidth="1"/>
    <col min="12" max="12" width="9.125" style="199" customWidth="1"/>
    <col min="13" max="13" width="10.125" style="199" bestFit="1" customWidth="1"/>
    <col min="14" max="14" width="9.125" style="199" customWidth="1"/>
    <col min="15" max="15" width="10.125" style="199" bestFit="1" customWidth="1"/>
    <col min="16" max="18" width="9.125" style="199" customWidth="1"/>
    <col min="19" max="19" width="10.125" style="199" bestFit="1" customWidth="1"/>
    <col min="20" max="20" width="10.125" style="199" customWidth="1"/>
    <col min="21" max="21" width="11.75390625" style="199" bestFit="1" customWidth="1"/>
    <col min="22" max="22" width="10.25390625" style="199" customWidth="1"/>
    <col min="23" max="23" width="10.625" style="199" customWidth="1"/>
    <col min="24" max="24" width="10.125" style="199" customWidth="1"/>
    <col min="25" max="28" width="10.125" style="199" bestFit="1" customWidth="1"/>
    <col min="29" max="30" width="11.375" style="199" customWidth="1"/>
    <col min="31" max="31" width="9.25390625" style="199" bestFit="1" customWidth="1"/>
    <col min="32" max="32" width="11.75390625" style="199" bestFit="1" customWidth="1"/>
    <col min="33" max="33" width="12.875" style="199" customWidth="1"/>
    <col min="34" max="35" width="9.25390625" style="199" bestFit="1" customWidth="1"/>
    <col min="36" max="36" width="10.875" style="199" customWidth="1"/>
    <col min="37" max="38" width="9.25390625" style="199" bestFit="1" customWidth="1"/>
    <col min="39" max="39" width="10.125" style="199" bestFit="1" customWidth="1"/>
    <col min="40" max="40" width="9.25390625" style="199" bestFit="1" customWidth="1"/>
    <col min="41" max="42" width="10.125" style="199" bestFit="1" customWidth="1"/>
    <col min="43" max="44" width="9.25390625" style="199" customWidth="1"/>
    <col min="45" max="45" width="10.125" style="199" bestFit="1" customWidth="1"/>
    <col min="46" max="46" width="11.625" style="199" customWidth="1"/>
    <col min="47" max="47" width="10.875" style="199" customWidth="1"/>
    <col min="48" max="48" width="10.625" style="199" customWidth="1"/>
    <col min="49" max="49" width="10.25390625" style="199" customWidth="1"/>
    <col min="50" max="50" width="10.625" style="199" customWidth="1"/>
    <col min="51" max="51" width="9.25390625" style="199" bestFit="1" customWidth="1"/>
    <col min="52" max="53" width="10.125" style="199" bestFit="1" customWidth="1"/>
    <col min="54" max="54" width="11.625" style="199" customWidth="1"/>
    <col min="55" max="55" width="11.75390625" style="199" customWidth="1"/>
    <col min="56" max="56" width="11.375" style="199" customWidth="1"/>
    <col min="57" max="57" width="14.00390625" style="199" customWidth="1"/>
    <col min="58" max="58" width="11.00390625" style="199" customWidth="1"/>
    <col min="59" max="59" width="10.625" style="199" customWidth="1"/>
    <col min="60" max="16384" width="9.125" style="199" customWidth="1"/>
  </cols>
  <sheetData>
    <row r="1" spans="1:18" ht="21" customHeight="1">
      <c r="A1" s="352" t="s">
        <v>125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198"/>
      <c r="P1" s="198"/>
      <c r="Q1" s="198"/>
      <c r="R1" s="198"/>
    </row>
    <row r="2" spans="1:18" ht="13.5" thickBot="1">
      <c r="A2" s="198"/>
      <c r="B2" s="200"/>
      <c r="C2" s="201"/>
      <c r="D2" s="201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59" ht="29.25" customHeight="1" thickBot="1">
      <c r="A3" s="323" t="s">
        <v>96</v>
      </c>
      <c r="B3" s="354" t="s">
        <v>0</v>
      </c>
      <c r="C3" s="356" t="s">
        <v>1</v>
      </c>
      <c r="D3" s="358" t="s">
        <v>2</v>
      </c>
      <c r="E3" s="323" t="s">
        <v>97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27"/>
      <c r="S3" s="323"/>
      <c r="T3" s="342"/>
      <c r="U3" s="323" t="s">
        <v>3</v>
      </c>
      <c r="V3" s="342"/>
      <c r="W3" s="319" t="s">
        <v>4</v>
      </c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435"/>
      <c r="AJ3" s="437" t="s">
        <v>74</v>
      </c>
      <c r="AK3" s="351" t="s">
        <v>8</v>
      </c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1"/>
      <c r="BF3" s="442" t="s">
        <v>9</v>
      </c>
      <c r="BG3" s="424" t="s">
        <v>10</v>
      </c>
    </row>
    <row r="4" spans="1:59" ht="51.75" customHeight="1" hidden="1" thickBot="1">
      <c r="A4" s="353"/>
      <c r="B4" s="355"/>
      <c r="C4" s="357"/>
      <c r="D4" s="359"/>
      <c r="E4" s="35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  <c r="S4" s="328"/>
      <c r="T4" s="350"/>
      <c r="U4" s="328"/>
      <c r="V4" s="350"/>
      <c r="W4" s="321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436"/>
      <c r="AJ4" s="438"/>
      <c r="AK4" s="314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6"/>
      <c r="BF4" s="443"/>
      <c r="BG4" s="425"/>
    </row>
    <row r="5" spans="1:59" ht="19.5" customHeight="1">
      <c r="A5" s="353"/>
      <c r="B5" s="355"/>
      <c r="C5" s="357"/>
      <c r="D5" s="359"/>
      <c r="E5" s="427" t="s">
        <v>11</v>
      </c>
      <c r="F5" s="428"/>
      <c r="G5" s="427" t="s">
        <v>98</v>
      </c>
      <c r="H5" s="428"/>
      <c r="I5" s="427" t="s">
        <v>12</v>
      </c>
      <c r="J5" s="428"/>
      <c r="K5" s="427" t="s">
        <v>14</v>
      </c>
      <c r="L5" s="428"/>
      <c r="M5" s="427" t="s">
        <v>13</v>
      </c>
      <c r="N5" s="428"/>
      <c r="O5" s="431" t="s">
        <v>15</v>
      </c>
      <c r="P5" s="431"/>
      <c r="Q5" s="427" t="s">
        <v>99</v>
      </c>
      <c r="R5" s="428"/>
      <c r="S5" s="431" t="s">
        <v>100</v>
      </c>
      <c r="T5" s="428"/>
      <c r="U5" s="302" t="s">
        <v>18</v>
      </c>
      <c r="V5" s="348" t="s">
        <v>19</v>
      </c>
      <c r="W5" s="420" t="s">
        <v>20</v>
      </c>
      <c r="X5" s="420" t="s">
        <v>101</v>
      </c>
      <c r="Y5" s="420" t="s">
        <v>21</v>
      </c>
      <c r="Z5" s="420" t="s">
        <v>23</v>
      </c>
      <c r="AA5" s="420" t="s">
        <v>22</v>
      </c>
      <c r="AB5" s="420" t="s">
        <v>24</v>
      </c>
      <c r="AC5" s="420" t="s">
        <v>25</v>
      </c>
      <c r="AD5" s="422" t="s">
        <v>26</v>
      </c>
      <c r="AE5" s="422" t="s">
        <v>102</v>
      </c>
      <c r="AF5" s="411" t="s">
        <v>27</v>
      </c>
      <c r="AG5" s="413" t="s">
        <v>79</v>
      </c>
      <c r="AH5" s="415" t="s">
        <v>6</v>
      </c>
      <c r="AI5" s="417" t="s">
        <v>7</v>
      </c>
      <c r="AJ5" s="438"/>
      <c r="AK5" s="419" t="s">
        <v>103</v>
      </c>
      <c r="AL5" s="410" t="s">
        <v>104</v>
      </c>
      <c r="AM5" s="410" t="s">
        <v>105</v>
      </c>
      <c r="AN5" s="307" t="s">
        <v>106</v>
      </c>
      <c r="AO5" s="410" t="s">
        <v>107</v>
      </c>
      <c r="AP5" s="307" t="s">
        <v>108</v>
      </c>
      <c r="AQ5" s="307" t="s">
        <v>109</v>
      </c>
      <c r="AR5" s="307" t="s">
        <v>110</v>
      </c>
      <c r="AS5" s="307" t="s">
        <v>111</v>
      </c>
      <c r="AT5" s="307" t="s">
        <v>34</v>
      </c>
      <c r="AU5" s="407" t="s">
        <v>112</v>
      </c>
      <c r="AV5" s="335" t="s">
        <v>113</v>
      </c>
      <c r="AW5" s="407" t="s">
        <v>114</v>
      </c>
      <c r="AX5" s="408" t="s">
        <v>115</v>
      </c>
      <c r="AY5" s="202"/>
      <c r="AZ5" s="309" t="s">
        <v>17</v>
      </c>
      <c r="BA5" s="307" t="s">
        <v>36</v>
      </c>
      <c r="BB5" s="307" t="s">
        <v>31</v>
      </c>
      <c r="BC5" s="405" t="s">
        <v>37</v>
      </c>
      <c r="BD5" s="304" t="s">
        <v>81</v>
      </c>
      <c r="BE5" s="307" t="s">
        <v>82</v>
      </c>
      <c r="BF5" s="443"/>
      <c r="BG5" s="425"/>
    </row>
    <row r="6" spans="1:59" ht="56.25" customHeight="1" thickBot="1">
      <c r="A6" s="353"/>
      <c r="B6" s="355"/>
      <c r="C6" s="357"/>
      <c r="D6" s="359"/>
      <c r="E6" s="429"/>
      <c r="F6" s="430"/>
      <c r="G6" s="429"/>
      <c r="H6" s="430"/>
      <c r="I6" s="429"/>
      <c r="J6" s="430"/>
      <c r="K6" s="429"/>
      <c r="L6" s="430"/>
      <c r="M6" s="429"/>
      <c r="N6" s="430"/>
      <c r="O6" s="432"/>
      <c r="P6" s="432"/>
      <c r="Q6" s="429"/>
      <c r="R6" s="430"/>
      <c r="S6" s="433"/>
      <c r="T6" s="430"/>
      <c r="U6" s="434"/>
      <c r="V6" s="445"/>
      <c r="W6" s="421"/>
      <c r="X6" s="421"/>
      <c r="Y6" s="421"/>
      <c r="Z6" s="421"/>
      <c r="AA6" s="421"/>
      <c r="AB6" s="421"/>
      <c r="AC6" s="421"/>
      <c r="AD6" s="423"/>
      <c r="AE6" s="423"/>
      <c r="AF6" s="412"/>
      <c r="AG6" s="414"/>
      <c r="AH6" s="416"/>
      <c r="AI6" s="418"/>
      <c r="AJ6" s="439"/>
      <c r="AK6" s="338"/>
      <c r="AL6" s="318"/>
      <c r="AM6" s="318"/>
      <c r="AN6" s="297"/>
      <c r="AO6" s="318"/>
      <c r="AP6" s="297"/>
      <c r="AQ6" s="297"/>
      <c r="AR6" s="297"/>
      <c r="AS6" s="297"/>
      <c r="AT6" s="297"/>
      <c r="AU6" s="301"/>
      <c r="AV6" s="336"/>
      <c r="AW6" s="301"/>
      <c r="AX6" s="409"/>
      <c r="AY6" s="101" t="s">
        <v>116</v>
      </c>
      <c r="AZ6" s="310"/>
      <c r="BA6" s="297"/>
      <c r="BB6" s="297"/>
      <c r="BC6" s="406"/>
      <c r="BD6" s="306"/>
      <c r="BE6" s="297"/>
      <c r="BF6" s="444"/>
      <c r="BG6" s="426"/>
    </row>
    <row r="7" spans="1:59" ht="19.5" customHeight="1" thickBot="1">
      <c r="A7" s="203">
        <v>1</v>
      </c>
      <c r="B7" s="204">
        <v>2</v>
      </c>
      <c r="C7" s="204">
        <v>3</v>
      </c>
      <c r="D7" s="203">
        <v>4</v>
      </c>
      <c r="E7" s="204">
        <v>5</v>
      </c>
      <c r="F7" s="204">
        <v>6</v>
      </c>
      <c r="G7" s="203">
        <v>7</v>
      </c>
      <c r="H7" s="204">
        <v>8</v>
      </c>
      <c r="I7" s="204">
        <v>9</v>
      </c>
      <c r="J7" s="203">
        <v>10</v>
      </c>
      <c r="K7" s="204">
        <v>11</v>
      </c>
      <c r="L7" s="204">
        <v>12</v>
      </c>
      <c r="M7" s="203">
        <v>13</v>
      </c>
      <c r="N7" s="204">
        <v>14</v>
      </c>
      <c r="O7" s="204">
        <v>15</v>
      </c>
      <c r="P7" s="203">
        <v>16</v>
      </c>
      <c r="Q7" s="204">
        <v>17</v>
      </c>
      <c r="R7" s="204">
        <v>18</v>
      </c>
      <c r="S7" s="203">
        <v>19</v>
      </c>
      <c r="T7" s="204">
        <v>20</v>
      </c>
      <c r="U7" s="204">
        <v>21</v>
      </c>
      <c r="V7" s="203">
        <v>22</v>
      </c>
      <c r="W7" s="204">
        <v>23</v>
      </c>
      <c r="X7" s="203">
        <v>24</v>
      </c>
      <c r="Y7" s="204">
        <v>25</v>
      </c>
      <c r="Z7" s="203">
        <v>26</v>
      </c>
      <c r="AA7" s="204">
        <v>27</v>
      </c>
      <c r="AB7" s="203">
        <v>28</v>
      </c>
      <c r="AC7" s="204">
        <v>29</v>
      </c>
      <c r="AD7" s="203">
        <v>30</v>
      </c>
      <c r="AE7" s="203">
        <v>31</v>
      </c>
      <c r="AF7" s="204">
        <v>32</v>
      </c>
      <c r="AG7" s="203">
        <v>33</v>
      </c>
      <c r="AH7" s="204">
        <v>34</v>
      </c>
      <c r="AI7" s="203">
        <v>35</v>
      </c>
      <c r="AJ7" s="204">
        <v>36</v>
      </c>
      <c r="AK7" s="203">
        <v>37</v>
      </c>
      <c r="AL7" s="204">
        <v>38</v>
      </c>
      <c r="AM7" s="203">
        <v>39</v>
      </c>
      <c r="AN7" s="203">
        <v>40</v>
      </c>
      <c r="AO7" s="204">
        <v>41</v>
      </c>
      <c r="AP7" s="203">
        <v>42</v>
      </c>
      <c r="AQ7" s="204">
        <v>43</v>
      </c>
      <c r="AR7" s="203"/>
      <c r="AS7" s="203">
        <v>44</v>
      </c>
      <c r="AT7" s="204">
        <v>45</v>
      </c>
      <c r="AU7" s="203">
        <v>46</v>
      </c>
      <c r="AV7" s="204">
        <v>47</v>
      </c>
      <c r="AW7" s="203">
        <v>48</v>
      </c>
      <c r="AX7" s="203">
        <v>49</v>
      </c>
      <c r="AY7" s="204"/>
      <c r="AZ7" s="204">
        <v>50</v>
      </c>
      <c r="BA7" s="204">
        <v>51</v>
      </c>
      <c r="BB7" s="204">
        <v>52</v>
      </c>
      <c r="BC7" s="204">
        <v>53</v>
      </c>
      <c r="BD7" s="204">
        <v>54</v>
      </c>
      <c r="BE7" s="204"/>
      <c r="BF7" s="204">
        <v>55</v>
      </c>
      <c r="BG7" s="204">
        <v>56</v>
      </c>
    </row>
    <row r="8" spans="1:59" s="16" customFormat="1" ht="13.5" thickBot="1">
      <c r="A8" s="18" t="s">
        <v>52</v>
      </c>
      <c r="B8" s="205"/>
      <c r="C8" s="205">
        <f>Лист1!C44</f>
        <v>1238666.506</v>
      </c>
      <c r="D8" s="205">
        <f>Лист1!D44</f>
        <v>210417.14970645006</v>
      </c>
      <c r="E8" s="205">
        <f>Лист1!E44</f>
        <v>107915.8</v>
      </c>
      <c r="F8" s="205">
        <f>Лист1!F44</f>
        <v>19175.72</v>
      </c>
      <c r="G8" s="205">
        <f>0</f>
        <v>0</v>
      </c>
      <c r="H8" s="205">
        <f>0</f>
        <v>0</v>
      </c>
      <c r="I8" s="205">
        <f>Лист1!G44</f>
        <v>146022.51</v>
      </c>
      <c r="J8" s="205">
        <f>Лист1!H44</f>
        <v>25960.870000000003</v>
      </c>
      <c r="K8" s="205">
        <f>Лист1!K44</f>
        <v>243150.74</v>
      </c>
      <c r="L8" s="205">
        <f>Лист1!L44</f>
        <v>43217.83</v>
      </c>
      <c r="M8" s="205">
        <f>Лист1!I44</f>
        <v>351064.45</v>
      </c>
      <c r="N8" s="205">
        <f>Лист1!J44</f>
        <v>61392.56</v>
      </c>
      <c r="O8" s="205">
        <f>Лист1!M44</f>
        <v>86333.55</v>
      </c>
      <c r="P8" s="205">
        <f>Лист1!N44</f>
        <v>15339.450000000003</v>
      </c>
      <c r="Q8" s="205">
        <f>'[11]Лист1'!O44</f>
        <v>0</v>
      </c>
      <c r="R8" s="205">
        <f>'[11]Лист1'!P44</f>
        <v>0</v>
      </c>
      <c r="S8" s="205">
        <f>'[11]Лист1'!Q44</f>
        <v>0</v>
      </c>
      <c r="T8" s="205">
        <f>'[11]Лист1'!R44</f>
        <v>0</v>
      </c>
      <c r="U8" s="205">
        <f>Лист1!S44</f>
        <v>934487.05</v>
      </c>
      <c r="V8" s="205">
        <f>Лист1!T44</f>
        <v>165086.43</v>
      </c>
      <c r="W8" s="205">
        <f>Лист1!U44</f>
        <v>100559.65</v>
      </c>
      <c r="X8" s="205">
        <v>0</v>
      </c>
      <c r="Y8" s="205">
        <f>Лист1!V44</f>
        <v>136073.34000000003</v>
      </c>
      <c r="Z8" s="205">
        <f>Лист1!X44</f>
        <v>227120.36</v>
      </c>
      <c r="AA8" s="205">
        <f>Лист1!W44</f>
        <v>330985.14</v>
      </c>
      <c r="AB8" s="205">
        <f>Лист1!Y44</f>
        <v>80493.84</v>
      </c>
      <c r="AC8" s="205">
        <f>'[12]Лист1'!Z42</f>
        <v>0</v>
      </c>
      <c r="AD8" s="205">
        <f>'[12]Лист1'!AA42</f>
        <v>0</v>
      </c>
      <c r="AE8" s="205">
        <f>0</f>
        <v>0</v>
      </c>
      <c r="AF8" s="205">
        <f>Лист1!AB44</f>
        <v>875232.3299999998</v>
      </c>
      <c r="AG8" s="205">
        <f>Лист1!AC44</f>
        <v>1250735.90970645</v>
      </c>
      <c r="AH8" s="205">
        <f>'[12]Лист1'!AD42</f>
        <v>0</v>
      </c>
      <c r="AI8" s="205">
        <f>'[12]Лист1'!AE42</f>
        <v>0</v>
      </c>
      <c r="AJ8" s="205">
        <f>Лист1!AF44</f>
        <v>46486.02489999999</v>
      </c>
      <c r="AK8" s="205">
        <f>Лист1!AG44</f>
        <v>84646.398</v>
      </c>
      <c r="AL8" s="205">
        <f>Лист1!AH44</f>
        <v>28363.460559000006</v>
      </c>
      <c r="AM8" s="205">
        <f>Лист1!AI44+Лист1!AJ44</f>
        <v>140516.320314185</v>
      </c>
      <c r="AN8" s="205">
        <v>0</v>
      </c>
      <c r="AO8" s="205">
        <f>Лист1!AK44+Лист1!AL44</f>
        <v>140154.0405337942</v>
      </c>
      <c r="AP8" s="205">
        <f>Лист1!AM44+Лист1!AN44</f>
        <v>313534.09763975395</v>
      </c>
      <c r="AQ8" s="205">
        <v>0</v>
      </c>
      <c r="AR8" s="205">
        <v>0</v>
      </c>
      <c r="AS8" s="205">
        <v>0</v>
      </c>
      <c r="AT8" s="205">
        <f>Лист1!AO44+Лист1!AP44</f>
        <v>13779.791999999998</v>
      </c>
      <c r="AU8" s="205">
        <f>Лист1!AS44+Лист1!AU44</f>
        <v>302355.0488</v>
      </c>
      <c r="AV8" s="205">
        <v>0</v>
      </c>
      <c r="AW8" s="205">
        <f>Лист1!AT44</f>
        <v>185638.08</v>
      </c>
      <c r="AX8" s="205">
        <f>Лист1!AQ44+Лист1!AR44</f>
        <v>68745.5768</v>
      </c>
      <c r="AY8" s="206">
        <f>Лист1!AX44</f>
        <v>38918.884000000005</v>
      </c>
      <c r="AZ8" s="206">
        <f>'[11]Лист1'!AY44</f>
        <v>0</v>
      </c>
      <c r="BA8" s="206">
        <v>0</v>
      </c>
      <c r="BB8" s="206">
        <v>0</v>
      </c>
      <c r="BC8" s="206">
        <f>Лист1!BB44</f>
        <v>1316651.698646733</v>
      </c>
      <c r="BD8" s="205">
        <f>Лист1!BC44</f>
        <v>22041.280191184807</v>
      </c>
      <c r="BE8" s="207">
        <f>BC8+BD8</f>
        <v>1338692.9788379178</v>
      </c>
      <c r="BF8" s="208">
        <f>Лист1!BE44</f>
        <v>-41471.0442314679</v>
      </c>
      <c r="BG8" s="208">
        <f>Лист1!BF44</f>
        <v>-59254.72000000001</v>
      </c>
    </row>
    <row r="9" spans="1:59" ht="12.75">
      <c r="A9" s="5" t="s">
        <v>117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184">
        <f>'[10]Лист1'!AB44</f>
        <v>440391.95999999996</v>
      </c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08"/>
      <c r="BG9" s="211"/>
    </row>
    <row r="10" spans="1:59" ht="12.75">
      <c r="A10" s="212" t="s">
        <v>43</v>
      </c>
      <c r="B10" s="176">
        <v>5306.98</v>
      </c>
      <c r="C10" s="152">
        <f aca="true" t="shared" si="0" ref="C10:C21">B10*8.55</f>
        <v>45374.679</v>
      </c>
      <c r="D10" s="92">
        <v>266.628</v>
      </c>
      <c r="E10" s="177">
        <v>0</v>
      </c>
      <c r="F10" s="178">
        <v>0</v>
      </c>
      <c r="G10" s="177">
        <v>28193.18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13494.06</v>
      </c>
      <c r="N10" s="177">
        <v>0</v>
      </c>
      <c r="O10" s="177">
        <v>4681.04</v>
      </c>
      <c r="P10" s="178">
        <v>0</v>
      </c>
      <c r="Q10" s="215">
        <v>0</v>
      </c>
      <c r="R10" s="214">
        <v>0</v>
      </c>
      <c r="S10" s="215">
        <v>0</v>
      </c>
      <c r="T10" s="214">
        <v>0</v>
      </c>
      <c r="U10" s="216">
        <f aca="true" t="shared" si="1" ref="U10:V21">E10+G10+I10+K10+M10+O10+Q10+S10</f>
        <v>46368.28</v>
      </c>
      <c r="V10" s="217">
        <f t="shared" si="1"/>
        <v>0</v>
      </c>
      <c r="W10" s="179">
        <v>3774.45</v>
      </c>
      <c r="X10" s="179"/>
      <c r="Y10" s="179">
        <v>5109.28</v>
      </c>
      <c r="Z10" s="179">
        <v>8506.37</v>
      </c>
      <c r="AA10" s="179">
        <v>15280.86</v>
      </c>
      <c r="AB10" s="179">
        <v>3019.59</v>
      </c>
      <c r="AC10" s="181">
        <v>0</v>
      </c>
      <c r="AD10" s="181">
        <v>0</v>
      </c>
      <c r="AE10" s="218">
        <v>0</v>
      </c>
      <c r="AF10" s="218">
        <f>SUM(W10:AE10)</f>
        <v>35690.55</v>
      </c>
      <c r="AG10" s="219">
        <f>AF10+V10+D10</f>
        <v>35957.178</v>
      </c>
      <c r="AH10" s="220">
        <f aca="true" t="shared" si="2" ref="AH10:AI21">AC10</f>
        <v>0</v>
      </c>
      <c r="AI10" s="220">
        <f t="shared" si="2"/>
        <v>0</v>
      </c>
      <c r="AJ10" s="183">
        <f>'[13]Т01'!$I$9+'[13]Т01'!$I$14+'[13]Т01'!$I$115+'[13]Т01'!$I$182</f>
        <v>1775.7440000000001</v>
      </c>
      <c r="AK10" s="184">
        <f aca="true" t="shared" si="3" ref="AK10:AK17">0.67*B10</f>
        <v>3555.6766</v>
      </c>
      <c r="AL10" s="184">
        <f aca="true" t="shared" si="4" ref="AL10:AL17">B10*0.2</f>
        <v>1061.396</v>
      </c>
      <c r="AM10" s="184">
        <f aca="true" t="shared" si="5" ref="AM10:AM21">B10*1</f>
        <v>5306.98</v>
      </c>
      <c r="AN10" s="184">
        <f aca="true" t="shared" si="6" ref="AN10:AN21">B10*0.21</f>
        <v>1114.4658</v>
      </c>
      <c r="AO10" s="184">
        <f aca="true" t="shared" si="7" ref="AO10:AO21">2.02*B10</f>
        <v>10720.0996</v>
      </c>
      <c r="AP10" s="184">
        <f aca="true" t="shared" si="8" ref="AP10:AP21">B10*1.03</f>
        <v>5466.189399999999</v>
      </c>
      <c r="AQ10" s="184">
        <f aca="true" t="shared" si="9" ref="AQ10:AQ21">B10*0.75</f>
        <v>3980.2349999999997</v>
      </c>
      <c r="AR10" s="184">
        <f aca="true" t="shared" si="10" ref="AR10:AR21">B10*0.75</f>
        <v>3980.2349999999997</v>
      </c>
      <c r="AS10" s="184">
        <f>B10*1.15</f>
        <v>6103.026999999999</v>
      </c>
      <c r="AT10" s="184">
        <f>1260.5*0.45</f>
        <v>567.225</v>
      </c>
      <c r="AU10" s="186"/>
      <c r="AV10" s="185">
        <v>353</v>
      </c>
      <c r="AW10" s="186">
        <v>1897</v>
      </c>
      <c r="AX10" s="186">
        <f>924+500+500+38.8</f>
        <v>1962.8</v>
      </c>
      <c r="AY10" s="186"/>
      <c r="AZ10" s="116"/>
      <c r="BA10" s="189"/>
      <c r="BB10" s="189">
        <f>BA10*0.18</f>
        <v>0</v>
      </c>
      <c r="BC10" s="189">
        <f aca="true" t="shared" si="11" ref="BC10:BC21">SUM(AK10:BB10)</f>
        <v>46068.3294</v>
      </c>
      <c r="BD10" s="190">
        <f>'[13]Т01'!$R$9+'[13]Т01'!$R$14+'[13]Т01'!$R$115+'[13]Т01'!$R$182</f>
        <v>1225.283</v>
      </c>
      <c r="BE10" s="190">
        <f>BC10+BD10</f>
        <v>47293.612400000005</v>
      </c>
      <c r="BF10" s="190">
        <f>AG10+AJ10-BE10</f>
        <v>-9560.690400000007</v>
      </c>
      <c r="BG10" s="190">
        <f>AF10-U10</f>
        <v>-10677.729999999996</v>
      </c>
    </row>
    <row r="11" spans="1:59" ht="12.75">
      <c r="A11" s="212" t="s">
        <v>44</v>
      </c>
      <c r="B11" s="176">
        <v>5306.98</v>
      </c>
      <c r="C11" s="152">
        <f t="shared" si="0"/>
        <v>45374.679</v>
      </c>
      <c r="D11" s="92">
        <v>266.628</v>
      </c>
      <c r="E11" s="177">
        <v>4.14</v>
      </c>
      <c r="F11" s="178">
        <v>0</v>
      </c>
      <c r="G11" s="177">
        <v>27413.96</v>
      </c>
      <c r="H11" s="177">
        <v>0</v>
      </c>
      <c r="I11" s="177">
        <v>5.16</v>
      </c>
      <c r="J11" s="177">
        <v>0</v>
      </c>
      <c r="K11" s="177">
        <v>8.91</v>
      </c>
      <c r="L11" s="177">
        <v>0</v>
      </c>
      <c r="M11" s="177">
        <v>13524.63</v>
      </c>
      <c r="N11" s="177">
        <v>0</v>
      </c>
      <c r="O11" s="177">
        <v>4690.6</v>
      </c>
      <c r="P11" s="177">
        <v>0</v>
      </c>
      <c r="Q11" s="178">
        <v>0</v>
      </c>
      <c r="R11" s="178">
        <v>0</v>
      </c>
      <c r="S11" s="181">
        <v>0</v>
      </c>
      <c r="T11" s="179">
        <v>0</v>
      </c>
      <c r="U11" s="221">
        <f t="shared" si="1"/>
        <v>45647.399999999994</v>
      </c>
      <c r="V11" s="217">
        <f t="shared" si="1"/>
        <v>0</v>
      </c>
      <c r="W11" s="179">
        <v>555.07</v>
      </c>
      <c r="X11" s="181">
        <v>20805.68</v>
      </c>
      <c r="Y11" s="179">
        <v>751.34</v>
      </c>
      <c r="Z11" s="179">
        <v>1251.09</v>
      </c>
      <c r="AA11" s="179">
        <v>11838.85</v>
      </c>
      <c r="AB11" s="179">
        <v>3954.13</v>
      </c>
      <c r="AC11" s="181">
        <v>0</v>
      </c>
      <c r="AD11" s="181">
        <v>0</v>
      </c>
      <c r="AE11" s="181">
        <v>0</v>
      </c>
      <c r="AF11" s="218">
        <f>SUM(W11:AE11)</f>
        <v>39156.159999999996</v>
      </c>
      <c r="AG11" s="219">
        <f>AF11+V11+D11</f>
        <v>39422.78799999999</v>
      </c>
      <c r="AH11" s="220">
        <f t="shared" si="2"/>
        <v>0</v>
      </c>
      <c r="AI11" s="220">
        <f t="shared" si="2"/>
        <v>0</v>
      </c>
      <c r="AJ11" s="183">
        <f>'[13]Т02'!$J$9+'[13]Т02'!$J$14+'[13]Т02'!$J$115+'[13]Т02'!$J$184</f>
        <v>1775.7440000000001</v>
      </c>
      <c r="AK11" s="184">
        <f t="shared" si="3"/>
        <v>3555.6766</v>
      </c>
      <c r="AL11" s="184">
        <f t="shared" si="4"/>
        <v>1061.396</v>
      </c>
      <c r="AM11" s="184">
        <f t="shared" si="5"/>
        <v>5306.98</v>
      </c>
      <c r="AN11" s="184">
        <f t="shared" si="6"/>
        <v>1114.4658</v>
      </c>
      <c r="AO11" s="184">
        <f t="shared" si="7"/>
        <v>10720.0996</v>
      </c>
      <c r="AP11" s="184">
        <f t="shared" si="8"/>
        <v>5466.189399999999</v>
      </c>
      <c r="AQ11" s="184">
        <f t="shared" si="9"/>
        <v>3980.2349999999997</v>
      </c>
      <c r="AR11" s="184">
        <f t="shared" si="10"/>
        <v>3980.2349999999997</v>
      </c>
      <c r="AS11" s="184">
        <f>B11*1.15</f>
        <v>6103.026999999999</v>
      </c>
      <c r="AT11" s="184">
        <f>1260.5*0.45</f>
        <v>567.225</v>
      </c>
      <c r="AU11" s="186"/>
      <c r="AV11" s="185">
        <v>640</v>
      </c>
      <c r="AW11" s="186"/>
      <c r="AX11" s="186">
        <f>22.56</f>
        <v>22.56</v>
      </c>
      <c r="AY11" s="186"/>
      <c r="AZ11" s="116"/>
      <c r="BA11" s="189"/>
      <c r="BB11" s="189">
        <f>BA11*0.18</f>
        <v>0</v>
      </c>
      <c r="BC11" s="189">
        <f t="shared" si="11"/>
        <v>42518.0894</v>
      </c>
      <c r="BD11" s="190">
        <f>'[13]Т02'!$S$9+'[13]Т02'!$S$14+'[13]Т02'!$S$115+'[13]Т02'!$S$183</f>
        <v>1225.283</v>
      </c>
      <c r="BE11" s="190">
        <f aca="true" t="shared" si="12" ref="BE11:BE21">BC11+BD11</f>
        <v>43743.3724</v>
      </c>
      <c r="BF11" s="190">
        <f aca="true" t="shared" si="13" ref="BF11:BF21">AG11+AJ11-BE11</f>
        <v>-2544.8404000000082</v>
      </c>
      <c r="BG11" s="190">
        <f aca="true" t="shared" si="14" ref="BG11:BG21">AF11-U11</f>
        <v>-6491.239999999998</v>
      </c>
    </row>
    <row r="12" spans="1:59" ht="12.75">
      <c r="A12" s="212" t="s">
        <v>45</v>
      </c>
      <c r="B12" s="176">
        <v>5308.58</v>
      </c>
      <c r="C12" s="152">
        <f t="shared" si="0"/>
        <v>45388.359000000004</v>
      </c>
      <c r="D12" s="92">
        <v>266.628</v>
      </c>
      <c r="E12" s="177">
        <v>0</v>
      </c>
      <c r="F12" s="178">
        <v>0</v>
      </c>
      <c r="G12" s="177">
        <v>27815.28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13508.54</v>
      </c>
      <c r="N12" s="177">
        <v>0</v>
      </c>
      <c r="O12" s="177">
        <v>4986.16</v>
      </c>
      <c r="P12" s="177">
        <v>0</v>
      </c>
      <c r="Q12" s="177">
        <v>0</v>
      </c>
      <c r="R12" s="177">
        <v>0</v>
      </c>
      <c r="S12" s="177">
        <v>300</v>
      </c>
      <c r="T12" s="179">
        <v>0</v>
      </c>
      <c r="U12" s="179">
        <f t="shared" si="1"/>
        <v>46609.979999999996</v>
      </c>
      <c r="V12" s="180">
        <f t="shared" si="1"/>
        <v>0</v>
      </c>
      <c r="W12" s="196">
        <v>170.36</v>
      </c>
      <c r="X12" s="181">
        <v>26464.94</v>
      </c>
      <c r="Y12" s="179">
        <v>230.56</v>
      </c>
      <c r="Z12" s="179">
        <v>383.89</v>
      </c>
      <c r="AA12" s="179">
        <v>12835.01</v>
      </c>
      <c r="AB12" s="179">
        <v>5430.14</v>
      </c>
      <c r="AC12" s="181">
        <v>0</v>
      </c>
      <c r="AD12" s="181">
        <v>0</v>
      </c>
      <c r="AE12" s="179">
        <v>0</v>
      </c>
      <c r="AF12" s="222">
        <f>SUM(W12:AE12)</f>
        <v>45514.9</v>
      </c>
      <c r="AG12" s="219">
        <f>AF12+V12+D12</f>
        <v>45781.528</v>
      </c>
      <c r="AH12" s="220">
        <f t="shared" si="2"/>
        <v>0</v>
      </c>
      <c r="AI12" s="220">
        <f t="shared" si="2"/>
        <v>0</v>
      </c>
      <c r="AJ12" s="183">
        <f>'[13]Т03'!$J$9+'[13]Т03'!$J$14+'[13]Т03'!$J$115+'[13]Т03'!$J$184</f>
        <v>1775.7440000000001</v>
      </c>
      <c r="AK12" s="184">
        <f t="shared" si="3"/>
        <v>3556.7486000000004</v>
      </c>
      <c r="AL12" s="184">
        <f t="shared" si="4"/>
        <v>1061.7160000000001</v>
      </c>
      <c r="AM12" s="184">
        <f t="shared" si="5"/>
        <v>5308.58</v>
      </c>
      <c r="AN12" s="184">
        <f t="shared" si="6"/>
        <v>1114.8018</v>
      </c>
      <c r="AO12" s="184">
        <f t="shared" si="7"/>
        <v>10723.3316</v>
      </c>
      <c r="AP12" s="184">
        <f t="shared" si="8"/>
        <v>5467.8374</v>
      </c>
      <c r="AQ12" s="184">
        <f t="shared" si="9"/>
        <v>3981.435</v>
      </c>
      <c r="AR12" s="184">
        <f t="shared" si="10"/>
        <v>3981.435</v>
      </c>
      <c r="AS12" s="184">
        <f>B12*1.15</f>
        <v>6104.866999999999</v>
      </c>
      <c r="AT12" s="184">
        <f>1260.5*0.45</f>
        <v>567.225</v>
      </c>
      <c r="AU12" s="186">
        <v>1639</v>
      </c>
      <c r="AV12" s="185">
        <v>2773</v>
      </c>
      <c r="AW12" s="186"/>
      <c r="AX12" s="186">
        <f>'[16]март 2011'!$F$78</f>
        <v>138</v>
      </c>
      <c r="AY12" s="186"/>
      <c r="AZ12" s="116"/>
      <c r="BA12" s="189"/>
      <c r="BB12" s="189">
        <f>BA12*0.18</f>
        <v>0</v>
      </c>
      <c r="BC12" s="189">
        <f t="shared" si="11"/>
        <v>46417.977399999996</v>
      </c>
      <c r="BD12" s="190">
        <f>'[13]Т03'!$S$9+'[13]Т03'!$S$14+'[13]Т03'!$S$115+'[13]Т03'!$S$184</f>
        <v>1225.283</v>
      </c>
      <c r="BE12" s="190">
        <f t="shared" si="12"/>
        <v>47643.2604</v>
      </c>
      <c r="BF12" s="190">
        <f t="shared" si="13"/>
        <v>-85.988400000002</v>
      </c>
      <c r="BG12" s="190">
        <f t="shared" si="14"/>
        <v>-1095.0799999999945</v>
      </c>
    </row>
    <row r="13" spans="1:59" ht="12.75">
      <c r="A13" s="212" t="s">
        <v>46</v>
      </c>
      <c r="B13" s="176">
        <v>5308.58</v>
      </c>
      <c r="C13" s="152">
        <f t="shared" si="0"/>
        <v>45388.359000000004</v>
      </c>
      <c r="D13" s="92">
        <v>266.628</v>
      </c>
      <c r="E13" s="215">
        <v>0</v>
      </c>
      <c r="F13" s="178">
        <v>0</v>
      </c>
      <c r="G13" s="195">
        <v>27817.43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13509.6</v>
      </c>
      <c r="N13" s="177">
        <v>0</v>
      </c>
      <c r="O13" s="177">
        <v>4786.54</v>
      </c>
      <c r="P13" s="177">
        <v>0</v>
      </c>
      <c r="Q13" s="177">
        <v>0</v>
      </c>
      <c r="R13" s="178">
        <v>0</v>
      </c>
      <c r="S13" s="213">
        <v>100</v>
      </c>
      <c r="T13" s="223">
        <v>0</v>
      </c>
      <c r="U13" s="221">
        <f t="shared" si="1"/>
        <v>46213.57</v>
      </c>
      <c r="V13" s="180">
        <f t="shared" si="1"/>
        <v>0</v>
      </c>
      <c r="W13" s="179">
        <v>1218.77</v>
      </c>
      <c r="X13" s="181">
        <v>23120.45</v>
      </c>
      <c r="Y13" s="179">
        <v>295.66</v>
      </c>
      <c r="Z13" s="179">
        <v>492.58</v>
      </c>
      <c r="AA13" s="179">
        <v>11640.88</v>
      </c>
      <c r="AB13" s="181">
        <v>3987.64</v>
      </c>
      <c r="AC13" s="179">
        <v>0</v>
      </c>
      <c r="AD13" s="181">
        <v>0</v>
      </c>
      <c r="AE13" s="181">
        <v>299.79</v>
      </c>
      <c r="AF13" s="218">
        <f>SUM(W13:AE13)</f>
        <v>41055.770000000004</v>
      </c>
      <c r="AG13" s="224">
        <f>AF13+V13+D13</f>
        <v>41322.398</v>
      </c>
      <c r="AH13" s="225">
        <f t="shared" si="2"/>
        <v>0</v>
      </c>
      <c r="AI13" s="225">
        <f t="shared" si="2"/>
        <v>0</v>
      </c>
      <c r="AJ13" s="226">
        <f>'[14]Т04'!$J$9+'[14]Т04'!$J$14+'[14]Т04'!$J$116+'[14]Т04'!$J$186</f>
        <v>1775.7440000000001</v>
      </c>
      <c r="AK13" s="184">
        <f t="shared" si="3"/>
        <v>3556.7486000000004</v>
      </c>
      <c r="AL13" s="184">
        <f t="shared" si="4"/>
        <v>1061.7160000000001</v>
      </c>
      <c r="AM13" s="184">
        <f t="shared" si="5"/>
        <v>5308.58</v>
      </c>
      <c r="AN13" s="184">
        <f t="shared" si="6"/>
        <v>1114.8018</v>
      </c>
      <c r="AO13" s="184">
        <f t="shared" si="7"/>
        <v>10723.3316</v>
      </c>
      <c r="AP13" s="184">
        <f t="shared" si="8"/>
        <v>5467.8374</v>
      </c>
      <c r="AQ13" s="184">
        <f t="shared" si="9"/>
        <v>3981.435</v>
      </c>
      <c r="AR13" s="184">
        <f t="shared" si="10"/>
        <v>3981.435</v>
      </c>
      <c r="AS13" s="184"/>
      <c r="AT13" s="227">
        <f aca="true" t="shared" si="15" ref="AT13:AT21">0.45*1260.5</f>
        <v>567.225</v>
      </c>
      <c r="AU13" s="228">
        <v>1216</v>
      </c>
      <c r="AV13" s="228">
        <v>1151</v>
      </c>
      <c r="AW13" s="228"/>
      <c r="AX13" s="228">
        <f>529+140</f>
        <v>669</v>
      </c>
      <c r="AY13" s="228"/>
      <c r="AZ13" s="116"/>
      <c r="BA13" s="229"/>
      <c r="BB13" s="229"/>
      <c r="BC13" s="177">
        <f t="shared" si="11"/>
        <v>38799.1104</v>
      </c>
      <c r="BD13" s="230">
        <f>'[13]Т04'!$S$9+'[13]Т04'!$S$14+'[13]Т04'!$S$116+'[13]Т04'!$S$186</f>
        <v>1225.283</v>
      </c>
      <c r="BE13" s="190">
        <f t="shared" si="12"/>
        <v>40024.3934</v>
      </c>
      <c r="BF13" s="190">
        <f t="shared" si="13"/>
        <v>3073.748599999999</v>
      </c>
      <c r="BG13" s="190">
        <f t="shared" si="14"/>
        <v>-5157.799999999996</v>
      </c>
    </row>
    <row r="14" spans="1:59" ht="12.75">
      <c r="A14" s="212" t="s">
        <v>47</v>
      </c>
      <c r="B14" s="231">
        <v>5308.58</v>
      </c>
      <c r="C14" s="152">
        <f t="shared" si="0"/>
        <v>45388.359000000004</v>
      </c>
      <c r="D14" s="92">
        <v>266.628</v>
      </c>
      <c r="E14" s="195">
        <v>0</v>
      </c>
      <c r="F14" s="178">
        <v>0</v>
      </c>
      <c r="G14" s="177">
        <v>27831.29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13516.39</v>
      </c>
      <c r="N14" s="177">
        <v>0</v>
      </c>
      <c r="O14" s="177">
        <v>4788.97</v>
      </c>
      <c r="P14" s="177">
        <v>0</v>
      </c>
      <c r="Q14" s="177">
        <v>0</v>
      </c>
      <c r="R14" s="178">
        <v>0</v>
      </c>
      <c r="S14" s="177">
        <v>100</v>
      </c>
      <c r="T14" s="181">
        <v>0</v>
      </c>
      <c r="U14" s="232">
        <f t="shared" si="1"/>
        <v>46236.65</v>
      </c>
      <c r="V14" s="233">
        <f>F14+H14+J14+L14+N14++R14+T14</f>
        <v>0</v>
      </c>
      <c r="W14" s="179">
        <v>-22.63</v>
      </c>
      <c r="X14" s="181">
        <v>29198.98</v>
      </c>
      <c r="Y14" s="179">
        <v>1969</v>
      </c>
      <c r="Z14" s="179">
        <v>-56.54</v>
      </c>
      <c r="AA14" s="179">
        <v>14296.29</v>
      </c>
      <c r="AB14" s="179">
        <v>4955.75</v>
      </c>
      <c r="AC14" s="181">
        <v>0</v>
      </c>
      <c r="AD14" s="181">
        <v>0</v>
      </c>
      <c r="AE14" s="218">
        <v>100.13</v>
      </c>
      <c r="AF14" s="234">
        <f>SUM(W14:AE14)</f>
        <v>50440.979999999996</v>
      </c>
      <c r="AG14" s="224">
        <f aca="true" t="shared" si="16" ref="AG14:AG21">D14+V14+AF14</f>
        <v>50707.60799999999</v>
      </c>
      <c r="AH14" s="225">
        <f t="shared" si="2"/>
        <v>0</v>
      </c>
      <c r="AI14" s="225">
        <f t="shared" si="2"/>
        <v>0</v>
      </c>
      <c r="AJ14" s="226">
        <f>'[13]Т05'!$J$9+'[13]Т05'!$J$14+'[13]Т05'!$J$114+'[13]Т05'!$J$184</f>
        <v>1775.7440000000001</v>
      </c>
      <c r="AK14" s="184">
        <f t="shared" si="3"/>
        <v>3556.7486000000004</v>
      </c>
      <c r="AL14" s="184">
        <f t="shared" si="4"/>
        <v>1061.7160000000001</v>
      </c>
      <c r="AM14" s="184">
        <f t="shared" si="5"/>
        <v>5308.58</v>
      </c>
      <c r="AN14" s="184">
        <f t="shared" si="6"/>
        <v>1114.8018</v>
      </c>
      <c r="AO14" s="184">
        <f t="shared" si="7"/>
        <v>10723.3316</v>
      </c>
      <c r="AP14" s="184">
        <f t="shared" si="8"/>
        <v>5467.8374</v>
      </c>
      <c r="AQ14" s="184">
        <f t="shared" si="9"/>
        <v>3981.435</v>
      </c>
      <c r="AR14" s="184">
        <f t="shared" si="10"/>
        <v>3981.435</v>
      </c>
      <c r="AS14" s="184"/>
      <c r="AT14" s="227">
        <f t="shared" si="15"/>
        <v>567.225</v>
      </c>
      <c r="AU14" s="228">
        <v>6544</v>
      </c>
      <c r="AV14" s="228"/>
      <c r="AW14" s="228">
        <v>3148</v>
      </c>
      <c r="AX14" s="228">
        <f>312</f>
        <v>312</v>
      </c>
      <c r="AY14" s="228"/>
      <c r="AZ14" s="116"/>
      <c r="BA14" s="229"/>
      <c r="BB14" s="229"/>
      <c r="BC14" s="177">
        <f t="shared" si="11"/>
        <v>45767.1104</v>
      </c>
      <c r="BD14" s="230">
        <f>'[13]Т05'!$S$9+'[13]Т05'!$S$14+'[13]Т05'!$S$114+'[13]Т05'!$S$184</f>
        <v>1225.283</v>
      </c>
      <c r="BE14" s="190">
        <f t="shared" si="12"/>
        <v>46992.3934</v>
      </c>
      <c r="BF14" s="190">
        <f t="shared" si="13"/>
        <v>5490.958599999991</v>
      </c>
      <c r="BG14" s="190">
        <f t="shared" si="14"/>
        <v>4204.3299999999945</v>
      </c>
    </row>
    <row r="15" spans="1:59" ht="12.75">
      <c r="A15" s="212" t="s">
        <v>48</v>
      </c>
      <c r="B15" s="176">
        <v>5308.58</v>
      </c>
      <c r="C15" s="152">
        <f t="shared" si="0"/>
        <v>45388.359000000004</v>
      </c>
      <c r="D15" s="92">
        <v>266.628</v>
      </c>
      <c r="E15" s="235">
        <v>0</v>
      </c>
      <c r="F15" s="235"/>
      <c r="G15" s="235">
        <v>27837.97</v>
      </c>
      <c r="H15" s="235"/>
      <c r="I15" s="236">
        <v>0</v>
      </c>
      <c r="J15" s="236"/>
      <c r="K15" s="236">
        <v>0</v>
      </c>
      <c r="L15" s="236"/>
      <c r="M15" s="236">
        <v>13519.68</v>
      </c>
      <c r="N15" s="236"/>
      <c r="O15" s="236">
        <v>4690.16</v>
      </c>
      <c r="P15" s="236"/>
      <c r="Q15" s="236">
        <v>0</v>
      </c>
      <c r="R15" s="237"/>
      <c r="S15" s="237">
        <v>100</v>
      </c>
      <c r="T15" s="236"/>
      <c r="U15" s="238">
        <f t="shared" si="1"/>
        <v>46147.81</v>
      </c>
      <c r="V15" s="239">
        <f t="shared" si="1"/>
        <v>0</v>
      </c>
      <c r="W15" s="240">
        <v>1246.31</v>
      </c>
      <c r="X15" s="235">
        <v>28670.71</v>
      </c>
      <c r="Y15" s="235">
        <v>1629.24</v>
      </c>
      <c r="Z15" s="235">
        <v>3714.75</v>
      </c>
      <c r="AA15" s="235">
        <v>15503.13</v>
      </c>
      <c r="AB15" s="235">
        <v>5695.43</v>
      </c>
      <c r="AC15" s="235">
        <v>0</v>
      </c>
      <c r="AD15" s="235">
        <v>0</v>
      </c>
      <c r="AE15" s="241">
        <v>0</v>
      </c>
      <c r="AF15" s="242">
        <f aca="true" t="shared" si="17" ref="AF15:AF21">SUM(W15:AE15)</f>
        <v>56459.57</v>
      </c>
      <c r="AG15" s="224">
        <f t="shared" si="16"/>
        <v>56726.198</v>
      </c>
      <c r="AH15" s="225">
        <f t="shared" si="2"/>
        <v>0</v>
      </c>
      <c r="AI15" s="225">
        <f t="shared" si="2"/>
        <v>0</v>
      </c>
      <c r="AJ15" s="226">
        <f>'[13]Т06'!$J$9+'[13]Т06'!$J$14+'[13]Т06'!$J$114+'[13]Т06'!$J$184</f>
        <v>1775.7440000000001</v>
      </c>
      <c r="AK15" s="184">
        <f t="shared" si="3"/>
        <v>3556.7486000000004</v>
      </c>
      <c r="AL15" s="184">
        <f t="shared" si="4"/>
        <v>1061.7160000000001</v>
      </c>
      <c r="AM15" s="184">
        <f t="shared" si="5"/>
        <v>5308.58</v>
      </c>
      <c r="AN15" s="184">
        <f t="shared" si="6"/>
        <v>1114.8018</v>
      </c>
      <c r="AO15" s="184">
        <f t="shared" si="7"/>
        <v>10723.3316</v>
      </c>
      <c r="AP15" s="184">
        <f t="shared" si="8"/>
        <v>5467.8374</v>
      </c>
      <c r="AQ15" s="184">
        <f t="shared" si="9"/>
        <v>3981.435</v>
      </c>
      <c r="AR15" s="184">
        <f t="shared" si="10"/>
        <v>3981.435</v>
      </c>
      <c r="AS15" s="184"/>
      <c r="AT15" s="227">
        <f t="shared" si="15"/>
        <v>567.225</v>
      </c>
      <c r="AU15" s="228"/>
      <c r="AV15" s="228">
        <v>151</v>
      </c>
      <c r="AW15" s="228"/>
      <c r="AX15" s="228">
        <f>8.5</f>
        <v>8.5</v>
      </c>
      <c r="AY15" s="228"/>
      <c r="AZ15" s="184"/>
      <c r="BA15" s="229"/>
      <c r="BB15" s="229"/>
      <c r="BC15" s="243">
        <f t="shared" si="11"/>
        <v>35922.6104</v>
      </c>
      <c r="BD15" s="230">
        <f>'[13]Т06'!$S$9+'[13]Т06'!$S$14+'[13]Т06'!$S$114+'[13]Т06'!$S$184</f>
        <v>1225.283</v>
      </c>
      <c r="BE15" s="190">
        <f t="shared" si="12"/>
        <v>37147.8934</v>
      </c>
      <c r="BF15" s="190">
        <f t="shared" si="13"/>
        <v>21354.048599999995</v>
      </c>
      <c r="BG15" s="190">
        <f t="shared" si="14"/>
        <v>10311.760000000002</v>
      </c>
    </row>
    <row r="16" spans="1:59" ht="12.75">
      <c r="A16" s="212" t="s">
        <v>49</v>
      </c>
      <c r="B16" s="176">
        <v>5308.58</v>
      </c>
      <c r="C16" s="152">
        <f t="shared" si="0"/>
        <v>45388.359000000004</v>
      </c>
      <c r="D16" s="92">
        <v>266.628</v>
      </c>
      <c r="E16" s="244"/>
      <c r="F16" s="244"/>
      <c r="G16" s="244">
        <v>27831</v>
      </c>
      <c r="H16" s="244"/>
      <c r="I16" s="244"/>
      <c r="J16" s="244"/>
      <c r="K16" s="244"/>
      <c r="L16" s="244"/>
      <c r="M16" s="244">
        <v>13516.26</v>
      </c>
      <c r="N16" s="244"/>
      <c r="O16" s="244">
        <v>4688.91</v>
      </c>
      <c r="P16" s="244"/>
      <c r="Q16" s="244"/>
      <c r="R16" s="244"/>
      <c r="S16" s="245">
        <v>100</v>
      </c>
      <c r="T16" s="240"/>
      <c r="U16" s="246">
        <f t="shared" si="1"/>
        <v>46136.17</v>
      </c>
      <c r="V16" s="247">
        <f t="shared" si="1"/>
        <v>0</v>
      </c>
      <c r="W16" s="248">
        <v>315.52</v>
      </c>
      <c r="X16" s="244">
        <v>25028.29</v>
      </c>
      <c r="Y16" s="244">
        <v>445.69</v>
      </c>
      <c r="Z16" s="244">
        <v>743.6</v>
      </c>
      <c r="AA16" s="244">
        <v>12907.78</v>
      </c>
      <c r="AB16" s="244">
        <v>4392.76</v>
      </c>
      <c r="AC16" s="235"/>
      <c r="AD16" s="244"/>
      <c r="AE16" s="245">
        <v>100</v>
      </c>
      <c r="AF16" s="242">
        <f t="shared" si="17"/>
        <v>43933.64</v>
      </c>
      <c r="AG16" s="249">
        <f t="shared" si="16"/>
        <v>44200.268</v>
      </c>
      <c r="AH16" s="225">
        <f t="shared" si="2"/>
        <v>0</v>
      </c>
      <c r="AI16" s="225">
        <f t="shared" si="2"/>
        <v>0</v>
      </c>
      <c r="AJ16" s="226">
        <f>'[13]Т07'!$J$9+'[13]Т07'!$J$14+'[13]Т07'!$J$114+'[13]Т07'!$J$188</f>
        <v>1775.7440000000001</v>
      </c>
      <c r="AK16" s="184">
        <f t="shared" si="3"/>
        <v>3556.7486000000004</v>
      </c>
      <c r="AL16" s="184">
        <f t="shared" si="4"/>
        <v>1061.7160000000001</v>
      </c>
      <c r="AM16" s="184">
        <f t="shared" si="5"/>
        <v>5308.58</v>
      </c>
      <c r="AN16" s="184">
        <f t="shared" si="6"/>
        <v>1114.8018</v>
      </c>
      <c r="AO16" s="184">
        <f t="shared" si="7"/>
        <v>10723.3316</v>
      </c>
      <c r="AP16" s="184">
        <f t="shared" si="8"/>
        <v>5467.8374</v>
      </c>
      <c r="AQ16" s="184">
        <f t="shared" si="9"/>
        <v>3981.435</v>
      </c>
      <c r="AR16" s="184">
        <f t="shared" si="10"/>
        <v>3981.435</v>
      </c>
      <c r="AS16" s="184"/>
      <c r="AT16" s="227">
        <f t="shared" si="15"/>
        <v>567.225</v>
      </c>
      <c r="AU16" s="228">
        <v>1550</v>
      </c>
      <c r="AV16" s="228"/>
      <c r="AW16" s="228"/>
      <c r="AX16" s="228">
        <f>74.43+9.43+32.56+24</f>
        <v>140.42000000000002</v>
      </c>
      <c r="AY16" s="228"/>
      <c r="AZ16" s="116"/>
      <c r="BA16" s="229">
        <v>0</v>
      </c>
      <c r="BB16" s="229"/>
      <c r="BC16" s="177">
        <f t="shared" si="11"/>
        <v>37453.530399999996</v>
      </c>
      <c r="BD16" s="230">
        <f>'[13]Т07'!$S$9+'[13]Т07'!$S$14+'[13]Т07'!$S$114+'[13]Т07'!$S$188</f>
        <v>1225.283</v>
      </c>
      <c r="BE16" s="190">
        <f t="shared" si="12"/>
        <v>38678.8134</v>
      </c>
      <c r="BF16" s="190">
        <f t="shared" si="13"/>
        <v>7297.198599999996</v>
      </c>
      <c r="BG16" s="190">
        <f t="shared" si="14"/>
        <v>-2202.529999999999</v>
      </c>
    </row>
    <row r="17" spans="1:59" ht="12.75">
      <c r="A17" s="212" t="s">
        <v>50</v>
      </c>
      <c r="B17" s="176">
        <v>5308.58</v>
      </c>
      <c r="C17" s="152">
        <f t="shared" si="0"/>
        <v>45388.359000000004</v>
      </c>
      <c r="D17" s="92">
        <v>266.628</v>
      </c>
      <c r="E17" s="244"/>
      <c r="F17" s="244"/>
      <c r="G17" s="244">
        <v>27846.35</v>
      </c>
      <c r="H17" s="244"/>
      <c r="I17" s="244"/>
      <c r="J17" s="244"/>
      <c r="K17" s="244"/>
      <c r="L17" s="244"/>
      <c r="M17" s="244">
        <v>13523.84</v>
      </c>
      <c r="N17" s="244"/>
      <c r="O17" s="244">
        <v>4691.61</v>
      </c>
      <c r="P17" s="244"/>
      <c r="Q17" s="244"/>
      <c r="R17" s="244"/>
      <c r="S17" s="245">
        <v>100</v>
      </c>
      <c r="T17" s="241"/>
      <c r="U17" s="250">
        <f t="shared" si="1"/>
        <v>46161.8</v>
      </c>
      <c r="V17" s="251">
        <f t="shared" si="1"/>
        <v>0</v>
      </c>
      <c r="W17" s="244">
        <v>-699.84</v>
      </c>
      <c r="X17" s="244">
        <v>29348.28</v>
      </c>
      <c r="Y17" s="244">
        <v>-1579.68</v>
      </c>
      <c r="Z17" s="244">
        <v>-300.38</v>
      </c>
      <c r="AA17" s="244">
        <v>13187.54</v>
      </c>
      <c r="AB17" s="244">
        <v>4371.59</v>
      </c>
      <c r="AC17" s="244"/>
      <c r="AD17" s="244"/>
      <c r="AE17" s="245">
        <v>100</v>
      </c>
      <c r="AF17" s="242">
        <f t="shared" si="17"/>
        <v>44427.509999999995</v>
      </c>
      <c r="AG17" s="249">
        <f t="shared" si="16"/>
        <v>44694.13799999999</v>
      </c>
      <c r="AH17" s="225">
        <f t="shared" si="2"/>
        <v>0</v>
      </c>
      <c r="AI17" s="225">
        <f t="shared" si="2"/>
        <v>0</v>
      </c>
      <c r="AJ17" s="226">
        <f>'[13]Т08'!$J$9+'[13]Т08'!$J$14+'[13]Т08'!$J$114+'[13]Т08'!$J$192</f>
        <v>1775.7440000000001</v>
      </c>
      <c r="AK17" s="184">
        <f t="shared" si="3"/>
        <v>3556.7486000000004</v>
      </c>
      <c r="AL17" s="184">
        <f t="shared" si="4"/>
        <v>1061.7160000000001</v>
      </c>
      <c r="AM17" s="184">
        <f t="shared" si="5"/>
        <v>5308.58</v>
      </c>
      <c r="AN17" s="184">
        <f t="shared" si="6"/>
        <v>1114.8018</v>
      </c>
      <c r="AO17" s="184">
        <f t="shared" si="7"/>
        <v>10723.3316</v>
      </c>
      <c r="AP17" s="184">
        <f t="shared" si="8"/>
        <v>5467.8374</v>
      </c>
      <c r="AQ17" s="184">
        <f t="shared" si="9"/>
        <v>3981.435</v>
      </c>
      <c r="AR17" s="184">
        <f t="shared" si="10"/>
        <v>3981.435</v>
      </c>
      <c r="AS17" s="184"/>
      <c r="AT17" s="227">
        <f t="shared" si="15"/>
        <v>567.225</v>
      </c>
      <c r="AU17" s="228">
        <v>1508</v>
      </c>
      <c r="AV17" s="228"/>
      <c r="AW17" s="228">
        <v>664</v>
      </c>
      <c r="AX17" s="228">
        <f>12+33+38.355</f>
        <v>83.35499999999999</v>
      </c>
      <c r="AY17" s="228"/>
      <c r="AZ17" s="116"/>
      <c r="BA17" s="229"/>
      <c r="BB17" s="229"/>
      <c r="BC17" s="177">
        <f t="shared" si="11"/>
        <v>38018.4654</v>
      </c>
      <c r="BD17" s="230">
        <f>'[13]Т08'!$S$9+'[13]Т08'!$S$14+'[13]Т08'!$S$114+'[13]Т08'!$S$192</f>
        <v>1225.283</v>
      </c>
      <c r="BE17" s="190">
        <f t="shared" si="12"/>
        <v>39243.748400000004</v>
      </c>
      <c r="BF17" s="190">
        <f t="shared" si="13"/>
        <v>7226.1335999999865</v>
      </c>
      <c r="BG17" s="190">
        <f t="shared" si="14"/>
        <v>-1734.2900000000081</v>
      </c>
    </row>
    <row r="18" spans="1:59" ht="12.75">
      <c r="A18" s="212" t="s">
        <v>51</v>
      </c>
      <c r="B18" s="176">
        <v>5308.58</v>
      </c>
      <c r="C18" s="152">
        <f t="shared" si="0"/>
        <v>45388.359000000004</v>
      </c>
      <c r="D18" s="92">
        <v>266.628</v>
      </c>
      <c r="E18" s="244"/>
      <c r="F18" s="244"/>
      <c r="G18" s="244">
        <v>28225.27</v>
      </c>
      <c r="H18" s="244"/>
      <c r="I18" s="244"/>
      <c r="J18" s="244"/>
      <c r="K18" s="244"/>
      <c r="L18" s="244"/>
      <c r="M18" s="244">
        <v>13707.71</v>
      </c>
      <c r="N18" s="244"/>
      <c r="O18" s="244">
        <v>4755.31</v>
      </c>
      <c r="P18" s="244"/>
      <c r="Q18" s="244"/>
      <c r="R18" s="244"/>
      <c r="S18" s="245">
        <v>100</v>
      </c>
      <c r="T18" s="252"/>
      <c r="U18" s="252">
        <f t="shared" si="1"/>
        <v>46788.28999999999</v>
      </c>
      <c r="V18" s="253">
        <f t="shared" si="1"/>
        <v>0</v>
      </c>
      <c r="W18" s="244">
        <v>442.94</v>
      </c>
      <c r="X18" s="244">
        <v>27033.44</v>
      </c>
      <c r="Y18" s="244">
        <v>608.35</v>
      </c>
      <c r="Z18" s="244">
        <v>1013.01</v>
      </c>
      <c r="AA18" s="244">
        <v>12885.04</v>
      </c>
      <c r="AB18" s="244">
        <v>5043.88</v>
      </c>
      <c r="AC18" s="244"/>
      <c r="AD18" s="244"/>
      <c r="AE18" s="245">
        <v>99.96</v>
      </c>
      <c r="AF18" s="242">
        <f t="shared" si="17"/>
        <v>47126.619999999995</v>
      </c>
      <c r="AG18" s="249">
        <f t="shared" si="16"/>
        <v>47393.24799999999</v>
      </c>
      <c r="AH18" s="225">
        <f t="shared" si="2"/>
        <v>0</v>
      </c>
      <c r="AI18" s="225">
        <f t="shared" si="2"/>
        <v>0</v>
      </c>
      <c r="AJ18" s="226">
        <f>'[13]Т09'!$J$9+'[13]Т09'!$J$14+'[13]Т09'!$J$114+'[13]Т09'!$J$192</f>
        <v>1775.7440000000001</v>
      </c>
      <c r="AK18" s="184">
        <f>0.67*B18</f>
        <v>3556.7486000000004</v>
      </c>
      <c r="AL18" s="184">
        <f>B18*0.2</f>
        <v>1061.7160000000001</v>
      </c>
      <c r="AM18" s="184">
        <f t="shared" si="5"/>
        <v>5308.58</v>
      </c>
      <c r="AN18" s="184">
        <f t="shared" si="6"/>
        <v>1114.8018</v>
      </c>
      <c r="AO18" s="184">
        <f t="shared" si="7"/>
        <v>10723.3316</v>
      </c>
      <c r="AP18" s="184">
        <f t="shared" si="8"/>
        <v>5467.8374</v>
      </c>
      <c r="AQ18" s="184">
        <f t="shared" si="9"/>
        <v>3981.435</v>
      </c>
      <c r="AR18" s="184">
        <f t="shared" si="10"/>
        <v>3981.435</v>
      </c>
      <c r="AS18" s="184"/>
      <c r="AT18" s="227">
        <f t="shared" si="15"/>
        <v>567.225</v>
      </c>
      <c r="AU18" s="228">
        <v>3290</v>
      </c>
      <c r="AV18" s="228"/>
      <c r="AW18" s="228"/>
      <c r="AX18" s="228">
        <f>1500+24+13.5+106.6+80+90.37+96.51</f>
        <v>1910.9799999999998</v>
      </c>
      <c r="AY18" s="228"/>
      <c r="AZ18" s="116"/>
      <c r="BA18" s="229"/>
      <c r="BB18" s="229"/>
      <c r="BC18" s="177">
        <f t="shared" si="11"/>
        <v>40964.0904</v>
      </c>
      <c r="BD18" s="230">
        <f>'[13]Т08'!$S$9+'[13]Т08'!$S$14+'[13]Т08'!$S$114+'[13]Т08'!$S$192</f>
        <v>1225.283</v>
      </c>
      <c r="BE18" s="190">
        <f t="shared" si="12"/>
        <v>42189.373400000004</v>
      </c>
      <c r="BF18" s="190">
        <f t="shared" si="13"/>
        <v>6979.618599999987</v>
      </c>
      <c r="BG18" s="190">
        <f t="shared" si="14"/>
        <v>338.33000000000175</v>
      </c>
    </row>
    <row r="19" spans="1:59" ht="12.75">
      <c r="A19" s="212" t="s">
        <v>39</v>
      </c>
      <c r="B19" s="176">
        <v>5308.58</v>
      </c>
      <c r="C19" s="152">
        <f t="shared" si="0"/>
        <v>45388.359000000004</v>
      </c>
      <c r="D19" s="92">
        <v>266.628</v>
      </c>
      <c r="E19" s="235"/>
      <c r="F19" s="235"/>
      <c r="G19" s="235">
        <v>2819.77</v>
      </c>
      <c r="H19" s="235"/>
      <c r="I19" s="235"/>
      <c r="J19" s="235"/>
      <c r="K19" s="235"/>
      <c r="L19" s="235"/>
      <c r="M19" s="235">
        <v>13705.01</v>
      </c>
      <c r="N19" s="235"/>
      <c r="O19" s="235">
        <v>4754.35</v>
      </c>
      <c r="P19" s="235"/>
      <c r="Q19" s="235"/>
      <c r="R19" s="235"/>
      <c r="S19" s="241">
        <v>100</v>
      </c>
      <c r="T19" s="254"/>
      <c r="U19" s="255">
        <f t="shared" si="1"/>
        <v>21379.129999999997</v>
      </c>
      <c r="V19" s="256">
        <f t="shared" si="1"/>
        <v>0</v>
      </c>
      <c r="W19" s="235">
        <v>0</v>
      </c>
      <c r="X19" s="235">
        <v>28387.33</v>
      </c>
      <c r="Y19" s="235">
        <v>0</v>
      </c>
      <c r="Z19" s="235">
        <v>0</v>
      </c>
      <c r="AA19" s="235">
        <v>13897.26</v>
      </c>
      <c r="AB19" s="235">
        <v>4962.35</v>
      </c>
      <c r="AC19" s="235"/>
      <c r="AD19" s="235"/>
      <c r="AE19" s="241">
        <v>100.02</v>
      </c>
      <c r="AF19" s="242">
        <f t="shared" si="17"/>
        <v>47346.96</v>
      </c>
      <c r="AG19" s="249">
        <f t="shared" si="16"/>
        <v>47613.587999999996</v>
      </c>
      <c r="AH19" s="225">
        <f t="shared" si="2"/>
        <v>0</v>
      </c>
      <c r="AI19" s="225">
        <f t="shared" si="2"/>
        <v>0</v>
      </c>
      <c r="AJ19" s="226">
        <f>'[15]Т10'!$J$9+'[15]Т10'!$J$14+'[15]Т10'!$J$114+'[15]Т10'!$J$192</f>
        <v>1775.7440000000001</v>
      </c>
      <c r="AK19" s="184">
        <f>0.67*B19</f>
        <v>3556.7486000000004</v>
      </c>
      <c r="AL19" s="184">
        <f>B19*0.2</f>
        <v>1061.7160000000001</v>
      </c>
      <c r="AM19" s="184">
        <f t="shared" si="5"/>
        <v>5308.58</v>
      </c>
      <c r="AN19" s="184">
        <f t="shared" si="6"/>
        <v>1114.8018</v>
      </c>
      <c r="AO19" s="184">
        <f t="shared" si="7"/>
        <v>10723.3316</v>
      </c>
      <c r="AP19" s="184">
        <f t="shared" si="8"/>
        <v>5467.8374</v>
      </c>
      <c r="AQ19" s="184">
        <f t="shared" si="9"/>
        <v>3981.435</v>
      </c>
      <c r="AR19" s="184">
        <f t="shared" si="10"/>
        <v>3981.435</v>
      </c>
      <c r="AS19" s="257">
        <f>B19*1.15</f>
        <v>6104.866999999999</v>
      </c>
      <c r="AT19" s="227">
        <f t="shared" si="15"/>
        <v>567.225</v>
      </c>
      <c r="AU19" s="228"/>
      <c r="AV19" s="228"/>
      <c r="AW19" s="228"/>
      <c r="AX19" s="228">
        <f>10.45+28</f>
        <v>38.45</v>
      </c>
      <c r="AY19" s="228"/>
      <c r="AZ19" s="116"/>
      <c r="BA19" s="229"/>
      <c r="BB19" s="229"/>
      <c r="BC19" s="177">
        <f t="shared" si="11"/>
        <v>41906.42739999999</v>
      </c>
      <c r="BD19" s="230">
        <f>'[13]Т10'!$S$9+'[13]Т10'!$S$14+'[13]Т10'!$S$114+'[13]Т10'!$S$192</f>
        <v>1225.283</v>
      </c>
      <c r="BE19" s="190">
        <f t="shared" si="12"/>
        <v>43131.710399999996</v>
      </c>
      <c r="BF19" s="190">
        <f t="shared" si="13"/>
        <v>6257.621599999999</v>
      </c>
      <c r="BG19" s="190">
        <f t="shared" si="14"/>
        <v>25967.83</v>
      </c>
    </row>
    <row r="20" spans="1:59" ht="12.75">
      <c r="A20" s="212" t="s">
        <v>40</v>
      </c>
      <c r="B20" s="290">
        <v>5308.28</v>
      </c>
      <c r="C20" s="152">
        <f t="shared" si="0"/>
        <v>45385.794</v>
      </c>
      <c r="D20" s="92">
        <v>266.628</v>
      </c>
      <c r="E20" s="235"/>
      <c r="F20" s="235"/>
      <c r="G20" s="235">
        <v>28219.77</v>
      </c>
      <c r="H20" s="235"/>
      <c r="I20" s="235"/>
      <c r="J20" s="235"/>
      <c r="K20" s="235"/>
      <c r="L20" s="235"/>
      <c r="M20" s="235">
        <v>13705.01</v>
      </c>
      <c r="N20" s="235"/>
      <c r="O20" s="235">
        <v>4754.35</v>
      </c>
      <c r="P20" s="235"/>
      <c r="Q20" s="235"/>
      <c r="R20" s="235"/>
      <c r="S20" s="241">
        <v>100</v>
      </c>
      <c r="T20" s="254"/>
      <c r="U20" s="255">
        <f t="shared" si="1"/>
        <v>46779.13</v>
      </c>
      <c r="V20" s="256">
        <f t="shared" si="1"/>
        <v>0</v>
      </c>
      <c r="W20" s="235">
        <v>0</v>
      </c>
      <c r="X20" s="235">
        <v>23521.98</v>
      </c>
      <c r="Y20" s="235">
        <v>0</v>
      </c>
      <c r="Z20" s="235">
        <v>0</v>
      </c>
      <c r="AA20" s="235">
        <v>11393.79</v>
      </c>
      <c r="AB20" s="235">
        <v>3946.97</v>
      </c>
      <c r="AC20" s="235"/>
      <c r="AD20" s="235"/>
      <c r="AE20" s="241">
        <v>99.99</v>
      </c>
      <c r="AF20" s="242">
        <f t="shared" si="17"/>
        <v>38962.73</v>
      </c>
      <c r="AG20" s="249">
        <f t="shared" si="16"/>
        <v>39229.358</v>
      </c>
      <c r="AH20" s="225">
        <f t="shared" si="2"/>
        <v>0</v>
      </c>
      <c r="AI20" s="225">
        <f t="shared" si="2"/>
        <v>0</v>
      </c>
      <c r="AJ20" s="226">
        <f>'[13]Т11'!$J$9+'[13]Т11'!$J$14+'[13]Т11'!$J$114+'[13]Т11'!$J$192</f>
        <v>1775.7440000000001</v>
      </c>
      <c r="AK20" s="184">
        <f>0.67*B20</f>
        <v>3556.5476</v>
      </c>
      <c r="AL20" s="184">
        <f>B20*0.2</f>
        <v>1061.656</v>
      </c>
      <c r="AM20" s="184">
        <f t="shared" si="5"/>
        <v>5308.28</v>
      </c>
      <c r="AN20" s="184">
        <f t="shared" si="6"/>
        <v>1114.7387999999999</v>
      </c>
      <c r="AO20" s="184">
        <f t="shared" si="7"/>
        <v>10722.7256</v>
      </c>
      <c r="AP20" s="184">
        <f t="shared" si="8"/>
        <v>5467.5284</v>
      </c>
      <c r="AQ20" s="184">
        <f t="shared" si="9"/>
        <v>3981.21</v>
      </c>
      <c r="AR20" s="184">
        <f t="shared" si="10"/>
        <v>3981.21</v>
      </c>
      <c r="AS20" s="257">
        <f>B20*1.15</f>
        <v>6104.521999999999</v>
      </c>
      <c r="AT20" s="227">
        <f t="shared" si="15"/>
        <v>567.225</v>
      </c>
      <c r="AU20" s="228"/>
      <c r="AV20" s="228"/>
      <c r="AW20" s="228"/>
      <c r="AX20" s="228"/>
      <c r="AY20" s="228"/>
      <c r="AZ20" s="116"/>
      <c r="BA20" s="229"/>
      <c r="BB20" s="229"/>
      <c r="BC20" s="177">
        <f t="shared" si="11"/>
        <v>41865.64339999999</v>
      </c>
      <c r="BD20" s="230">
        <f>'[13]Т11'!$S$9+'[13]Т11'!$S$14+'[13]Т11'!$S$114+'[13]Т11'!$S$192</f>
        <v>1225.283</v>
      </c>
      <c r="BE20" s="190">
        <f t="shared" si="12"/>
        <v>43090.9264</v>
      </c>
      <c r="BF20" s="190">
        <f t="shared" si="13"/>
        <v>-2085.8243999999977</v>
      </c>
      <c r="BG20" s="190">
        <f t="shared" si="14"/>
        <v>-7816.399999999994</v>
      </c>
    </row>
    <row r="21" spans="1:59" ht="13.5" thickBot="1">
      <c r="A21" s="212" t="s">
        <v>41</v>
      </c>
      <c r="B21" s="176">
        <v>5308.28</v>
      </c>
      <c r="C21" s="152">
        <f t="shared" si="0"/>
        <v>45385.794</v>
      </c>
      <c r="D21" s="92">
        <v>266.628</v>
      </c>
      <c r="E21" s="259"/>
      <c r="F21" s="259"/>
      <c r="G21" s="259">
        <v>28212.89</v>
      </c>
      <c r="H21" s="259"/>
      <c r="I21" s="259"/>
      <c r="J21" s="259"/>
      <c r="K21" s="259"/>
      <c r="L21" s="259"/>
      <c r="M21" s="259">
        <v>13701.69</v>
      </c>
      <c r="N21" s="259"/>
      <c r="O21" s="259">
        <v>4753.19</v>
      </c>
      <c r="P21" s="259"/>
      <c r="Q21" s="259"/>
      <c r="R21" s="259"/>
      <c r="S21" s="260">
        <v>100</v>
      </c>
      <c r="T21" s="261"/>
      <c r="U21" s="255">
        <f t="shared" si="1"/>
        <v>46767.770000000004</v>
      </c>
      <c r="V21" s="256">
        <f t="shared" si="1"/>
        <v>0</v>
      </c>
      <c r="W21" s="235">
        <v>0</v>
      </c>
      <c r="X21" s="235">
        <v>33674.86</v>
      </c>
      <c r="Y21" s="235">
        <v>0</v>
      </c>
      <c r="Z21" s="235">
        <v>0</v>
      </c>
      <c r="AA21" s="235">
        <v>16287.88</v>
      </c>
      <c r="AB21" s="235">
        <v>5621.39</v>
      </c>
      <c r="AC21" s="235"/>
      <c r="AD21" s="235"/>
      <c r="AE21" s="241">
        <v>99.99</v>
      </c>
      <c r="AF21" s="242">
        <f t="shared" si="17"/>
        <v>55684.119999999995</v>
      </c>
      <c r="AG21" s="249">
        <f t="shared" si="16"/>
        <v>55950.74799999999</v>
      </c>
      <c r="AH21" s="225">
        <f t="shared" si="2"/>
        <v>0</v>
      </c>
      <c r="AI21" s="225">
        <f t="shared" si="2"/>
        <v>0</v>
      </c>
      <c r="AJ21" s="226">
        <f>'[13]Т12'!$J$9+'[13]Т12'!$J$14+'[13]Т12'!$J$114+'[13]Т12'!$J$212</f>
        <v>1775.7440000000001</v>
      </c>
      <c r="AK21" s="184">
        <f>0.67*B21</f>
        <v>3556.5476</v>
      </c>
      <c r="AL21" s="184">
        <f>B21*0.2</f>
        <v>1061.656</v>
      </c>
      <c r="AM21" s="184">
        <f t="shared" si="5"/>
        <v>5308.28</v>
      </c>
      <c r="AN21" s="184">
        <f t="shared" si="6"/>
        <v>1114.7387999999999</v>
      </c>
      <c r="AO21" s="184">
        <f t="shared" si="7"/>
        <v>10722.7256</v>
      </c>
      <c r="AP21" s="184">
        <f t="shared" si="8"/>
        <v>5467.5284</v>
      </c>
      <c r="AQ21" s="184">
        <f t="shared" si="9"/>
        <v>3981.21</v>
      </c>
      <c r="AR21" s="184">
        <f t="shared" si="10"/>
        <v>3981.21</v>
      </c>
      <c r="AS21" s="257">
        <f>B21*1.15</f>
        <v>6104.521999999999</v>
      </c>
      <c r="AT21" s="227">
        <f t="shared" si="15"/>
        <v>567.225</v>
      </c>
      <c r="AU21" s="228"/>
      <c r="AV21" s="228"/>
      <c r="AW21" s="228"/>
      <c r="AX21" s="228"/>
      <c r="AY21" s="228"/>
      <c r="AZ21" s="116"/>
      <c r="BA21" s="229"/>
      <c r="BB21" s="229"/>
      <c r="BC21" s="177">
        <f t="shared" si="11"/>
        <v>41865.64339999999</v>
      </c>
      <c r="BD21" s="230">
        <f>'[13]Т12'!$S$9+'[13]Т12'!$S$14+'[13]Т12'!$S$114+'[13]Т12'!$S$212</f>
        <v>1225.283</v>
      </c>
      <c r="BE21" s="190">
        <f t="shared" si="12"/>
        <v>43090.9264</v>
      </c>
      <c r="BF21" s="190">
        <f t="shared" si="13"/>
        <v>14635.565599999994</v>
      </c>
      <c r="BG21" s="190">
        <f t="shared" si="14"/>
        <v>8916.349999999991</v>
      </c>
    </row>
    <row r="22" spans="1:59" s="16" customFormat="1" ht="13.5" thickBot="1">
      <c r="A22" s="262" t="s">
        <v>3</v>
      </c>
      <c r="B22" s="263"/>
      <c r="C22" s="264">
        <f aca="true" t="shared" si="18" ref="C22:BF22">SUM(C10:C21)</f>
        <v>544627.818</v>
      </c>
      <c r="D22" s="264">
        <f t="shared" si="18"/>
        <v>3199.5360000000005</v>
      </c>
      <c r="E22" s="264">
        <f t="shared" si="18"/>
        <v>4.14</v>
      </c>
      <c r="F22" s="264">
        <f t="shared" si="18"/>
        <v>0</v>
      </c>
      <c r="G22" s="264">
        <f t="shared" si="18"/>
        <v>310064.16000000003</v>
      </c>
      <c r="H22" s="264">
        <f t="shared" si="18"/>
        <v>0</v>
      </c>
      <c r="I22" s="264">
        <f t="shared" si="18"/>
        <v>5.16</v>
      </c>
      <c r="J22" s="264">
        <f t="shared" si="18"/>
        <v>0</v>
      </c>
      <c r="K22" s="264">
        <f t="shared" si="18"/>
        <v>8.91</v>
      </c>
      <c r="L22" s="264">
        <f t="shared" si="18"/>
        <v>0</v>
      </c>
      <c r="M22" s="264">
        <f t="shared" si="18"/>
        <v>162932.42</v>
      </c>
      <c r="N22" s="264">
        <f t="shared" si="18"/>
        <v>0</v>
      </c>
      <c r="O22" s="264">
        <f t="shared" si="18"/>
        <v>57021.19</v>
      </c>
      <c r="P22" s="264">
        <f t="shared" si="18"/>
        <v>0</v>
      </c>
      <c r="Q22" s="264">
        <f t="shared" si="18"/>
        <v>0</v>
      </c>
      <c r="R22" s="264">
        <f t="shared" si="18"/>
        <v>0</v>
      </c>
      <c r="S22" s="264">
        <f t="shared" si="18"/>
        <v>1200</v>
      </c>
      <c r="T22" s="264">
        <f t="shared" si="18"/>
        <v>0</v>
      </c>
      <c r="U22" s="264">
        <f t="shared" si="18"/>
        <v>531235.9799999999</v>
      </c>
      <c r="V22" s="264">
        <f t="shared" si="18"/>
        <v>0</v>
      </c>
      <c r="W22" s="264">
        <f t="shared" si="18"/>
        <v>7000.95</v>
      </c>
      <c r="X22" s="264">
        <f t="shared" si="18"/>
        <v>295254.94</v>
      </c>
      <c r="Y22" s="264">
        <f t="shared" si="18"/>
        <v>9459.44</v>
      </c>
      <c r="Z22" s="264">
        <f t="shared" si="18"/>
        <v>15748.37</v>
      </c>
      <c r="AA22" s="264">
        <f t="shared" si="18"/>
        <v>161954.31000000003</v>
      </c>
      <c r="AB22" s="264">
        <f t="shared" si="18"/>
        <v>55381.619999999995</v>
      </c>
      <c r="AC22" s="264">
        <f t="shared" si="18"/>
        <v>0</v>
      </c>
      <c r="AD22" s="264">
        <f t="shared" si="18"/>
        <v>0</v>
      </c>
      <c r="AE22" s="264">
        <f t="shared" si="18"/>
        <v>999.8800000000001</v>
      </c>
      <c r="AF22" s="264">
        <f t="shared" si="18"/>
        <v>545799.51</v>
      </c>
      <c r="AG22" s="264">
        <f t="shared" si="18"/>
        <v>548999.046</v>
      </c>
      <c r="AH22" s="264">
        <f t="shared" si="18"/>
        <v>0</v>
      </c>
      <c r="AI22" s="264">
        <f t="shared" si="18"/>
        <v>0</v>
      </c>
      <c r="AJ22" s="264">
        <f t="shared" si="18"/>
        <v>21308.928</v>
      </c>
      <c r="AK22" s="264">
        <f t="shared" si="18"/>
        <v>42678.43719999999</v>
      </c>
      <c r="AL22" s="264">
        <f t="shared" si="18"/>
        <v>12739.832000000002</v>
      </c>
      <c r="AM22" s="264">
        <f t="shared" si="18"/>
        <v>63699.16</v>
      </c>
      <c r="AN22" s="264">
        <f t="shared" si="18"/>
        <v>13376.823599999998</v>
      </c>
      <c r="AO22" s="264">
        <f t="shared" si="18"/>
        <v>128672.30320000002</v>
      </c>
      <c r="AP22" s="264">
        <f t="shared" si="18"/>
        <v>65610.13480000001</v>
      </c>
      <c r="AQ22" s="264">
        <f t="shared" si="18"/>
        <v>47774.369999999995</v>
      </c>
      <c r="AR22" s="264">
        <f t="shared" si="18"/>
        <v>47774.369999999995</v>
      </c>
      <c r="AS22" s="264">
        <f t="shared" si="18"/>
        <v>36624.831999999995</v>
      </c>
      <c r="AT22" s="264">
        <f t="shared" si="18"/>
        <v>6806.700000000002</v>
      </c>
      <c r="AU22" s="264">
        <f t="shared" si="18"/>
        <v>15747</v>
      </c>
      <c r="AV22" s="264">
        <f t="shared" si="18"/>
        <v>5068</v>
      </c>
      <c r="AW22" s="264">
        <f t="shared" si="18"/>
        <v>5709</v>
      </c>
      <c r="AX22" s="264">
        <f t="shared" si="18"/>
        <v>5286.065</v>
      </c>
      <c r="AY22" s="264">
        <f t="shared" si="18"/>
        <v>0</v>
      </c>
      <c r="AZ22" s="264">
        <f t="shared" si="18"/>
        <v>0</v>
      </c>
      <c r="BA22" s="264">
        <f t="shared" si="18"/>
        <v>0</v>
      </c>
      <c r="BB22" s="264">
        <f t="shared" si="18"/>
        <v>0</v>
      </c>
      <c r="BC22" s="264">
        <f t="shared" si="18"/>
        <v>497567.0278</v>
      </c>
      <c r="BD22" s="264">
        <f t="shared" si="18"/>
        <v>14703.395999999995</v>
      </c>
      <c r="BE22" s="264">
        <f t="shared" si="18"/>
        <v>512270.42379999993</v>
      </c>
      <c r="BF22" s="264">
        <f t="shared" si="18"/>
        <v>58037.55019999993</v>
      </c>
      <c r="BG22" s="264">
        <f>SUM(BG10:BG21)</f>
        <v>14563.530000000006</v>
      </c>
    </row>
    <row r="23" spans="1:59" s="16" customFormat="1" ht="13.5" thickBot="1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7"/>
      <c r="BF23" s="266"/>
      <c r="BG23" s="268"/>
    </row>
    <row r="24" spans="1:59" s="16" customFormat="1" ht="13.5" thickBot="1">
      <c r="A24" s="18" t="s">
        <v>52</v>
      </c>
      <c r="B24" s="266"/>
      <c r="C24" s="269">
        <f aca="true" t="shared" si="19" ref="C24:BG24">C22+C8</f>
        <v>1783294.324</v>
      </c>
      <c r="D24" s="269">
        <f t="shared" si="19"/>
        <v>213616.68570645005</v>
      </c>
      <c r="E24" s="269">
        <f t="shared" si="19"/>
        <v>107919.94</v>
      </c>
      <c r="F24" s="269">
        <f t="shared" si="19"/>
        <v>19175.72</v>
      </c>
      <c r="G24" s="269">
        <f t="shared" si="19"/>
        <v>310064.16000000003</v>
      </c>
      <c r="H24" s="269">
        <f t="shared" si="19"/>
        <v>0</v>
      </c>
      <c r="I24" s="269">
        <f t="shared" si="19"/>
        <v>146027.67</v>
      </c>
      <c r="J24" s="269">
        <f t="shared" si="19"/>
        <v>25960.870000000003</v>
      </c>
      <c r="K24" s="269">
        <f t="shared" si="19"/>
        <v>243159.65</v>
      </c>
      <c r="L24" s="269">
        <f t="shared" si="19"/>
        <v>43217.83</v>
      </c>
      <c r="M24" s="269">
        <f t="shared" si="19"/>
        <v>513996.87</v>
      </c>
      <c r="N24" s="269">
        <f t="shared" si="19"/>
        <v>61392.56</v>
      </c>
      <c r="O24" s="269">
        <f t="shared" si="19"/>
        <v>143354.74</v>
      </c>
      <c r="P24" s="269">
        <f t="shared" si="19"/>
        <v>15339.450000000003</v>
      </c>
      <c r="Q24" s="269">
        <f t="shared" si="19"/>
        <v>0</v>
      </c>
      <c r="R24" s="269">
        <f t="shared" si="19"/>
        <v>0</v>
      </c>
      <c r="S24" s="269">
        <f t="shared" si="19"/>
        <v>1200</v>
      </c>
      <c r="T24" s="269">
        <f t="shared" si="19"/>
        <v>0</v>
      </c>
      <c r="U24" s="269">
        <f t="shared" si="19"/>
        <v>1465723.0299999998</v>
      </c>
      <c r="V24" s="269">
        <f t="shared" si="19"/>
        <v>165086.43</v>
      </c>
      <c r="W24" s="269">
        <f t="shared" si="19"/>
        <v>107560.59999999999</v>
      </c>
      <c r="X24" s="269">
        <f t="shared" si="19"/>
        <v>295254.94</v>
      </c>
      <c r="Y24" s="269">
        <f t="shared" si="19"/>
        <v>145532.78000000003</v>
      </c>
      <c r="Z24" s="269">
        <f t="shared" si="19"/>
        <v>242868.72999999998</v>
      </c>
      <c r="AA24" s="269">
        <f t="shared" si="19"/>
        <v>492939.45000000007</v>
      </c>
      <c r="AB24" s="269">
        <f t="shared" si="19"/>
        <v>135875.46</v>
      </c>
      <c r="AC24" s="269">
        <f t="shared" si="19"/>
        <v>0</v>
      </c>
      <c r="AD24" s="269">
        <f t="shared" si="19"/>
        <v>0</v>
      </c>
      <c r="AE24" s="269">
        <f t="shared" si="19"/>
        <v>999.8800000000001</v>
      </c>
      <c r="AF24" s="269">
        <f t="shared" si="19"/>
        <v>1421031.8399999999</v>
      </c>
      <c r="AG24" s="269">
        <f t="shared" si="19"/>
        <v>1799734.9557064502</v>
      </c>
      <c r="AH24" s="269">
        <f t="shared" si="19"/>
        <v>0</v>
      </c>
      <c r="AI24" s="269">
        <f t="shared" si="19"/>
        <v>0</v>
      </c>
      <c r="AJ24" s="269">
        <f t="shared" si="19"/>
        <v>67794.95289999999</v>
      </c>
      <c r="AK24" s="269">
        <f t="shared" si="19"/>
        <v>127324.8352</v>
      </c>
      <c r="AL24" s="269">
        <f t="shared" si="19"/>
        <v>41103.29255900001</v>
      </c>
      <c r="AM24" s="269">
        <f t="shared" si="19"/>
        <v>204215.480314185</v>
      </c>
      <c r="AN24" s="269">
        <f t="shared" si="19"/>
        <v>13376.823599999998</v>
      </c>
      <c r="AO24" s="269">
        <f t="shared" si="19"/>
        <v>268826.34373379423</v>
      </c>
      <c r="AP24" s="269">
        <f t="shared" si="19"/>
        <v>379144.23243975395</v>
      </c>
      <c r="AQ24" s="269">
        <f t="shared" si="19"/>
        <v>47774.369999999995</v>
      </c>
      <c r="AR24" s="269">
        <f t="shared" si="19"/>
        <v>47774.369999999995</v>
      </c>
      <c r="AS24" s="269">
        <f t="shared" si="19"/>
        <v>36624.831999999995</v>
      </c>
      <c r="AT24" s="269">
        <f t="shared" si="19"/>
        <v>20586.492</v>
      </c>
      <c r="AU24" s="269">
        <f t="shared" si="19"/>
        <v>318102.0488</v>
      </c>
      <c r="AV24" s="269">
        <f t="shared" si="19"/>
        <v>5068</v>
      </c>
      <c r="AW24" s="269">
        <f t="shared" si="19"/>
        <v>191347.08</v>
      </c>
      <c r="AX24" s="269">
        <f t="shared" si="19"/>
        <v>74031.6418</v>
      </c>
      <c r="AY24" s="269">
        <f t="shared" si="19"/>
        <v>38918.884000000005</v>
      </c>
      <c r="AZ24" s="269">
        <f t="shared" si="19"/>
        <v>0</v>
      </c>
      <c r="BA24" s="269">
        <f t="shared" si="19"/>
        <v>0</v>
      </c>
      <c r="BB24" s="269">
        <f t="shared" si="19"/>
        <v>0</v>
      </c>
      <c r="BC24" s="269">
        <f t="shared" si="19"/>
        <v>1814218.726446733</v>
      </c>
      <c r="BD24" s="269">
        <f t="shared" si="19"/>
        <v>36744.6761911848</v>
      </c>
      <c r="BE24" s="269">
        <f t="shared" si="19"/>
        <v>1850963.4026379178</v>
      </c>
      <c r="BF24" s="269">
        <f t="shared" si="19"/>
        <v>16566.50596853203</v>
      </c>
      <c r="BG24" s="270">
        <f t="shared" si="19"/>
        <v>-44691.19</v>
      </c>
    </row>
    <row r="25" spans="1:59" ht="12.75">
      <c r="A25" s="5" t="s">
        <v>127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184">
        <f>'[10]Лист1'!AB60</f>
        <v>0</v>
      </c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10"/>
      <c r="BF25" s="208"/>
      <c r="BG25" s="211"/>
    </row>
    <row r="26" spans="1:59" ht="12.75">
      <c r="A26" s="212" t="s">
        <v>43</v>
      </c>
      <c r="B26" s="176">
        <v>5308.28</v>
      </c>
      <c r="C26" s="152">
        <f aca="true" t="shared" si="20" ref="C26:C31">B26*8.55</f>
        <v>45385.794</v>
      </c>
      <c r="D26" s="258">
        <v>266.628</v>
      </c>
      <c r="E26" s="235"/>
      <c r="F26" s="235"/>
      <c r="G26" s="235">
        <v>28216.74</v>
      </c>
      <c r="H26" s="235"/>
      <c r="I26" s="235"/>
      <c r="J26" s="235"/>
      <c r="K26" s="235"/>
      <c r="L26" s="235"/>
      <c r="M26" s="235">
        <v>13703.54</v>
      </c>
      <c r="N26" s="235"/>
      <c r="O26" s="235">
        <v>4753.83</v>
      </c>
      <c r="P26" s="235"/>
      <c r="Q26" s="235"/>
      <c r="R26" s="235"/>
      <c r="S26" s="241">
        <v>100</v>
      </c>
      <c r="T26" s="261"/>
      <c r="U26" s="255">
        <f aca="true" t="shared" si="21" ref="U26:V31">E26+G26+I26+K26+M26+O26+Q26+S26</f>
        <v>46774.11</v>
      </c>
      <c r="V26" s="256">
        <f t="shared" si="21"/>
        <v>0</v>
      </c>
      <c r="W26" s="235">
        <v>0</v>
      </c>
      <c r="X26" s="235">
        <v>24382.28</v>
      </c>
      <c r="Y26" s="235">
        <v>0</v>
      </c>
      <c r="Z26" s="235">
        <v>0</v>
      </c>
      <c r="AA26" s="235">
        <v>11827.33</v>
      </c>
      <c r="AB26" s="235">
        <v>4053.56</v>
      </c>
      <c r="AC26" s="235"/>
      <c r="AD26" s="235"/>
      <c r="AE26" s="241">
        <v>100.03</v>
      </c>
      <c r="AF26" s="242">
        <f aca="true" t="shared" si="22" ref="AF26:AF31">SUM(W26:AE26)</f>
        <v>40363.2</v>
      </c>
      <c r="AG26" s="249">
        <f aca="true" t="shared" si="23" ref="AG26:AG37">D26+V26+AF26</f>
        <v>40629.827999999994</v>
      </c>
      <c r="AH26" s="225">
        <f aca="true" t="shared" si="24" ref="AH26:AI37">AC26</f>
        <v>0</v>
      </c>
      <c r="AI26" s="225">
        <f t="shared" si="24"/>
        <v>0</v>
      </c>
      <c r="AJ26" s="226">
        <f>'[17]Т01'!$J$4+'[17]Т01'!$J$82+'[17]Т01'!$J$129+'[17]Т01'!$J$138+'[17]Т01'!$J$214</f>
        <v>2239.7650000000003</v>
      </c>
      <c r="AK26" s="184">
        <f aca="true" t="shared" si="25" ref="AK26:AK31">0.67*B26</f>
        <v>3556.5476</v>
      </c>
      <c r="AL26" s="184">
        <f aca="true" t="shared" si="26" ref="AL26:AL37">B26*0.2</f>
        <v>1061.656</v>
      </c>
      <c r="AM26" s="184">
        <f aca="true" t="shared" si="27" ref="AM26:AM37">B26*1</f>
        <v>5308.28</v>
      </c>
      <c r="AN26" s="184">
        <f aca="true" t="shared" si="28" ref="AN26:AN37">B26*0.21</f>
        <v>1114.7387999999999</v>
      </c>
      <c r="AO26" s="184">
        <f aca="true" t="shared" si="29" ref="AO26:AO37">2.02*B26</f>
        <v>10722.7256</v>
      </c>
      <c r="AP26" s="184">
        <f aca="true" t="shared" si="30" ref="AP26:AP37">B26*1.03</f>
        <v>5467.5284</v>
      </c>
      <c r="AQ26" s="184">
        <f aca="true" t="shared" si="31" ref="AQ26:AQ37">B26*0.75</f>
        <v>3981.21</v>
      </c>
      <c r="AR26" s="184">
        <f aca="true" t="shared" si="32" ref="AR26:AR37">B26*0.75</f>
        <v>3981.21</v>
      </c>
      <c r="AS26" s="257">
        <f>B26*1.15</f>
        <v>6104.521999999999</v>
      </c>
      <c r="AT26" s="227">
        <f>0.45*1260.5</f>
        <v>567.225</v>
      </c>
      <c r="AU26" s="228"/>
      <c r="AV26" s="228"/>
      <c r="AW26" s="228"/>
      <c r="AX26" s="228"/>
      <c r="AY26" s="228"/>
      <c r="AZ26" s="228"/>
      <c r="BA26" s="116"/>
      <c r="BB26" s="229"/>
      <c r="BC26" s="243">
        <f>SUM(AK26:BB26)</f>
        <v>41865.64339999999</v>
      </c>
      <c r="BD26" s="230">
        <f>'[17]Т01'!$S$4+'[17]Т01'!$S$82+'[17]Т01'!$S$129+'[17]Т01'!$S$138+'[17]Т01'!$S$214</f>
        <v>1225.283</v>
      </c>
      <c r="BE26" s="190">
        <f>BC26+BD26</f>
        <v>43090.9264</v>
      </c>
      <c r="BF26" s="190">
        <f>AG26+AJ26-BE26</f>
        <v>-221.33340000000317</v>
      </c>
      <c r="BG26" s="190">
        <f>AF26-U26</f>
        <v>-6410.9100000000035</v>
      </c>
    </row>
    <row r="27" spans="1:59" ht="12.75">
      <c r="A27" s="212" t="s">
        <v>44</v>
      </c>
      <c r="B27" s="176">
        <v>5308.28</v>
      </c>
      <c r="C27" s="152">
        <f t="shared" si="20"/>
        <v>45385.794</v>
      </c>
      <c r="D27" s="258">
        <v>266.628</v>
      </c>
      <c r="E27" s="244"/>
      <c r="F27" s="244"/>
      <c r="G27" s="244">
        <v>28212.23</v>
      </c>
      <c r="H27" s="244"/>
      <c r="I27" s="244"/>
      <c r="J27" s="244"/>
      <c r="K27" s="244"/>
      <c r="L27" s="244"/>
      <c r="M27" s="244">
        <v>13701.32</v>
      </c>
      <c r="N27" s="244"/>
      <c r="O27" s="244">
        <v>4753.04</v>
      </c>
      <c r="P27" s="244"/>
      <c r="Q27" s="244"/>
      <c r="R27" s="244"/>
      <c r="S27" s="245">
        <v>100</v>
      </c>
      <c r="T27" s="261"/>
      <c r="U27" s="255">
        <f t="shared" si="21"/>
        <v>46766.590000000004</v>
      </c>
      <c r="V27" s="256">
        <f t="shared" si="21"/>
        <v>0</v>
      </c>
      <c r="W27" s="244">
        <v>0</v>
      </c>
      <c r="X27" s="244">
        <v>24606.12</v>
      </c>
      <c r="Y27" s="244">
        <v>0</v>
      </c>
      <c r="Z27" s="244">
        <v>0</v>
      </c>
      <c r="AA27" s="244">
        <v>11950.02</v>
      </c>
      <c r="AB27" s="244">
        <v>4145.56</v>
      </c>
      <c r="AC27" s="244"/>
      <c r="AD27" s="244"/>
      <c r="AE27" s="245">
        <v>99.99</v>
      </c>
      <c r="AF27" s="242">
        <f t="shared" si="22"/>
        <v>40801.689999999995</v>
      </c>
      <c r="AG27" s="249">
        <f t="shared" si="23"/>
        <v>41068.31799999999</v>
      </c>
      <c r="AH27" s="225">
        <f t="shared" si="24"/>
        <v>0</v>
      </c>
      <c r="AI27" s="225">
        <f t="shared" si="24"/>
        <v>0</v>
      </c>
      <c r="AJ27" s="226">
        <f>'[17]Т01'!$J$4+'[17]Т01'!$J$82+'[17]Т01'!$J$129+'[17]Т01'!$J$138+'[17]Т01'!$J$214</f>
        <v>2239.7650000000003</v>
      </c>
      <c r="AK27" s="179">
        <f t="shared" si="25"/>
        <v>3556.5476</v>
      </c>
      <c r="AL27" s="184">
        <f t="shared" si="26"/>
        <v>1061.656</v>
      </c>
      <c r="AM27" s="184">
        <f t="shared" si="27"/>
        <v>5308.28</v>
      </c>
      <c r="AN27" s="184">
        <f t="shared" si="28"/>
        <v>1114.7387999999999</v>
      </c>
      <c r="AO27" s="184">
        <f t="shared" si="29"/>
        <v>10722.7256</v>
      </c>
      <c r="AP27" s="184">
        <f t="shared" si="30"/>
        <v>5467.5284</v>
      </c>
      <c r="AQ27" s="184">
        <f t="shared" si="31"/>
        <v>3981.21</v>
      </c>
      <c r="AR27" s="184">
        <f t="shared" si="32"/>
        <v>3981.21</v>
      </c>
      <c r="AS27" s="257">
        <f>B27*1.15</f>
        <v>6104.521999999999</v>
      </c>
      <c r="AT27" s="227">
        <f>0.45*1260.5</f>
        <v>567.225</v>
      </c>
      <c r="AU27" s="472">
        <v>5245</v>
      </c>
      <c r="AV27" s="228"/>
      <c r="AW27" s="228"/>
      <c r="AX27" s="228">
        <f>1500+2149</f>
        <v>3649</v>
      </c>
      <c r="AY27" s="228"/>
      <c r="AZ27" s="228"/>
      <c r="BA27" s="116"/>
      <c r="BB27" s="229"/>
      <c r="BC27" s="177">
        <f>SUM(AK27:BB27)</f>
        <v>50759.64339999999</v>
      </c>
      <c r="BD27" s="230">
        <f>'[17]Т01'!$S$4+'[17]Т01'!$S$82+'[17]Т01'!$S$129+'[17]Т01'!$S$138+'[17]Т01'!$S$214</f>
        <v>1225.283</v>
      </c>
      <c r="BE27" s="190">
        <f aca="true" t="shared" si="33" ref="BE27:BE37">BC27+BD27</f>
        <v>51984.9264</v>
      </c>
      <c r="BF27" s="190">
        <f aca="true" t="shared" si="34" ref="BF27:BF37">AG27+AJ27-BE27</f>
        <v>-8676.843400000005</v>
      </c>
      <c r="BG27" s="190">
        <f aca="true" t="shared" si="35" ref="BG27:BG37">AF27-U27</f>
        <v>-5964.900000000009</v>
      </c>
    </row>
    <row r="28" spans="1:59" ht="12.75">
      <c r="A28" s="212" t="s">
        <v>45</v>
      </c>
      <c r="B28" s="176">
        <v>5308.28</v>
      </c>
      <c r="C28" s="152">
        <f t="shared" si="20"/>
        <v>45385.794</v>
      </c>
      <c r="D28" s="258">
        <v>266.628</v>
      </c>
      <c r="E28" s="244"/>
      <c r="F28" s="244"/>
      <c r="G28" s="244">
        <v>28198.99</v>
      </c>
      <c r="H28" s="244"/>
      <c r="I28" s="244"/>
      <c r="J28" s="244"/>
      <c r="K28" s="244"/>
      <c r="L28" s="244"/>
      <c r="M28" s="244">
        <v>13694.8</v>
      </c>
      <c r="N28" s="244"/>
      <c r="O28" s="244">
        <v>4750.72</v>
      </c>
      <c r="P28" s="244"/>
      <c r="Q28" s="244"/>
      <c r="R28" s="244"/>
      <c r="S28" s="245">
        <v>100</v>
      </c>
      <c r="T28" s="261"/>
      <c r="U28" s="255">
        <f t="shared" si="21"/>
        <v>46744.51</v>
      </c>
      <c r="V28" s="256">
        <f t="shared" si="21"/>
        <v>0</v>
      </c>
      <c r="W28" s="235">
        <v>0</v>
      </c>
      <c r="X28" s="235">
        <v>29919.33</v>
      </c>
      <c r="Y28" s="235">
        <v>0</v>
      </c>
      <c r="Z28" s="235">
        <v>0</v>
      </c>
      <c r="AA28" s="235">
        <v>11901.9</v>
      </c>
      <c r="AB28" s="235">
        <v>4121.71</v>
      </c>
      <c r="AC28" s="235"/>
      <c r="AD28" s="235"/>
      <c r="AE28" s="241">
        <v>99.89</v>
      </c>
      <c r="AF28" s="242">
        <f t="shared" si="22"/>
        <v>46042.83</v>
      </c>
      <c r="AG28" s="249">
        <f t="shared" si="23"/>
        <v>46309.458</v>
      </c>
      <c r="AH28" s="225">
        <f t="shared" si="24"/>
        <v>0</v>
      </c>
      <c r="AI28" s="225">
        <f t="shared" si="24"/>
        <v>0</v>
      </c>
      <c r="AJ28" s="226">
        <f>'[17]Т03'!$J$4+'[17]Т03'!$J$80+'[17]Т03'!$J$130+'[17]Т03'!$J$139+'[17]Т03'!$J$215</f>
        <v>2961.9350000000004</v>
      </c>
      <c r="AK28" s="179">
        <f t="shared" si="25"/>
        <v>3556.5476</v>
      </c>
      <c r="AL28" s="184">
        <f t="shared" si="26"/>
        <v>1061.656</v>
      </c>
      <c r="AM28" s="184">
        <f t="shared" si="27"/>
        <v>5308.28</v>
      </c>
      <c r="AN28" s="184">
        <f t="shared" si="28"/>
        <v>1114.7387999999999</v>
      </c>
      <c r="AO28" s="184">
        <f t="shared" si="29"/>
        <v>10722.7256</v>
      </c>
      <c r="AP28" s="184">
        <f t="shared" si="30"/>
        <v>5467.5284</v>
      </c>
      <c r="AQ28" s="184">
        <f t="shared" si="31"/>
        <v>3981.21</v>
      </c>
      <c r="AR28" s="184">
        <f t="shared" si="32"/>
        <v>3981.21</v>
      </c>
      <c r="AS28" s="257">
        <f>B28*1.15</f>
        <v>6104.521999999999</v>
      </c>
      <c r="AT28" s="227">
        <f>0.45*1260.5</f>
        <v>567.225</v>
      </c>
      <c r="AU28" s="472">
        <v>2244</v>
      </c>
      <c r="AV28" s="228"/>
      <c r="AW28" s="228">
        <v>554.76</v>
      </c>
      <c r="AX28" s="228">
        <f>1238+148.07+151.22</f>
        <v>1537.29</v>
      </c>
      <c r="AY28" s="228"/>
      <c r="AZ28" s="228"/>
      <c r="BA28" s="116"/>
      <c r="BB28" s="229"/>
      <c r="BC28" s="243">
        <f>SUM(AK28:BB28)</f>
        <v>46201.6934</v>
      </c>
      <c r="BD28" s="230">
        <f>'[17]Т03'!$S$4+'[17]Т03'!$S$80+'[17]Т03'!$S$130+'[17]Т03'!$S$139+'[17]Т03'!$S$215</f>
        <v>1631.857</v>
      </c>
      <c r="BE28" s="190">
        <f t="shared" si="33"/>
        <v>47833.55039999999</v>
      </c>
      <c r="BF28" s="190">
        <f t="shared" si="34"/>
        <v>1437.8426000000036</v>
      </c>
      <c r="BG28" s="190">
        <f t="shared" si="35"/>
        <v>-701.6800000000003</v>
      </c>
    </row>
    <row r="29" spans="1:59" ht="12.75">
      <c r="A29" s="212" t="s">
        <v>46</v>
      </c>
      <c r="B29" s="176">
        <v>5308.28</v>
      </c>
      <c r="C29" s="152">
        <f t="shared" si="20"/>
        <v>45385.794</v>
      </c>
      <c r="D29" s="258">
        <v>266.628</v>
      </c>
      <c r="E29" s="244"/>
      <c r="F29" s="244"/>
      <c r="G29" s="244">
        <v>28206.83</v>
      </c>
      <c r="H29" s="244"/>
      <c r="I29" s="244"/>
      <c r="J29" s="244"/>
      <c r="K29" s="244"/>
      <c r="L29" s="244"/>
      <c r="M29" s="244">
        <v>13698.66</v>
      </c>
      <c r="N29" s="244"/>
      <c r="O29" s="244">
        <v>4752.09</v>
      </c>
      <c r="P29" s="244"/>
      <c r="Q29" s="244"/>
      <c r="R29" s="244"/>
      <c r="S29" s="245">
        <v>200</v>
      </c>
      <c r="T29" s="261"/>
      <c r="U29" s="255">
        <f t="shared" si="21"/>
        <v>46857.58</v>
      </c>
      <c r="V29" s="256">
        <f t="shared" si="21"/>
        <v>0</v>
      </c>
      <c r="W29" s="259">
        <v>0</v>
      </c>
      <c r="X29" s="259">
        <v>26564.7</v>
      </c>
      <c r="Y29" s="259">
        <v>0</v>
      </c>
      <c r="Z29" s="259">
        <v>0</v>
      </c>
      <c r="AA29" s="259">
        <v>11856.27</v>
      </c>
      <c r="AB29" s="259">
        <v>4071.83</v>
      </c>
      <c r="AC29" s="259"/>
      <c r="AD29" s="259"/>
      <c r="AE29" s="260">
        <v>100</v>
      </c>
      <c r="AF29" s="242">
        <f t="shared" si="22"/>
        <v>42592.8</v>
      </c>
      <c r="AG29" s="249">
        <f t="shared" si="23"/>
        <v>42859.428</v>
      </c>
      <c r="AH29" s="225">
        <f t="shared" si="24"/>
        <v>0</v>
      </c>
      <c r="AI29" s="225">
        <f t="shared" si="24"/>
        <v>0</v>
      </c>
      <c r="AJ29" s="226">
        <f>'[17]Т03'!$J$4+'[17]Т03'!$J$80+'[17]Т03'!$J$130+'[17]Т03'!$J$139+'[17]Т03'!$J$215</f>
        <v>2961.9350000000004</v>
      </c>
      <c r="AK29" s="179">
        <f t="shared" si="25"/>
        <v>3556.5476</v>
      </c>
      <c r="AL29" s="184">
        <f t="shared" si="26"/>
        <v>1061.656</v>
      </c>
      <c r="AM29" s="184">
        <f t="shared" si="27"/>
        <v>5308.28</v>
      </c>
      <c r="AN29" s="184">
        <f t="shared" si="28"/>
        <v>1114.7387999999999</v>
      </c>
      <c r="AO29" s="184">
        <f t="shared" si="29"/>
        <v>10722.7256</v>
      </c>
      <c r="AP29" s="184">
        <f t="shared" si="30"/>
        <v>5467.5284</v>
      </c>
      <c r="AQ29" s="184">
        <f t="shared" si="31"/>
        <v>3981.21</v>
      </c>
      <c r="AR29" s="184">
        <f t="shared" si="32"/>
        <v>3981.21</v>
      </c>
      <c r="AS29" s="257"/>
      <c r="AT29" s="227">
        <f>0.45*1260.5</f>
        <v>567.225</v>
      </c>
      <c r="AU29" s="472">
        <v>692</v>
      </c>
      <c r="AV29" s="228"/>
      <c r="AW29" s="228">
        <v>12497</v>
      </c>
      <c r="AX29" s="228">
        <f>168+42.75+500+619.69</f>
        <v>1330.44</v>
      </c>
      <c r="AY29" s="228"/>
      <c r="AZ29" s="228"/>
      <c r="BA29" s="116"/>
      <c r="BB29" s="229"/>
      <c r="BC29" s="243">
        <f>SUM(AK29:BB29)</f>
        <v>50280.5614</v>
      </c>
      <c r="BD29" s="230">
        <f>'[17]Т03'!$S$4+'[17]Т03'!$S$80+'[17]Т03'!$S$130+'[17]Т03'!$S$139+'[17]Т03'!$S$215</f>
        <v>1631.857</v>
      </c>
      <c r="BE29" s="190">
        <f t="shared" si="33"/>
        <v>51912.418399999995</v>
      </c>
      <c r="BF29" s="190">
        <f t="shared" si="34"/>
        <v>-6091.0553999999975</v>
      </c>
      <c r="BG29" s="190">
        <f t="shared" si="35"/>
        <v>-4264.779999999999</v>
      </c>
    </row>
    <row r="30" spans="1:59" ht="12.75">
      <c r="A30" s="212" t="s">
        <v>47</v>
      </c>
      <c r="B30" s="176">
        <v>5308.28</v>
      </c>
      <c r="C30" s="152">
        <f t="shared" si="20"/>
        <v>45385.794</v>
      </c>
      <c r="D30" s="258">
        <v>266.628</v>
      </c>
      <c r="E30" s="244"/>
      <c r="F30" s="244"/>
      <c r="G30" s="244">
        <v>28214.34</v>
      </c>
      <c r="H30" s="244"/>
      <c r="I30" s="244"/>
      <c r="J30" s="244"/>
      <c r="K30" s="244"/>
      <c r="L30" s="244"/>
      <c r="M30" s="244">
        <v>13702.34</v>
      </c>
      <c r="N30" s="244"/>
      <c r="O30" s="244">
        <v>4753.41</v>
      </c>
      <c r="P30" s="244"/>
      <c r="Q30" s="244"/>
      <c r="R30" s="244"/>
      <c r="S30" s="245">
        <v>200</v>
      </c>
      <c r="T30" s="261"/>
      <c r="U30" s="255">
        <f t="shared" si="21"/>
        <v>46870.09</v>
      </c>
      <c r="V30" s="256">
        <f t="shared" si="21"/>
        <v>0</v>
      </c>
      <c r="W30" s="259">
        <v>0</v>
      </c>
      <c r="X30" s="259">
        <v>31324.83</v>
      </c>
      <c r="Y30" s="259">
        <v>0</v>
      </c>
      <c r="Z30" s="259">
        <v>0</v>
      </c>
      <c r="AA30" s="259">
        <v>13623.25</v>
      </c>
      <c r="AB30" s="259">
        <v>4725.89</v>
      </c>
      <c r="AC30" s="259"/>
      <c r="AD30" s="259"/>
      <c r="AE30" s="259">
        <v>200.03</v>
      </c>
      <c r="AF30" s="242">
        <f t="shared" si="22"/>
        <v>49874</v>
      </c>
      <c r="AG30" s="249">
        <f t="shared" si="23"/>
        <v>50140.628</v>
      </c>
      <c r="AH30" s="225">
        <f t="shared" si="24"/>
        <v>0</v>
      </c>
      <c r="AI30" s="225">
        <f t="shared" si="24"/>
        <v>0</v>
      </c>
      <c r="AJ30" s="226">
        <f>'[17]Т05'!$J$4+'[17]Т05'!$J$80+'[17]Т05'!$J$130+'[17]Т05'!$J$139+'[17]Т05'!$J$221</f>
        <v>2961.9350000000004</v>
      </c>
      <c r="AK30" s="179">
        <f t="shared" si="25"/>
        <v>3556.5476</v>
      </c>
      <c r="AL30" s="184">
        <f t="shared" si="26"/>
        <v>1061.656</v>
      </c>
      <c r="AM30" s="184">
        <f t="shared" si="27"/>
        <v>5308.28</v>
      </c>
      <c r="AN30" s="184">
        <f t="shared" si="28"/>
        <v>1114.7387999999999</v>
      </c>
      <c r="AO30" s="184">
        <f t="shared" si="29"/>
        <v>10722.7256</v>
      </c>
      <c r="AP30" s="184">
        <f t="shared" si="30"/>
        <v>5467.5284</v>
      </c>
      <c r="AQ30" s="184">
        <f t="shared" si="31"/>
        <v>3981.21</v>
      </c>
      <c r="AR30" s="184">
        <f t="shared" si="32"/>
        <v>3981.21</v>
      </c>
      <c r="AS30" s="257"/>
      <c r="AT30" s="227">
        <f>0.45*1260.5</f>
        <v>567.225</v>
      </c>
      <c r="AU30" s="472">
        <v>1996</v>
      </c>
      <c r="AV30" s="228"/>
      <c r="AW30" s="228"/>
      <c r="AX30" s="228">
        <f>474+663.75+141.35</f>
        <v>1279.1</v>
      </c>
      <c r="AY30" s="228"/>
      <c r="AZ30" s="228"/>
      <c r="BA30" s="116"/>
      <c r="BB30" s="229"/>
      <c r="BC30" s="243">
        <f>SUM(AK30:BB30)</f>
        <v>39036.221399999995</v>
      </c>
      <c r="BD30" s="230">
        <f>'[17]Т05'!$S$4+'[17]Т05'!$S$80+'[17]Т05'!$S$130+'[17]Т05'!$S$139+'[17]Т05'!$S$221</f>
        <v>1631.857</v>
      </c>
      <c r="BE30" s="190">
        <f t="shared" si="33"/>
        <v>40668.0784</v>
      </c>
      <c r="BF30" s="190">
        <f t="shared" si="34"/>
        <v>12434.484599999996</v>
      </c>
      <c r="BG30" s="190">
        <f t="shared" si="35"/>
        <v>3003.9100000000035</v>
      </c>
    </row>
    <row r="31" spans="1:59" ht="12.75">
      <c r="A31" s="212" t="s">
        <v>48</v>
      </c>
      <c r="B31" s="176">
        <v>5308.28</v>
      </c>
      <c r="C31" s="152">
        <f t="shared" si="20"/>
        <v>45385.794</v>
      </c>
      <c r="D31" s="258">
        <v>266.628</v>
      </c>
      <c r="E31" s="244"/>
      <c r="F31" s="244"/>
      <c r="G31" s="244">
        <v>28233.99</v>
      </c>
      <c r="H31" s="244"/>
      <c r="I31" s="244"/>
      <c r="J31" s="244"/>
      <c r="K31" s="244"/>
      <c r="L31" s="244"/>
      <c r="M31" s="244">
        <v>13712</v>
      </c>
      <c r="N31" s="244"/>
      <c r="O31" s="244">
        <v>4756.87</v>
      </c>
      <c r="P31" s="244"/>
      <c r="Q31" s="244"/>
      <c r="R31" s="244"/>
      <c r="S31" s="245">
        <v>200</v>
      </c>
      <c r="T31" s="261"/>
      <c r="U31" s="255">
        <f t="shared" si="21"/>
        <v>46902.86000000001</v>
      </c>
      <c r="V31" s="256">
        <f t="shared" si="21"/>
        <v>0</v>
      </c>
      <c r="W31" s="259"/>
      <c r="X31" s="473">
        <v>27995.13</v>
      </c>
      <c r="Y31" s="259"/>
      <c r="Z31" s="259"/>
      <c r="AA31" s="473">
        <v>13431.18</v>
      </c>
      <c r="AB31" s="473">
        <v>4651.91</v>
      </c>
      <c r="AC31" s="259"/>
      <c r="AD31" s="473"/>
      <c r="AE31" s="474">
        <v>199.97</v>
      </c>
      <c r="AF31" s="242">
        <f t="shared" si="22"/>
        <v>46278.19</v>
      </c>
      <c r="AG31" s="249">
        <f t="shared" si="23"/>
        <v>46544.818</v>
      </c>
      <c r="AH31" s="225">
        <f t="shared" si="24"/>
        <v>0</v>
      </c>
      <c r="AI31" s="225">
        <f t="shared" si="24"/>
        <v>0</v>
      </c>
      <c r="AJ31" s="226">
        <f>'[17]Т06'!$J$4+'[17]Т06'!$J$80+'[17]Т06'!$J$130+'[17]Т06'!$J$139+'[17]Т06'!$J$176+'[17]Т06'!$J$252</f>
        <v>3161.9350000000004</v>
      </c>
      <c r="AK31" s="179">
        <f t="shared" si="25"/>
        <v>3556.5476</v>
      </c>
      <c r="AL31" s="184">
        <f t="shared" si="26"/>
        <v>1061.656</v>
      </c>
      <c r="AM31" s="184">
        <f t="shared" si="27"/>
        <v>5308.28</v>
      </c>
      <c r="AN31" s="184">
        <f t="shared" si="28"/>
        <v>1114.7387999999999</v>
      </c>
      <c r="AO31" s="184">
        <f t="shared" si="29"/>
        <v>10722.7256</v>
      </c>
      <c r="AP31" s="184">
        <f t="shared" si="30"/>
        <v>5467.5284</v>
      </c>
      <c r="AQ31" s="184">
        <f t="shared" si="31"/>
        <v>3981.21</v>
      </c>
      <c r="AR31" s="184">
        <f t="shared" si="32"/>
        <v>3981.21</v>
      </c>
      <c r="AS31" s="257"/>
      <c r="AT31" s="227">
        <f>0.45*1260.5</f>
        <v>567.225</v>
      </c>
      <c r="AU31" s="472"/>
      <c r="AV31" s="228"/>
      <c r="AW31" s="228">
        <v>395</v>
      </c>
      <c r="AX31" s="228">
        <f>44541.6+487.97</f>
        <v>45029.57</v>
      </c>
      <c r="AY31" s="228"/>
      <c r="AZ31" s="228"/>
      <c r="BA31" s="116"/>
      <c r="BB31" s="229"/>
      <c r="BC31" s="243">
        <f>SUM(AK31:BB31)</f>
        <v>81185.6914</v>
      </c>
      <c r="BD31" s="230">
        <f>'[17]Т06'!$S$4+'[17]Т06'!$S$80+'[17]Т06'!$S$130+'[17]Т06'!$S$139+'[17]Т06'!$S$176+'[17]Т06'!$S$252</f>
        <v>1681.857</v>
      </c>
      <c r="BE31" s="190">
        <f t="shared" si="33"/>
        <v>82867.5484</v>
      </c>
      <c r="BF31" s="190">
        <f t="shared" si="34"/>
        <v>-33160.7954</v>
      </c>
      <c r="BG31" s="190">
        <f t="shared" si="35"/>
        <v>-624.6700000000055</v>
      </c>
    </row>
    <row r="32" spans="1:59" ht="12.75">
      <c r="A32" s="212" t="s">
        <v>49</v>
      </c>
      <c r="B32" s="176">
        <v>5308.28</v>
      </c>
      <c r="C32" s="152">
        <f aca="true" t="shared" si="36" ref="C32:C37">B32*9.51</f>
        <v>50481.7428</v>
      </c>
      <c r="D32" s="258">
        <v>356.811</v>
      </c>
      <c r="E32" s="244"/>
      <c r="F32" s="244"/>
      <c r="G32" s="244">
        <v>52001.66</v>
      </c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5">
        <v>200</v>
      </c>
      <c r="T32" s="261"/>
      <c r="U32" s="255">
        <f aca="true" t="shared" si="37" ref="U32:V37">G32+M32+O32+Q32+S32</f>
        <v>52201.66</v>
      </c>
      <c r="V32" s="475">
        <f t="shared" si="37"/>
        <v>0</v>
      </c>
      <c r="W32" s="259"/>
      <c r="X32" s="235">
        <v>26715</v>
      </c>
      <c r="Y32" s="259"/>
      <c r="Z32" s="259"/>
      <c r="AA32" s="235">
        <v>12627.02</v>
      </c>
      <c r="AB32" s="235">
        <v>4379.98</v>
      </c>
      <c r="AC32" s="259"/>
      <c r="AD32" s="235"/>
      <c r="AE32" s="241">
        <v>199.97</v>
      </c>
      <c r="AF32" s="242">
        <f aca="true" t="shared" si="38" ref="AF32:AF37">SUM(X32:AE32)</f>
        <v>43921.97</v>
      </c>
      <c r="AG32" s="249">
        <f t="shared" si="23"/>
        <v>44278.781</v>
      </c>
      <c r="AH32" s="476">
        <v>0</v>
      </c>
      <c r="AI32" s="225">
        <f t="shared" si="24"/>
        <v>0</v>
      </c>
      <c r="AJ32" s="226">
        <f>'[17]Т07'!$J$4+'[17]Т07'!$J$80+'[17]Т07'!$J$132+'[17]Т07'!$J$141+'[17]Т07'!$J$178+'[17]Т07'!$J$254</f>
        <v>3161.9350000000004</v>
      </c>
      <c r="AK32" s="184">
        <f aca="true" t="shared" si="39" ref="AK32:AK37">0.75*B32</f>
        <v>3981.21</v>
      </c>
      <c r="AL32" s="184">
        <f t="shared" si="26"/>
        <v>1061.656</v>
      </c>
      <c r="AM32" s="184">
        <f t="shared" si="27"/>
        <v>5308.28</v>
      </c>
      <c r="AN32" s="184">
        <f t="shared" si="28"/>
        <v>1114.7387999999999</v>
      </c>
      <c r="AO32" s="184">
        <f t="shared" si="29"/>
        <v>10722.7256</v>
      </c>
      <c r="AP32" s="184">
        <f t="shared" si="30"/>
        <v>5467.5284</v>
      </c>
      <c r="AQ32" s="184">
        <f t="shared" si="31"/>
        <v>3981.21</v>
      </c>
      <c r="AR32" s="184">
        <f t="shared" si="32"/>
        <v>3981.21</v>
      </c>
      <c r="AS32" s="257"/>
      <c r="AT32" s="227">
        <f>0.45*1260.5</f>
        <v>567.225</v>
      </c>
      <c r="AU32" s="472">
        <v>571</v>
      </c>
      <c r="AV32" s="228"/>
      <c r="AW32" s="228"/>
      <c r="AX32" s="228">
        <f>308+24.99</f>
        <v>332.99</v>
      </c>
      <c r="AY32" s="228"/>
      <c r="AZ32" s="228"/>
      <c r="BA32" s="116"/>
      <c r="BB32" s="229"/>
      <c r="BC32" s="243">
        <f>SUM(AK32:BB32)</f>
        <v>37089.773799999995</v>
      </c>
      <c r="BD32" s="230">
        <f>'[17]Т07'!$S$4+'[17]Т07'!$S$80+'[17]Т07'!$S$132+'[17]Т07'!$S$141+'[17]Т07'!$S$178+'[17]Т07'!$S$254</f>
        <v>1681.857</v>
      </c>
      <c r="BE32" s="190">
        <f t="shared" si="33"/>
        <v>38771.6308</v>
      </c>
      <c r="BF32" s="190">
        <f t="shared" si="34"/>
        <v>8669.085200000001</v>
      </c>
      <c r="BG32" s="190">
        <f t="shared" si="35"/>
        <v>-8279.690000000002</v>
      </c>
    </row>
    <row r="33" spans="1:59" ht="12.75">
      <c r="A33" s="212" t="s">
        <v>50</v>
      </c>
      <c r="B33" s="176">
        <v>5308.28</v>
      </c>
      <c r="C33" s="152">
        <f t="shared" si="36"/>
        <v>50481.7428</v>
      </c>
      <c r="D33" s="258"/>
      <c r="E33" s="244"/>
      <c r="F33" s="244"/>
      <c r="G33" s="244">
        <v>51984.07</v>
      </c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5">
        <v>200</v>
      </c>
      <c r="T33" s="261"/>
      <c r="U33" s="255">
        <f t="shared" si="37"/>
        <v>52184.07</v>
      </c>
      <c r="V33" s="475">
        <f t="shared" si="37"/>
        <v>0</v>
      </c>
      <c r="W33" s="259"/>
      <c r="X33" s="235">
        <v>50137.11</v>
      </c>
      <c r="Y33" s="259"/>
      <c r="Z33" s="259"/>
      <c r="AA33" s="235">
        <v>2185.24</v>
      </c>
      <c r="AB33" s="235">
        <v>757.88</v>
      </c>
      <c r="AC33" s="259"/>
      <c r="AD33" s="235"/>
      <c r="AE33" s="241">
        <v>200.06</v>
      </c>
      <c r="AF33" s="242">
        <f t="shared" si="38"/>
        <v>53280.28999999999</v>
      </c>
      <c r="AG33" s="249">
        <f t="shared" si="23"/>
        <v>53280.28999999999</v>
      </c>
      <c r="AH33" s="476">
        <v>0</v>
      </c>
      <c r="AI33" s="225">
        <f t="shared" si="24"/>
        <v>0</v>
      </c>
      <c r="AJ33" s="226">
        <f>'[17]Т08'!$J$4+'[17]Т08'!$J$80+'[17]Т08'!$J$132+'[17]Т08'!$J$141+'[17]Т08'!$J$178+'[17]Т08'!$J$254+'[17]Т08'!$J$301</f>
        <v>5561.935</v>
      </c>
      <c r="AK33" s="184">
        <f t="shared" si="39"/>
        <v>3981.21</v>
      </c>
      <c r="AL33" s="184">
        <f t="shared" si="26"/>
        <v>1061.656</v>
      </c>
      <c r="AM33" s="184">
        <f t="shared" si="27"/>
        <v>5308.28</v>
      </c>
      <c r="AN33" s="184">
        <f t="shared" si="28"/>
        <v>1114.7387999999999</v>
      </c>
      <c r="AO33" s="184">
        <f t="shared" si="29"/>
        <v>10722.7256</v>
      </c>
      <c r="AP33" s="184">
        <f t="shared" si="30"/>
        <v>5467.5284</v>
      </c>
      <c r="AQ33" s="184">
        <f t="shared" si="31"/>
        <v>3981.21</v>
      </c>
      <c r="AR33" s="184">
        <f t="shared" si="32"/>
        <v>3981.21</v>
      </c>
      <c r="AS33" s="257"/>
      <c r="AT33" s="227">
        <f>0.45*1260.5</f>
        <v>567.225</v>
      </c>
      <c r="AU33" s="472">
        <v>1126</v>
      </c>
      <c r="AV33" s="228"/>
      <c r="AW33" s="228">
        <f>679+216</f>
        <v>895</v>
      </c>
      <c r="AX33" s="477">
        <f>48+71.36+442.12+1400</f>
        <v>1961.48</v>
      </c>
      <c r="AY33" s="477"/>
      <c r="AZ33" s="477"/>
      <c r="BA33" s="116"/>
      <c r="BB33" s="229"/>
      <c r="BC33" s="243">
        <f>SUM(AK33:BB33)</f>
        <v>40168.2638</v>
      </c>
      <c r="BD33" s="230">
        <f>'[17]Т08'!$S$4+'[17]Т08'!$S$80+'[17]Т08'!$S$132+'[17]Т08'!$S$141+'[17]Т08'!$S$178+'[17]Т08'!$S$254+'[17]Т08'!$S$301</f>
        <v>2281.857</v>
      </c>
      <c r="BE33" s="190">
        <f t="shared" si="33"/>
        <v>42450.120800000004</v>
      </c>
      <c r="BF33" s="190">
        <f t="shared" si="34"/>
        <v>16392.104199999987</v>
      </c>
      <c r="BG33" s="190">
        <f t="shared" si="35"/>
        <v>1096.219999999994</v>
      </c>
    </row>
    <row r="34" spans="1:59" ht="12.75">
      <c r="A34" s="212" t="s">
        <v>51</v>
      </c>
      <c r="B34" s="176">
        <v>5308.28</v>
      </c>
      <c r="C34" s="152">
        <f t="shared" si="36"/>
        <v>50481.7428</v>
      </c>
      <c r="D34" s="258"/>
      <c r="E34" s="244"/>
      <c r="F34" s="244"/>
      <c r="G34" s="244">
        <v>51976.75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5">
        <v>200</v>
      </c>
      <c r="T34" s="261"/>
      <c r="U34" s="255">
        <f t="shared" si="37"/>
        <v>52176.75</v>
      </c>
      <c r="V34" s="475">
        <f t="shared" si="37"/>
        <v>0</v>
      </c>
      <c r="W34" s="259"/>
      <c r="X34" s="235">
        <v>43314.99</v>
      </c>
      <c r="Y34" s="259"/>
      <c r="Z34" s="259"/>
      <c r="AA34" s="235">
        <v>1216.69</v>
      </c>
      <c r="AB34" s="235">
        <v>427.22</v>
      </c>
      <c r="AC34" s="259"/>
      <c r="AD34" s="235"/>
      <c r="AE34" s="241">
        <v>199.99</v>
      </c>
      <c r="AF34" s="242">
        <f t="shared" si="38"/>
        <v>45158.89</v>
      </c>
      <c r="AG34" s="249">
        <f t="shared" si="23"/>
        <v>45158.89</v>
      </c>
      <c r="AH34" s="476">
        <v>0</v>
      </c>
      <c r="AI34" s="225">
        <f t="shared" si="24"/>
        <v>0</v>
      </c>
      <c r="AJ34" s="226">
        <f>'[17]Т09'!$J$4+'[17]Т09'!$J$80+'[17]Т09'!$J$131+'[17]Т09'!$J$140+'[17]Т09'!$J$181+'[17]Т09'!$J$254+'[17]Т09'!$J$301</f>
        <v>3961.9350000000004</v>
      </c>
      <c r="AK34" s="184">
        <f t="shared" si="39"/>
        <v>3981.21</v>
      </c>
      <c r="AL34" s="184">
        <f t="shared" si="26"/>
        <v>1061.656</v>
      </c>
      <c r="AM34" s="184">
        <f t="shared" si="27"/>
        <v>5308.28</v>
      </c>
      <c r="AN34" s="184">
        <f t="shared" si="28"/>
        <v>1114.7387999999999</v>
      </c>
      <c r="AO34" s="184">
        <f t="shared" si="29"/>
        <v>10722.7256</v>
      </c>
      <c r="AP34" s="184">
        <f t="shared" si="30"/>
        <v>5467.5284</v>
      </c>
      <c r="AQ34" s="184">
        <f t="shared" si="31"/>
        <v>3981.21</v>
      </c>
      <c r="AR34" s="184">
        <f t="shared" si="32"/>
        <v>3981.21</v>
      </c>
      <c r="AS34" s="257"/>
      <c r="AT34" s="227">
        <f>0.45*1260.5</f>
        <v>567.225</v>
      </c>
      <c r="AU34" s="472">
        <v>546</v>
      </c>
      <c r="AV34" s="228"/>
      <c r="AW34" s="228">
        <v>3270</v>
      </c>
      <c r="AX34" s="228">
        <f>25+199.6+362.86</f>
        <v>587.46</v>
      </c>
      <c r="AY34" s="228"/>
      <c r="AZ34" s="228"/>
      <c r="BA34" s="116"/>
      <c r="BB34" s="229"/>
      <c r="BC34" s="243">
        <f>SUM(AK34:BB34)</f>
        <v>40589.2438</v>
      </c>
      <c r="BD34" s="230">
        <f>'[17]Т09'!$S$4+'[17]Т09'!$S$80+'[17]Т09'!$S$131+'[17]Т09'!$S$140+'[17]Т09'!$S$181+'[17]Т09'!$S$254+'[17]Т09'!$S$301</f>
        <v>1881.857</v>
      </c>
      <c r="BE34" s="190">
        <f t="shared" si="33"/>
        <v>42471.1008</v>
      </c>
      <c r="BF34" s="190">
        <f t="shared" si="34"/>
        <v>6649.724199999997</v>
      </c>
      <c r="BG34" s="190">
        <f t="shared" si="35"/>
        <v>-7017.860000000001</v>
      </c>
    </row>
    <row r="35" spans="1:59" ht="12.75">
      <c r="A35" s="212" t="s">
        <v>39</v>
      </c>
      <c r="B35" s="176">
        <v>5308.28</v>
      </c>
      <c r="C35" s="152">
        <f t="shared" si="36"/>
        <v>50481.7428</v>
      </c>
      <c r="D35" s="258"/>
      <c r="E35" s="244"/>
      <c r="F35" s="244"/>
      <c r="G35" s="244">
        <v>51972.56</v>
      </c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5">
        <v>200</v>
      </c>
      <c r="T35" s="261"/>
      <c r="U35" s="255">
        <f t="shared" si="37"/>
        <v>52172.56</v>
      </c>
      <c r="V35" s="475">
        <f t="shared" si="37"/>
        <v>0</v>
      </c>
      <c r="W35" s="259"/>
      <c r="X35" s="235">
        <v>50471.77</v>
      </c>
      <c r="Y35" s="259"/>
      <c r="Z35" s="259"/>
      <c r="AA35" s="235">
        <v>1916.15</v>
      </c>
      <c r="AB35" s="235">
        <v>661.55</v>
      </c>
      <c r="AC35" s="259"/>
      <c r="AD35" s="235"/>
      <c r="AE35" s="241">
        <v>200.01</v>
      </c>
      <c r="AF35" s="242">
        <f t="shared" si="38"/>
        <v>53249.48</v>
      </c>
      <c r="AG35" s="249">
        <f t="shared" si="23"/>
        <v>53249.48</v>
      </c>
      <c r="AH35" s="476">
        <v>0</v>
      </c>
      <c r="AI35" s="225">
        <f t="shared" si="24"/>
        <v>0</v>
      </c>
      <c r="AJ35" s="226">
        <f>'[17]Т10'!$J$4+'[17]Т10'!$J$79+'[17]Т10'!$J$130+'[17]Т10'!$J$139+'[17]Т10'!$J$180+'[17]Т10'!$J$253+'[17]Т10'!$J$300</f>
        <v>3961.9350000000004</v>
      </c>
      <c r="AK35" s="184">
        <f t="shared" si="39"/>
        <v>3981.21</v>
      </c>
      <c r="AL35" s="184">
        <f t="shared" si="26"/>
        <v>1061.656</v>
      </c>
      <c r="AM35" s="184">
        <f t="shared" si="27"/>
        <v>5308.28</v>
      </c>
      <c r="AN35" s="184">
        <f t="shared" si="28"/>
        <v>1114.7387999999999</v>
      </c>
      <c r="AO35" s="184">
        <f t="shared" si="29"/>
        <v>10722.7256</v>
      </c>
      <c r="AP35" s="184">
        <f t="shared" si="30"/>
        <v>5467.5284</v>
      </c>
      <c r="AQ35" s="184">
        <f t="shared" si="31"/>
        <v>3981.21</v>
      </c>
      <c r="AR35" s="184">
        <f t="shared" si="32"/>
        <v>3981.21</v>
      </c>
      <c r="AS35" s="257">
        <f>B35*1.15</f>
        <v>6104.521999999999</v>
      </c>
      <c r="AT35" s="227">
        <f>0.45*1260.5</f>
        <v>567.225</v>
      </c>
      <c r="AU35" s="478"/>
      <c r="AV35" s="228"/>
      <c r="AW35" s="228"/>
      <c r="AX35" s="477">
        <f>24+70+35+119.7+72+36+845.4769</f>
        <v>1202.1769</v>
      </c>
      <c r="AY35" s="477"/>
      <c r="AZ35" s="477"/>
      <c r="BA35" s="116"/>
      <c r="BB35" s="229"/>
      <c r="BC35" s="243">
        <f>SUM(AK35:BB35)</f>
        <v>43492.48269999999</v>
      </c>
      <c r="BD35" s="230">
        <f>'[17]Т10'!$S$4+'[17]Т10'!$S$79+'[17]Т10'!$S$130+'[17]Т10'!$S$139+'[17]Т10'!$S$180+'[17]Т10'!$S$253+'[17]Т10'!$S$300</f>
        <v>1881.857</v>
      </c>
      <c r="BE35" s="190">
        <f t="shared" si="33"/>
        <v>45374.3397</v>
      </c>
      <c r="BF35" s="190">
        <f t="shared" si="34"/>
        <v>11837.075300000004</v>
      </c>
      <c r="BG35" s="190">
        <f t="shared" si="35"/>
        <v>1076.9200000000055</v>
      </c>
    </row>
    <row r="36" spans="1:59" ht="12.75">
      <c r="A36" s="212" t="s">
        <v>40</v>
      </c>
      <c r="B36" s="479">
        <v>5308.28</v>
      </c>
      <c r="C36" s="152">
        <f t="shared" si="36"/>
        <v>50481.7428</v>
      </c>
      <c r="D36" s="258"/>
      <c r="E36" s="244"/>
      <c r="F36" s="244"/>
      <c r="G36" s="235">
        <v>51972.56</v>
      </c>
      <c r="H36" s="235"/>
      <c r="I36" s="244"/>
      <c r="J36" s="244"/>
      <c r="K36" s="244"/>
      <c r="L36" s="244"/>
      <c r="M36" s="235"/>
      <c r="N36" s="235"/>
      <c r="O36" s="235"/>
      <c r="P36" s="235"/>
      <c r="Q36" s="235"/>
      <c r="R36" s="235"/>
      <c r="S36" s="241">
        <v>200</v>
      </c>
      <c r="T36" s="261"/>
      <c r="U36" s="255">
        <f t="shared" si="37"/>
        <v>52172.56</v>
      </c>
      <c r="V36" s="475">
        <f t="shared" si="37"/>
        <v>0</v>
      </c>
      <c r="W36" s="259"/>
      <c r="X36" s="235">
        <v>52717.16</v>
      </c>
      <c r="Y36" s="259"/>
      <c r="Z36" s="259"/>
      <c r="AA36" s="235">
        <v>927.1</v>
      </c>
      <c r="AB36" s="235">
        <v>319.6</v>
      </c>
      <c r="AC36" s="259"/>
      <c r="AD36" s="235"/>
      <c r="AE36" s="241">
        <v>199.99</v>
      </c>
      <c r="AF36" s="242">
        <f t="shared" si="38"/>
        <v>54163.85</v>
      </c>
      <c r="AG36" s="249">
        <f t="shared" si="23"/>
        <v>54163.85</v>
      </c>
      <c r="AH36" s="476">
        <v>0</v>
      </c>
      <c r="AI36" s="225">
        <f t="shared" si="24"/>
        <v>0</v>
      </c>
      <c r="AJ36" s="226">
        <f>'[17]Т11'!$J$4+'[17]Т11'!$J$79+'[17]Т11'!$J$130+'[17]Т11'!$J$139+'[17]Т11'!$J$182+'[17]Т11'!$J$255+'[17]Т11'!$J$302</f>
        <v>3961.9350000000004</v>
      </c>
      <c r="AK36" s="184">
        <f t="shared" si="39"/>
        <v>3981.21</v>
      </c>
      <c r="AL36" s="184">
        <f t="shared" si="26"/>
        <v>1061.656</v>
      </c>
      <c r="AM36" s="184">
        <f t="shared" si="27"/>
        <v>5308.28</v>
      </c>
      <c r="AN36" s="184">
        <f t="shared" si="28"/>
        <v>1114.7387999999999</v>
      </c>
      <c r="AO36" s="184">
        <f t="shared" si="29"/>
        <v>10722.7256</v>
      </c>
      <c r="AP36" s="184">
        <f t="shared" si="30"/>
        <v>5467.5284</v>
      </c>
      <c r="AQ36" s="184">
        <f t="shared" si="31"/>
        <v>3981.21</v>
      </c>
      <c r="AR36" s="184">
        <f t="shared" si="32"/>
        <v>3981.21</v>
      </c>
      <c r="AS36" s="257">
        <f>B36*1.15</f>
        <v>6104.521999999999</v>
      </c>
      <c r="AT36" s="227">
        <f>0.45*1260.5</f>
        <v>567.225</v>
      </c>
      <c r="AU36" s="472"/>
      <c r="AV36" s="228"/>
      <c r="AW36" s="228"/>
      <c r="AX36" s="228">
        <f>171.0594</f>
        <v>171.0594</v>
      </c>
      <c r="AY36" s="228"/>
      <c r="AZ36" s="228"/>
      <c r="BA36" s="116"/>
      <c r="BB36" s="229"/>
      <c r="BC36" s="243">
        <f>SUM(AK36:BB36)</f>
        <v>42461.36519999999</v>
      </c>
      <c r="BD36" s="230">
        <f>'[17]Т11'!$S$4+'[17]Т11'!$S$79+'[17]Т11'!$S$130+'[17]Т11'!$S$139+'[17]Т11'!$S$182+'[17]Т11'!$S$255+'[17]Т11'!$S$302</f>
        <v>1881.857</v>
      </c>
      <c r="BE36" s="190">
        <f t="shared" si="33"/>
        <v>44343.22219999999</v>
      </c>
      <c r="BF36" s="190">
        <f t="shared" si="34"/>
        <v>13782.562800000007</v>
      </c>
      <c r="BG36" s="190">
        <f t="shared" si="35"/>
        <v>1991.2900000000009</v>
      </c>
    </row>
    <row r="37" spans="1:59" ht="13.5" thickBot="1">
      <c r="A37" s="212" t="s">
        <v>41</v>
      </c>
      <c r="B37" s="479">
        <v>5308.28</v>
      </c>
      <c r="C37" s="152">
        <f t="shared" si="36"/>
        <v>50481.7428</v>
      </c>
      <c r="D37" s="258"/>
      <c r="E37" s="235"/>
      <c r="F37" s="235"/>
      <c r="G37" s="235">
        <v>51972.56</v>
      </c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41">
        <v>200</v>
      </c>
      <c r="T37" s="261"/>
      <c r="U37" s="255">
        <f t="shared" si="37"/>
        <v>52172.56</v>
      </c>
      <c r="V37" s="475">
        <f t="shared" si="37"/>
        <v>0</v>
      </c>
      <c r="W37" s="259"/>
      <c r="X37" s="235">
        <v>63134.6</v>
      </c>
      <c r="Y37" s="235"/>
      <c r="Z37" s="235"/>
      <c r="AA37" s="235">
        <v>885.46</v>
      </c>
      <c r="AB37" s="235">
        <v>307.25</v>
      </c>
      <c r="AC37" s="235"/>
      <c r="AD37" s="235"/>
      <c r="AE37" s="241">
        <v>200</v>
      </c>
      <c r="AF37" s="242">
        <f t="shared" si="38"/>
        <v>64527.31</v>
      </c>
      <c r="AG37" s="249">
        <f t="shared" si="23"/>
        <v>64527.31</v>
      </c>
      <c r="AH37" s="476">
        <v>0</v>
      </c>
      <c r="AI37" s="225">
        <f t="shared" si="24"/>
        <v>0</v>
      </c>
      <c r="AJ37" s="226">
        <f>'[17]Т12'!$J$4+'[17]Т12'!$J$79+'[17]Т12'!$J$130+'[17]Т12'!$J$139+'[17]Т12'!$J$184+'[17]Т12'!$J$257+'[17]Т12'!$J$304</f>
        <v>3961.9350000000004</v>
      </c>
      <c r="AK37" s="184">
        <f t="shared" si="39"/>
        <v>3981.21</v>
      </c>
      <c r="AL37" s="184">
        <f t="shared" si="26"/>
        <v>1061.656</v>
      </c>
      <c r="AM37" s="184">
        <f t="shared" si="27"/>
        <v>5308.28</v>
      </c>
      <c r="AN37" s="184">
        <f t="shared" si="28"/>
        <v>1114.7387999999999</v>
      </c>
      <c r="AO37" s="184">
        <f t="shared" si="29"/>
        <v>10722.7256</v>
      </c>
      <c r="AP37" s="184">
        <f t="shared" si="30"/>
        <v>5467.5284</v>
      </c>
      <c r="AQ37" s="184">
        <f t="shared" si="31"/>
        <v>3981.21</v>
      </c>
      <c r="AR37" s="184">
        <f t="shared" si="32"/>
        <v>3981.21</v>
      </c>
      <c r="AS37" s="257">
        <f>B37*1.15</f>
        <v>6104.521999999999</v>
      </c>
      <c r="AT37" s="227">
        <f>0.45*1260.5</f>
        <v>567.225</v>
      </c>
      <c r="AU37" s="472">
        <v>1128</v>
      </c>
      <c r="AV37" s="228">
        <v>328</v>
      </c>
      <c r="AW37" s="228"/>
      <c r="AX37" s="228">
        <f>3788.56</f>
        <v>3788.56</v>
      </c>
      <c r="AY37" s="228"/>
      <c r="AZ37" s="228"/>
      <c r="BA37" s="116"/>
      <c r="BB37" s="229"/>
      <c r="BC37" s="243">
        <f>SUM(AK37:BB37)</f>
        <v>47534.86579999999</v>
      </c>
      <c r="BD37" s="230">
        <f>'[17]Т12'!$S$4+'[17]Т12'!$S$79+'[17]Т12'!$S$130+'[17]Т12'!$S$139+'[17]Т12'!$S$184+'[17]Т12'!$S$257+'[17]Т12'!$S$304</f>
        <v>1881.857</v>
      </c>
      <c r="BE37" s="190">
        <f t="shared" si="33"/>
        <v>49416.72279999999</v>
      </c>
      <c r="BF37" s="190">
        <f t="shared" si="34"/>
        <v>19072.522200000007</v>
      </c>
      <c r="BG37" s="190">
        <f t="shared" si="35"/>
        <v>12354.75</v>
      </c>
    </row>
    <row r="38" spans="1:59" s="16" customFormat="1" ht="13.5" thickBot="1">
      <c r="A38" s="262" t="s">
        <v>3</v>
      </c>
      <c r="B38" s="263"/>
      <c r="C38" s="264">
        <f aca="true" t="shared" si="40" ref="C38:AX38">SUM(C26:C37)</f>
        <v>575205.2208</v>
      </c>
      <c r="D38" s="264">
        <f t="shared" si="40"/>
        <v>1956.5789999999997</v>
      </c>
      <c r="E38" s="264">
        <f t="shared" si="40"/>
        <v>0</v>
      </c>
      <c r="F38" s="264">
        <f t="shared" si="40"/>
        <v>0</v>
      </c>
      <c r="G38" s="264">
        <f t="shared" si="40"/>
        <v>481163.27999999997</v>
      </c>
      <c r="H38" s="264">
        <f t="shared" si="40"/>
        <v>0</v>
      </c>
      <c r="I38" s="264">
        <f t="shared" si="40"/>
        <v>0</v>
      </c>
      <c r="J38" s="264">
        <f t="shared" si="40"/>
        <v>0</v>
      </c>
      <c r="K38" s="264">
        <f t="shared" si="40"/>
        <v>0</v>
      </c>
      <c r="L38" s="264">
        <f t="shared" si="40"/>
        <v>0</v>
      </c>
      <c r="M38" s="264">
        <f t="shared" si="40"/>
        <v>82212.66</v>
      </c>
      <c r="N38" s="264">
        <f t="shared" si="40"/>
        <v>0</v>
      </c>
      <c r="O38" s="264">
        <f t="shared" si="40"/>
        <v>28519.96</v>
      </c>
      <c r="P38" s="264">
        <f t="shared" si="40"/>
        <v>0</v>
      </c>
      <c r="Q38" s="264">
        <f t="shared" si="40"/>
        <v>0</v>
      </c>
      <c r="R38" s="264">
        <f t="shared" si="40"/>
        <v>0</v>
      </c>
      <c r="S38" s="264">
        <f t="shared" si="40"/>
        <v>2100</v>
      </c>
      <c r="T38" s="264">
        <f t="shared" si="40"/>
        <v>0</v>
      </c>
      <c r="U38" s="264">
        <f t="shared" si="40"/>
        <v>593995.9000000001</v>
      </c>
      <c r="V38" s="264">
        <f t="shared" si="40"/>
        <v>0</v>
      </c>
      <c r="W38" s="264">
        <f t="shared" si="40"/>
        <v>0</v>
      </c>
      <c r="X38" s="264">
        <f t="shared" si="40"/>
        <v>451283.02</v>
      </c>
      <c r="Y38" s="264">
        <f t="shared" si="40"/>
        <v>0</v>
      </c>
      <c r="Z38" s="264">
        <f t="shared" si="40"/>
        <v>0</v>
      </c>
      <c r="AA38" s="264">
        <f t="shared" si="40"/>
        <v>94347.61000000003</v>
      </c>
      <c r="AB38" s="264">
        <f t="shared" si="40"/>
        <v>32623.940000000002</v>
      </c>
      <c r="AC38" s="264">
        <f t="shared" si="40"/>
        <v>0</v>
      </c>
      <c r="AD38" s="264">
        <f t="shared" si="40"/>
        <v>0</v>
      </c>
      <c r="AE38" s="264">
        <f t="shared" si="40"/>
        <v>1999.93</v>
      </c>
      <c r="AF38" s="264">
        <f t="shared" si="40"/>
        <v>580254.4999999999</v>
      </c>
      <c r="AG38" s="264">
        <f t="shared" si="40"/>
        <v>582211.0789999999</v>
      </c>
      <c r="AH38" s="264">
        <f t="shared" si="40"/>
        <v>0</v>
      </c>
      <c r="AI38" s="264">
        <f t="shared" si="40"/>
        <v>0</v>
      </c>
      <c r="AJ38" s="264">
        <f t="shared" si="40"/>
        <v>41098.880000000005</v>
      </c>
      <c r="AK38" s="264">
        <f t="shared" si="40"/>
        <v>45226.54559999999</v>
      </c>
      <c r="AL38" s="264">
        <f t="shared" si="40"/>
        <v>12739.871999999996</v>
      </c>
      <c r="AM38" s="264">
        <f t="shared" si="40"/>
        <v>63699.35999999999</v>
      </c>
      <c r="AN38" s="264">
        <f t="shared" si="40"/>
        <v>13376.865599999996</v>
      </c>
      <c r="AO38" s="264">
        <f t="shared" si="40"/>
        <v>128672.70720000002</v>
      </c>
      <c r="AP38" s="264">
        <f t="shared" si="40"/>
        <v>65610.34080000002</v>
      </c>
      <c r="AQ38" s="264">
        <f t="shared" si="40"/>
        <v>47774.52</v>
      </c>
      <c r="AR38" s="264">
        <f t="shared" si="40"/>
        <v>47774.52</v>
      </c>
      <c r="AS38" s="264">
        <f t="shared" si="40"/>
        <v>36627.13199999999</v>
      </c>
      <c r="AT38" s="264">
        <f t="shared" si="40"/>
        <v>6806.700000000002</v>
      </c>
      <c r="AU38" s="264">
        <f t="shared" si="40"/>
        <v>13548</v>
      </c>
      <c r="AV38" s="264">
        <f t="shared" si="40"/>
        <v>328</v>
      </c>
      <c r="AW38" s="264">
        <f t="shared" si="40"/>
        <v>17611.760000000002</v>
      </c>
      <c r="AX38" s="264">
        <f t="shared" si="40"/>
        <v>60869.126299999996</v>
      </c>
      <c r="AY38" s="264">
        <f>SUM(BA26:BA37)</f>
        <v>0</v>
      </c>
      <c r="AZ38" s="264">
        <f aca="true" t="shared" si="41" ref="AZ38:BE38">SUM(AZ26:AZ37)</f>
        <v>0</v>
      </c>
      <c r="BA38" s="264">
        <f t="shared" si="41"/>
        <v>0</v>
      </c>
      <c r="BB38" s="264">
        <f t="shared" si="41"/>
        <v>0</v>
      </c>
      <c r="BC38" s="264">
        <f t="shared" si="41"/>
        <v>560665.4495</v>
      </c>
      <c r="BD38" s="264">
        <f t="shared" si="41"/>
        <v>20519.136</v>
      </c>
      <c r="BE38" s="264">
        <f t="shared" si="41"/>
        <v>581184.5854999999</v>
      </c>
      <c r="BF38" s="264">
        <f>SUM(BF26:BF37)</f>
        <v>42125.373499999994</v>
      </c>
      <c r="BG38" s="264">
        <f>SUM(BG26:BG37)</f>
        <v>-13741.400000000016</v>
      </c>
    </row>
    <row r="39" spans="1:59" s="16" customFormat="1" ht="13.5" thickBot="1">
      <c r="A39" s="265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7"/>
      <c r="BF39" s="266"/>
      <c r="BG39" s="268"/>
    </row>
    <row r="40" spans="1:59" s="16" customFormat="1" ht="13.5" thickBot="1">
      <c r="A40" s="18" t="s">
        <v>52</v>
      </c>
      <c r="B40" s="266"/>
      <c r="C40" s="269">
        <f aca="true" t="shared" si="42" ref="C40:BG40">C38+C24</f>
        <v>2358499.5448000003</v>
      </c>
      <c r="D40" s="269">
        <f t="shared" si="42"/>
        <v>215573.26470645005</v>
      </c>
      <c r="E40" s="269">
        <f t="shared" si="42"/>
        <v>107919.94</v>
      </c>
      <c r="F40" s="269">
        <f t="shared" si="42"/>
        <v>19175.72</v>
      </c>
      <c r="G40" s="269">
        <f t="shared" si="42"/>
        <v>791227.44</v>
      </c>
      <c r="H40" s="269">
        <f t="shared" si="42"/>
        <v>0</v>
      </c>
      <c r="I40" s="269">
        <f t="shared" si="42"/>
        <v>146027.67</v>
      </c>
      <c r="J40" s="269">
        <f t="shared" si="42"/>
        <v>25960.870000000003</v>
      </c>
      <c r="K40" s="269">
        <f t="shared" si="42"/>
        <v>243159.65</v>
      </c>
      <c r="L40" s="269">
        <f t="shared" si="42"/>
        <v>43217.83</v>
      </c>
      <c r="M40" s="269">
        <f t="shared" si="42"/>
        <v>596209.53</v>
      </c>
      <c r="N40" s="269">
        <f t="shared" si="42"/>
        <v>61392.56</v>
      </c>
      <c r="O40" s="269">
        <f t="shared" si="42"/>
        <v>171874.69999999998</v>
      </c>
      <c r="P40" s="269">
        <f t="shared" si="42"/>
        <v>15339.450000000003</v>
      </c>
      <c r="Q40" s="269">
        <f t="shared" si="42"/>
        <v>0</v>
      </c>
      <c r="R40" s="269">
        <f t="shared" si="42"/>
        <v>0</v>
      </c>
      <c r="S40" s="269">
        <f t="shared" si="42"/>
        <v>3300</v>
      </c>
      <c r="T40" s="269">
        <f t="shared" si="42"/>
        <v>0</v>
      </c>
      <c r="U40" s="269">
        <f t="shared" si="42"/>
        <v>2059718.93</v>
      </c>
      <c r="V40" s="269">
        <f t="shared" si="42"/>
        <v>165086.43</v>
      </c>
      <c r="W40" s="269">
        <f t="shared" si="42"/>
        <v>107560.59999999999</v>
      </c>
      <c r="X40" s="269">
        <f t="shared" si="42"/>
        <v>746537.96</v>
      </c>
      <c r="Y40" s="269">
        <f t="shared" si="42"/>
        <v>145532.78000000003</v>
      </c>
      <c r="Z40" s="269">
        <f t="shared" si="42"/>
        <v>242868.72999999998</v>
      </c>
      <c r="AA40" s="269">
        <f t="shared" si="42"/>
        <v>587287.06</v>
      </c>
      <c r="AB40" s="269">
        <f t="shared" si="42"/>
        <v>168499.4</v>
      </c>
      <c r="AC40" s="269">
        <f t="shared" si="42"/>
        <v>0</v>
      </c>
      <c r="AD40" s="269">
        <f t="shared" si="42"/>
        <v>0</v>
      </c>
      <c r="AE40" s="269">
        <f t="shared" si="42"/>
        <v>2999.8100000000004</v>
      </c>
      <c r="AF40" s="269">
        <f t="shared" si="42"/>
        <v>2001286.3399999999</v>
      </c>
      <c r="AG40" s="269">
        <f t="shared" si="42"/>
        <v>2381946.03470645</v>
      </c>
      <c r="AH40" s="269">
        <f t="shared" si="42"/>
        <v>0</v>
      </c>
      <c r="AI40" s="269">
        <f t="shared" si="42"/>
        <v>0</v>
      </c>
      <c r="AJ40" s="269">
        <f t="shared" si="42"/>
        <v>108893.8329</v>
      </c>
      <c r="AK40" s="269">
        <f t="shared" si="42"/>
        <v>172551.38079999998</v>
      </c>
      <c r="AL40" s="269">
        <f t="shared" si="42"/>
        <v>53843.164559000004</v>
      </c>
      <c r="AM40" s="269">
        <f t="shared" si="42"/>
        <v>267914.840314185</v>
      </c>
      <c r="AN40" s="269">
        <f t="shared" si="42"/>
        <v>26753.689199999993</v>
      </c>
      <c r="AO40" s="269">
        <f t="shared" si="42"/>
        <v>397499.05093379423</v>
      </c>
      <c r="AP40" s="269">
        <f t="shared" si="42"/>
        <v>444754.57323975395</v>
      </c>
      <c r="AQ40" s="269">
        <f t="shared" si="42"/>
        <v>95548.88999999998</v>
      </c>
      <c r="AR40" s="269">
        <f t="shared" si="42"/>
        <v>95548.88999999998</v>
      </c>
      <c r="AS40" s="269">
        <f t="shared" si="42"/>
        <v>73251.96399999998</v>
      </c>
      <c r="AT40" s="269">
        <f t="shared" si="42"/>
        <v>27393.192</v>
      </c>
      <c r="AU40" s="269">
        <f t="shared" si="42"/>
        <v>331650.0488</v>
      </c>
      <c r="AV40" s="269">
        <f t="shared" si="42"/>
        <v>5396</v>
      </c>
      <c r="AW40" s="269">
        <f t="shared" si="42"/>
        <v>208958.84</v>
      </c>
      <c r="AX40" s="269">
        <f t="shared" si="42"/>
        <v>134900.7681</v>
      </c>
      <c r="AY40" s="269">
        <f t="shared" si="42"/>
        <v>38918.884000000005</v>
      </c>
      <c r="AZ40" s="269">
        <f t="shared" si="42"/>
        <v>0</v>
      </c>
      <c r="BA40" s="269">
        <f t="shared" si="42"/>
        <v>0</v>
      </c>
      <c r="BB40" s="269">
        <f t="shared" si="42"/>
        <v>0</v>
      </c>
      <c r="BC40" s="269">
        <f t="shared" si="42"/>
        <v>2374884.175946733</v>
      </c>
      <c r="BD40" s="269">
        <f t="shared" si="42"/>
        <v>57263.8121911848</v>
      </c>
      <c r="BE40" s="269">
        <f t="shared" si="42"/>
        <v>2432147.9881379176</v>
      </c>
      <c r="BF40" s="269">
        <f t="shared" si="42"/>
        <v>58691.879468532024</v>
      </c>
      <c r="BG40" s="270">
        <f t="shared" si="42"/>
        <v>-58432.59000000002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N52" sqref="N52"/>
    </sheetView>
  </sheetViews>
  <sheetFormatPr defaultColWidth="9.00390625" defaultRowHeight="12.75"/>
  <cols>
    <col min="1" max="2" width="10.00390625" style="199" customWidth="1"/>
    <col min="3" max="3" width="11.75390625" style="199" customWidth="1"/>
    <col min="4" max="4" width="10.75390625" style="199" customWidth="1"/>
    <col min="5" max="5" width="12.125" style="199" customWidth="1"/>
    <col min="6" max="6" width="10.875" style="199" customWidth="1"/>
    <col min="7" max="7" width="12.625" style="199" customWidth="1"/>
    <col min="8" max="8" width="11.875" style="199" customWidth="1"/>
    <col min="9" max="9" width="10.125" style="199" customWidth="1"/>
    <col min="10" max="10" width="10.25390625" style="199" customWidth="1"/>
    <col min="11" max="11" width="9.875" style="199" customWidth="1"/>
    <col min="12" max="12" width="11.375" style="199" customWidth="1"/>
    <col min="13" max="13" width="10.125" style="199" customWidth="1"/>
    <col min="14" max="14" width="10.00390625" style="199" customWidth="1"/>
    <col min="15" max="15" width="12.75390625" style="199" customWidth="1"/>
    <col min="16" max="16" width="10.375" style="199" customWidth="1"/>
    <col min="17" max="17" width="10.25390625" style="199" customWidth="1"/>
    <col min="18" max="16384" width="9.125" style="199" customWidth="1"/>
  </cols>
  <sheetData>
    <row r="1" spans="2:9" ht="20.25" customHeight="1">
      <c r="B1" s="462" t="s">
        <v>53</v>
      </c>
      <c r="C1" s="462"/>
      <c r="D1" s="462"/>
      <c r="E1" s="462"/>
      <c r="F1" s="462"/>
      <c r="G1" s="462"/>
      <c r="H1" s="462"/>
      <c r="I1" s="20"/>
    </row>
    <row r="2" spans="2:12" ht="21" customHeight="1">
      <c r="B2" s="462" t="s">
        <v>54</v>
      </c>
      <c r="C2" s="462"/>
      <c r="D2" s="462"/>
      <c r="E2" s="462"/>
      <c r="F2" s="462"/>
      <c r="G2" s="462"/>
      <c r="H2" s="462"/>
      <c r="I2" s="20"/>
      <c r="K2" s="198"/>
      <c r="L2" s="198"/>
    </row>
    <row r="5" spans="1:14" ht="12.75">
      <c r="A5" s="379" t="s">
        <v>124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</row>
    <row r="6" spans="1:14" ht="12.75">
      <c r="A6" s="463" t="s">
        <v>126</v>
      </c>
      <c r="B6" s="463"/>
      <c r="C6" s="463"/>
      <c r="D6" s="463"/>
      <c r="E6" s="463"/>
      <c r="F6" s="463"/>
      <c r="G6" s="463"/>
      <c r="H6" s="96"/>
      <c r="I6" s="96"/>
      <c r="J6" s="96"/>
      <c r="K6" s="96"/>
      <c r="L6" s="96"/>
      <c r="M6" s="96"/>
      <c r="N6" s="96"/>
    </row>
    <row r="7" spans="1:15" ht="13.5" thickBot="1">
      <c r="A7" s="464" t="s">
        <v>55</v>
      </c>
      <c r="B7" s="464"/>
      <c r="C7" s="464"/>
      <c r="D7" s="464"/>
      <c r="E7" s="464">
        <v>9.51</v>
      </c>
      <c r="F7" s="464"/>
      <c r="J7" s="271"/>
      <c r="K7" s="271"/>
      <c r="L7" s="271"/>
      <c r="M7" s="271"/>
      <c r="N7" s="271"/>
      <c r="O7" s="271"/>
    </row>
    <row r="8" spans="1:17" ht="12.75" customHeight="1">
      <c r="A8" s="380" t="s">
        <v>56</v>
      </c>
      <c r="B8" s="383" t="s">
        <v>0</v>
      </c>
      <c r="C8" s="386" t="s">
        <v>129</v>
      </c>
      <c r="D8" s="389" t="s">
        <v>2</v>
      </c>
      <c r="E8" s="402" t="s">
        <v>118</v>
      </c>
      <c r="F8" s="327"/>
      <c r="G8" s="392" t="s">
        <v>58</v>
      </c>
      <c r="H8" s="393"/>
      <c r="I8" s="450" t="s">
        <v>119</v>
      </c>
      <c r="J8" s="453" t="s">
        <v>8</v>
      </c>
      <c r="K8" s="454"/>
      <c r="L8" s="454"/>
      <c r="M8" s="454"/>
      <c r="N8" s="454"/>
      <c r="O8" s="455"/>
      <c r="P8" s="458" t="s">
        <v>59</v>
      </c>
      <c r="Q8" s="458" t="s">
        <v>10</v>
      </c>
    </row>
    <row r="9" spans="1:17" ht="12.75">
      <c r="A9" s="381"/>
      <c r="B9" s="384"/>
      <c r="C9" s="387"/>
      <c r="D9" s="390"/>
      <c r="E9" s="403"/>
      <c r="F9" s="461"/>
      <c r="G9" s="394"/>
      <c r="H9" s="395"/>
      <c r="I9" s="451"/>
      <c r="J9" s="456"/>
      <c r="K9" s="457"/>
      <c r="L9" s="457"/>
      <c r="M9" s="457"/>
      <c r="N9" s="457"/>
      <c r="O9" s="317"/>
      <c r="P9" s="459"/>
      <c r="Q9" s="459"/>
    </row>
    <row r="10" spans="1:17" ht="26.25" customHeight="1">
      <c r="A10" s="381"/>
      <c r="B10" s="384"/>
      <c r="C10" s="387"/>
      <c r="D10" s="390"/>
      <c r="E10" s="376" t="s">
        <v>120</v>
      </c>
      <c r="F10" s="344"/>
      <c r="G10" s="79" t="s">
        <v>60</v>
      </c>
      <c r="H10" s="370" t="s">
        <v>5</v>
      </c>
      <c r="I10" s="451"/>
      <c r="J10" s="377" t="s">
        <v>61</v>
      </c>
      <c r="K10" s="362" t="s">
        <v>121</v>
      </c>
      <c r="L10" s="362" t="s">
        <v>62</v>
      </c>
      <c r="M10" s="362" t="s">
        <v>35</v>
      </c>
      <c r="N10" s="363" t="s">
        <v>122</v>
      </c>
      <c r="O10" s="371" t="s">
        <v>37</v>
      </c>
      <c r="P10" s="459"/>
      <c r="Q10" s="459"/>
    </row>
    <row r="11" spans="1:17" ht="66.75" customHeight="1" thickBot="1">
      <c r="A11" s="382"/>
      <c r="B11" s="385"/>
      <c r="C11" s="388"/>
      <c r="D11" s="391"/>
      <c r="E11" s="51" t="s">
        <v>64</v>
      </c>
      <c r="F11" s="56" t="s">
        <v>19</v>
      </c>
      <c r="G11" s="71" t="s">
        <v>65</v>
      </c>
      <c r="H11" s="371"/>
      <c r="I11" s="452"/>
      <c r="J11" s="378"/>
      <c r="K11" s="363"/>
      <c r="L11" s="363"/>
      <c r="M11" s="363"/>
      <c r="N11" s="446"/>
      <c r="O11" s="447"/>
      <c r="P11" s="460"/>
      <c r="Q11" s="460"/>
    </row>
    <row r="12" spans="1:17" ht="13.5" thickBot="1">
      <c r="A12" s="52">
        <v>1</v>
      </c>
      <c r="B12" s="53">
        <v>2</v>
      </c>
      <c r="C12" s="52">
        <v>3</v>
      </c>
      <c r="D12" s="53">
        <v>4</v>
      </c>
      <c r="E12" s="272">
        <v>5</v>
      </c>
      <c r="F12" s="204">
        <v>6</v>
      </c>
      <c r="G12" s="272">
        <v>7</v>
      </c>
      <c r="H12" s="204">
        <v>8</v>
      </c>
      <c r="I12" s="97">
        <v>9</v>
      </c>
      <c r="J12" s="272">
        <v>10</v>
      </c>
      <c r="K12" s="204">
        <v>11</v>
      </c>
      <c r="L12" s="97">
        <v>12</v>
      </c>
      <c r="M12" s="52">
        <v>13</v>
      </c>
      <c r="N12" s="272">
        <v>14</v>
      </c>
      <c r="O12" s="204">
        <v>15</v>
      </c>
      <c r="P12" s="97">
        <v>16</v>
      </c>
      <c r="Q12" s="204">
        <v>17</v>
      </c>
    </row>
    <row r="13" spans="1:17" ht="13.5" thickBot="1">
      <c r="A13" s="448" t="s">
        <v>94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273"/>
      <c r="P13" s="274"/>
      <c r="Q13" s="274"/>
    </row>
    <row r="14" spans="1:19" s="16" customFormat="1" ht="13.5" hidden="1" thickBot="1">
      <c r="A14" s="70" t="s">
        <v>52</v>
      </c>
      <c r="B14" s="35"/>
      <c r="C14" s="36">
        <f>'2012 полн'!C8</f>
        <v>1238666.506</v>
      </c>
      <c r="D14" s="36">
        <f>'2012 полн'!D8</f>
        <v>210417.14970645006</v>
      </c>
      <c r="E14" s="36">
        <f>'2012 полн'!U8</f>
        <v>934487.05</v>
      </c>
      <c r="F14" s="36">
        <f>'2012 полн'!V8</f>
        <v>165086.43</v>
      </c>
      <c r="G14" s="36">
        <f>'2012 полн'!AF8</f>
        <v>875232.3299999998</v>
      </c>
      <c r="H14" s="36">
        <f>'2012 полн'!AG8</f>
        <v>1250735.90970645</v>
      </c>
      <c r="I14" s="36">
        <f>'2012 полн'!AJ8</f>
        <v>46486.02489999999</v>
      </c>
      <c r="J14" s="36">
        <f>'2012 полн'!AK8</f>
        <v>84646.398</v>
      </c>
      <c r="K14" s="36">
        <f>'2012 полн'!AL8</f>
        <v>28363.460559000006</v>
      </c>
      <c r="L14" s="36">
        <f>'2012 полн'!AM8+'2012 полн'!AO8+'2012 полн'!AP8+'2012 полн'!AT8+'2012 полн'!AX8+'2012 полн'!AY8</f>
        <v>715648.7112877332</v>
      </c>
      <c r="M14" s="36">
        <f>'2012 полн'!AU8+'2012 полн'!AV8+'2012 полн'!AW8</f>
        <v>487993.12879999995</v>
      </c>
      <c r="N14" s="36">
        <f>'2012 полн'!BD8</f>
        <v>22041.280191184807</v>
      </c>
      <c r="O14" s="36">
        <f>'2012 полн'!BE8</f>
        <v>1338692.9788379178</v>
      </c>
      <c r="P14" s="36">
        <f>'2012 полн'!BF8</f>
        <v>-41471.0442314679</v>
      </c>
      <c r="Q14" s="36">
        <f>'2012 полн'!BG8</f>
        <v>-59254.72000000001</v>
      </c>
      <c r="R14" s="62"/>
      <c r="S14" s="61"/>
    </row>
    <row r="15" spans="1:19" ht="12.75" hidden="1">
      <c r="A15" s="275" t="s">
        <v>117</v>
      </c>
      <c r="B15" s="276"/>
      <c r="C15" s="277"/>
      <c r="D15" s="278"/>
      <c r="E15" s="279"/>
      <c r="F15" s="280"/>
      <c r="G15" s="281"/>
      <c r="H15" s="280"/>
      <c r="I15" s="282"/>
      <c r="J15" s="281"/>
      <c r="K15" s="283"/>
      <c r="L15" s="283"/>
      <c r="M15" s="284"/>
      <c r="N15" s="285"/>
      <c r="O15" s="286"/>
      <c r="P15" s="287"/>
      <c r="Q15" s="287"/>
      <c r="R15" s="198"/>
      <c r="S15" s="198"/>
    </row>
    <row r="16" spans="1:19" ht="12.75" hidden="1">
      <c r="A16" s="209" t="s">
        <v>43</v>
      </c>
      <c r="B16" s="465">
        <f>'2012 полн'!B10</f>
        <v>5306.98</v>
      </c>
      <c r="C16" s="466">
        <f>'2012 полн'!C10</f>
        <v>45374.679</v>
      </c>
      <c r="D16" s="466">
        <f>'2012 полн'!D10</f>
        <v>266.628</v>
      </c>
      <c r="E16" s="467">
        <f>'2012 полн'!U10</f>
        <v>46368.28</v>
      </c>
      <c r="F16" s="467">
        <f>'[10]2011 полн'!V10</f>
        <v>0</v>
      </c>
      <c r="G16" s="467">
        <f>'2012 полн'!AF10</f>
        <v>35690.55</v>
      </c>
      <c r="H16" s="467">
        <f>'2012 полн'!AG10</f>
        <v>35957.178</v>
      </c>
      <c r="I16" s="467">
        <f>'2012 полн'!AJ10</f>
        <v>1775.7440000000001</v>
      </c>
      <c r="J16" s="467">
        <f>'2012 полн'!AK10</f>
        <v>3555.6766</v>
      </c>
      <c r="K16" s="467">
        <f>'2012 полн'!AL10</f>
        <v>1061.396</v>
      </c>
      <c r="L16" s="467">
        <f>'2012 полн'!AM10+'2012 полн'!AN10+'2012 полн'!AO10+'2012 полн'!AP10+'2012 полн'!AQ10+'2012 полн'!AR10+'2012 полн'!AS10+'2012 полн'!AT10+'2012 полн'!AX10</f>
        <v>39201.2568</v>
      </c>
      <c r="M16" s="468">
        <f>'2012 полн'!AU10+'2012 полн'!AV10+'2012 полн'!AW10</f>
        <v>2250</v>
      </c>
      <c r="N16" s="468">
        <f>'2012 полн'!BD10</f>
        <v>1225.283</v>
      </c>
      <c r="O16" s="467">
        <f>'2012 полн'!BE10</f>
        <v>47293.612400000005</v>
      </c>
      <c r="P16" s="467">
        <f>'2012 полн'!BF10</f>
        <v>-9560.690400000007</v>
      </c>
      <c r="Q16" s="467">
        <f>'2012 полн'!BG10</f>
        <v>-10677.729999999996</v>
      </c>
      <c r="R16" s="198"/>
      <c r="S16" s="198"/>
    </row>
    <row r="17" spans="1:19" ht="12.75" hidden="1">
      <c r="A17" s="209" t="s">
        <v>44</v>
      </c>
      <c r="B17" s="465">
        <f>'2012 полн'!B11</f>
        <v>5306.98</v>
      </c>
      <c r="C17" s="466">
        <f>'2012 полн'!C11</f>
        <v>45374.679</v>
      </c>
      <c r="D17" s="466">
        <f>'2012 полн'!D11</f>
        <v>266.628</v>
      </c>
      <c r="E17" s="467">
        <f>'2012 полн'!U11</f>
        <v>45647.399999999994</v>
      </c>
      <c r="F17" s="467">
        <f>'[10]2011 полн'!V11</f>
        <v>0</v>
      </c>
      <c r="G17" s="467">
        <f>'2012 полн'!AF11</f>
        <v>39156.159999999996</v>
      </c>
      <c r="H17" s="467">
        <f>'2012 полн'!AG11</f>
        <v>39422.78799999999</v>
      </c>
      <c r="I17" s="467">
        <f>'2012 полн'!AJ11</f>
        <v>1775.7440000000001</v>
      </c>
      <c r="J17" s="467">
        <f>'2012 полн'!AK11</f>
        <v>3555.6766</v>
      </c>
      <c r="K17" s="467">
        <f>'2012 полн'!AL11</f>
        <v>1061.396</v>
      </c>
      <c r="L17" s="467">
        <f>'2012 полн'!AM11+'2012 полн'!AN11+'2012 полн'!AO11+'2012 полн'!AP11+'2012 полн'!AQ11+'2012 полн'!AR11+'2012 полн'!AS11+'2012 полн'!AT11+'2012 полн'!AX11</f>
        <v>37261.0168</v>
      </c>
      <c r="M17" s="468">
        <f>'2012 полн'!AU11+'2012 полн'!AV11+'2012 полн'!AW11</f>
        <v>640</v>
      </c>
      <c r="N17" s="468">
        <f>'2012 полн'!BD11</f>
        <v>1225.283</v>
      </c>
      <c r="O17" s="467">
        <f>'2012 полн'!BE11</f>
        <v>43743.3724</v>
      </c>
      <c r="P17" s="467">
        <f>'2012 полн'!BF11</f>
        <v>-2544.8404000000082</v>
      </c>
      <c r="Q17" s="467">
        <f>'2012 полн'!BG11</f>
        <v>-6491.239999999998</v>
      </c>
      <c r="R17" s="198"/>
      <c r="S17" s="198"/>
    </row>
    <row r="18" spans="1:19" ht="12.75" hidden="1">
      <c r="A18" s="209" t="s">
        <v>45</v>
      </c>
      <c r="B18" s="465">
        <f>'2012 полн'!B12</f>
        <v>5308.58</v>
      </c>
      <c r="C18" s="466">
        <f>'2012 полн'!C12</f>
        <v>45388.359000000004</v>
      </c>
      <c r="D18" s="466">
        <f>'2012 полн'!D12</f>
        <v>266.628</v>
      </c>
      <c r="E18" s="467">
        <f>'2012 полн'!U12</f>
        <v>46609.979999999996</v>
      </c>
      <c r="F18" s="467">
        <f>'[10]2011 полн'!V12</f>
        <v>0</v>
      </c>
      <c r="G18" s="467">
        <f>'2012 полн'!AF12</f>
        <v>45514.9</v>
      </c>
      <c r="H18" s="467">
        <f>'2012 полн'!AG12</f>
        <v>45781.528</v>
      </c>
      <c r="I18" s="467">
        <f>'2012 полн'!AJ12</f>
        <v>1775.7440000000001</v>
      </c>
      <c r="J18" s="467">
        <f>'2012 полн'!AK12</f>
        <v>3556.7486000000004</v>
      </c>
      <c r="K18" s="467">
        <f>'2012 полн'!AL12</f>
        <v>1061.7160000000001</v>
      </c>
      <c r="L18" s="467">
        <f>'2012 полн'!AM12+'2012 полн'!AN12+'2012 полн'!AO12+'2012 полн'!AP12+'2012 полн'!AQ12+'2012 полн'!AR12+'2012 полн'!AS12+'2012 полн'!AT12+'2012 полн'!AX12</f>
        <v>37387.512800000004</v>
      </c>
      <c r="M18" s="468">
        <f>'2012 полн'!AU12+'2012 полн'!AV12+'2012 полн'!AW12</f>
        <v>4412</v>
      </c>
      <c r="N18" s="468">
        <f>'2012 полн'!BD12</f>
        <v>1225.283</v>
      </c>
      <c r="O18" s="467">
        <f>'2012 полн'!BE12</f>
        <v>47643.2604</v>
      </c>
      <c r="P18" s="467">
        <f>'2012 полн'!BF12</f>
        <v>-85.988400000002</v>
      </c>
      <c r="Q18" s="467">
        <f>'2012 полн'!BG12</f>
        <v>-1095.0799999999945</v>
      </c>
      <c r="R18" s="198"/>
      <c r="S18" s="198"/>
    </row>
    <row r="19" spans="1:19" ht="12.75" hidden="1">
      <c r="A19" s="209" t="s">
        <v>46</v>
      </c>
      <c r="B19" s="465">
        <f>'2012 полн'!B13</f>
        <v>5308.58</v>
      </c>
      <c r="C19" s="466">
        <f>'2012 полн'!C13</f>
        <v>45388.359000000004</v>
      </c>
      <c r="D19" s="466">
        <f>'2012 полн'!D13</f>
        <v>266.628</v>
      </c>
      <c r="E19" s="467">
        <f>'2012 полн'!U13</f>
        <v>46213.57</v>
      </c>
      <c r="F19" s="467">
        <f>'[10]2011 полн'!V13</f>
        <v>0</v>
      </c>
      <c r="G19" s="467">
        <f>'2012 полн'!AF13</f>
        <v>41055.770000000004</v>
      </c>
      <c r="H19" s="467">
        <f>'2012 полн'!AG13</f>
        <v>41322.398</v>
      </c>
      <c r="I19" s="467">
        <f>'2012 полн'!AJ13</f>
        <v>1775.7440000000001</v>
      </c>
      <c r="J19" s="467">
        <f>'2012 полн'!AK13</f>
        <v>3556.7486000000004</v>
      </c>
      <c r="K19" s="467">
        <f>'2012 полн'!AL13</f>
        <v>1061.7160000000001</v>
      </c>
      <c r="L19" s="467">
        <f>'2012 полн'!AM13+'2012 полн'!AN13+'2012 полн'!AO13+'2012 полн'!AP13+'2012 полн'!AQ13+'2012 полн'!AR13+'2012 полн'!AS13+'2012 полн'!AT13+'2012 полн'!AX13</f>
        <v>31813.645800000002</v>
      </c>
      <c r="M19" s="468">
        <f>'2012 полн'!AU13+'2012 полн'!AV13+'2012 полн'!AW13</f>
        <v>2367</v>
      </c>
      <c r="N19" s="468">
        <f>'2012 полн'!BD13</f>
        <v>1225.283</v>
      </c>
      <c r="O19" s="467">
        <f>'2012 полн'!BE13</f>
        <v>40024.3934</v>
      </c>
      <c r="P19" s="467">
        <f>'2012 полн'!BF13</f>
        <v>3073.748599999999</v>
      </c>
      <c r="Q19" s="467">
        <f>'2012 полн'!BG13</f>
        <v>-5157.799999999996</v>
      </c>
      <c r="R19" s="198"/>
      <c r="S19" s="198"/>
    </row>
    <row r="20" spans="1:19" ht="12.75" hidden="1">
      <c r="A20" s="209" t="s">
        <v>47</v>
      </c>
      <c r="B20" s="465">
        <f>'2012 полн'!B14</f>
        <v>5308.58</v>
      </c>
      <c r="C20" s="466">
        <f>'2012 полн'!C14</f>
        <v>45388.359000000004</v>
      </c>
      <c r="D20" s="466">
        <f>'2012 полн'!D14</f>
        <v>266.628</v>
      </c>
      <c r="E20" s="467">
        <f>'2012 полн'!U14</f>
        <v>46236.65</v>
      </c>
      <c r="F20" s="467">
        <f>'[10]2011 полн'!V14</f>
        <v>0</v>
      </c>
      <c r="G20" s="467">
        <f>'2012 полн'!AF14</f>
        <v>50440.979999999996</v>
      </c>
      <c r="H20" s="467">
        <f>'2012 полн'!AG14</f>
        <v>50707.60799999999</v>
      </c>
      <c r="I20" s="467">
        <f>'2012 полн'!AJ14</f>
        <v>1775.7440000000001</v>
      </c>
      <c r="J20" s="467">
        <f>'2012 полн'!AK14</f>
        <v>3556.7486000000004</v>
      </c>
      <c r="K20" s="467">
        <f>'2012 полн'!AL14</f>
        <v>1061.7160000000001</v>
      </c>
      <c r="L20" s="467">
        <f>'2012 полн'!AM14+'2012 полн'!AN14+'2012 полн'!AO14+'2012 полн'!AP14+'2012 полн'!AQ14+'2012 полн'!AR14+'2012 полн'!AS14+'2012 полн'!AT14+'2012 полн'!AX14</f>
        <v>31456.645800000002</v>
      </c>
      <c r="M20" s="468">
        <f>'2012 полн'!AU14+'2012 полн'!AV14+'2012 полн'!AW14</f>
        <v>9692</v>
      </c>
      <c r="N20" s="468">
        <f>'2012 полн'!BD14</f>
        <v>1225.283</v>
      </c>
      <c r="O20" s="467">
        <f>'2012 полн'!BE14</f>
        <v>46992.3934</v>
      </c>
      <c r="P20" s="467">
        <f>'2012 полн'!BF14</f>
        <v>5490.958599999991</v>
      </c>
      <c r="Q20" s="467">
        <f>'2012 полн'!BG14</f>
        <v>4204.3299999999945</v>
      </c>
      <c r="R20" s="198"/>
      <c r="S20" s="198"/>
    </row>
    <row r="21" spans="1:19" ht="12.75" hidden="1">
      <c r="A21" s="209" t="s">
        <v>48</v>
      </c>
      <c r="B21" s="465">
        <f>'2012 полн'!B15</f>
        <v>5308.58</v>
      </c>
      <c r="C21" s="466">
        <f>'2012 полн'!C15</f>
        <v>45388.359000000004</v>
      </c>
      <c r="D21" s="466">
        <f>'2012 полн'!D15</f>
        <v>266.628</v>
      </c>
      <c r="E21" s="467">
        <f>'2012 полн'!U15</f>
        <v>46147.81</v>
      </c>
      <c r="F21" s="467">
        <f>'[10]2011 полн'!V15</f>
        <v>0</v>
      </c>
      <c r="G21" s="467">
        <f>'2012 полн'!AF15</f>
        <v>56459.57</v>
      </c>
      <c r="H21" s="467">
        <f>'2012 полн'!AG15</f>
        <v>56726.198</v>
      </c>
      <c r="I21" s="467">
        <f>'2012 полн'!AJ15</f>
        <v>1775.7440000000001</v>
      </c>
      <c r="J21" s="467">
        <f>'2012 полн'!AK15</f>
        <v>3556.7486000000004</v>
      </c>
      <c r="K21" s="467">
        <f>'2012 полн'!AL15</f>
        <v>1061.7160000000001</v>
      </c>
      <c r="L21" s="467">
        <f>'2012 полн'!AM15+'2012 полн'!AN15+'2012 полн'!AO15+'2012 полн'!AP15+'2012 полн'!AQ15+'2012 полн'!AR15+'2012 полн'!AS15+'2012 полн'!AT15+'2012 полн'!AX15</f>
        <v>31153.145800000002</v>
      </c>
      <c r="M21" s="468">
        <f>'2012 полн'!AU15+'2012 полн'!AV15+'2012 полн'!AW15</f>
        <v>151</v>
      </c>
      <c r="N21" s="468">
        <f>'2012 полн'!BD15</f>
        <v>1225.283</v>
      </c>
      <c r="O21" s="467">
        <f>'2012 полн'!BE15</f>
        <v>37147.8934</v>
      </c>
      <c r="P21" s="467">
        <f>'2012 полн'!BF15</f>
        <v>21354.048599999995</v>
      </c>
      <c r="Q21" s="467">
        <f>'2012 полн'!BG15</f>
        <v>10311.760000000002</v>
      </c>
      <c r="R21" s="198"/>
      <c r="S21" s="198"/>
    </row>
    <row r="22" spans="1:17" ht="12.75" hidden="1">
      <c r="A22" s="209" t="s">
        <v>49</v>
      </c>
      <c r="B22" s="465">
        <f>'2012 полн'!B16</f>
        <v>5308.58</v>
      </c>
      <c r="C22" s="466">
        <f>'2012 полн'!C16</f>
        <v>45388.359000000004</v>
      </c>
      <c r="D22" s="466">
        <f>'2012 полн'!D16</f>
        <v>266.628</v>
      </c>
      <c r="E22" s="467">
        <f>'2012 полн'!U16</f>
        <v>46136.17</v>
      </c>
      <c r="F22" s="467">
        <f>'[10]2011 полн'!V16</f>
        <v>0</v>
      </c>
      <c r="G22" s="467">
        <f>'2012 полн'!AF16</f>
        <v>43933.64</v>
      </c>
      <c r="H22" s="467">
        <f>'2012 полн'!AG16</f>
        <v>44200.268</v>
      </c>
      <c r="I22" s="467">
        <f>'2012 полн'!AJ16</f>
        <v>1775.7440000000001</v>
      </c>
      <c r="J22" s="467">
        <f>'2012 полн'!AK16</f>
        <v>3556.7486000000004</v>
      </c>
      <c r="K22" s="467">
        <f>'2012 полн'!AL16</f>
        <v>1061.7160000000001</v>
      </c>
      <c r="L22" s="467">
        <f>'2012 полн'!AM16+'2012 полн'!AN16+'2012 полн'!AO16+'2012 полн'!AP16+'2012 полн'!AQ16+'2012 полн'!AR16+'2012 полн'!AS16+'2012 полн'!AT16+'2012 полн'!AX16</f>
        <v>31285.0658</v>
      </c>
      <c r="M22" s="468">
        <f>'2012 полн'!AU16+'2012 полн'!AV16+'2012 полн'!AW16</f>
        <v>1550</v>
      </c>
      <c r="N22" s="468">
        <f>'2012 полн'!BD16</f>
        <v>1225.283</v>
      </c>
      <c r="O22" s="467">
        <f>'2012 полн'!BE16</f>
        <v>38678.8134</v>
      </c>
      <c r="P22" s="467">
        <f>'2012 полн'!BF16</f>
        <v>7297.198599999996</v>
      </c>
      <c r="Q22" s="467">
        <f>'2012 полн'!BG16</f>
        <v>-2202.529999999999</v>
      </c>
    </row>
    <row r="23" spans="1:17" ht="12.75" hidden="1">
      <c r="A23" s="209" t="s">
        <v>50</v>
      </c>
      <c r="B23" s="465">
        <f>'2012 полн'!B17</f>
        <v>5308.58</v>
      </c>
      <c r="C23" s="466">
        <f>'2012 полн'!C17</f>
        <v>45388.359000000004</v>
      </c>
      <c r="D23" s="466">
        <f>'2012 полн'!D17</f>
        <v>266.628</v>
      </c>
      <c r="E23" s="467">
        <f>'2012 полн'!U17</f>
        <v>46161.8</v>
      </c>
      <c r="F23" s="467">
        <f>'[10]2011 полн'!V17</f>
        <v>0</v>
      </c>
      <c r="G23" s="467">
        <f>'2012 полн'!AF17</f>
        <v>44427.509999999995</v>
      </c>
      <c r="H23" s="467">
        <f>'2012 полн'!AG17</f>
        <v>44694.13799999999</v>
      </c>
      <c r="I23" s="467">
        <f>'2012 полн'!AJ17</f>
        <v>1775.7440000000001</v>
      </c>
      <c r="J23" s="467">
        <f>'2012 полн'!AK17</f>
        <v>3556.7486000000004</v>
      </c>
      <c r="K23" s="467">
        <f>'2012 полн'!AL17</f>
        <v>1061.7160000000001</v>
      </c>
      <c r="L23" s="467">
        <f>'2012 полн'!AM17+'2012 полн'!AN17+'2012 полн'!AO17+'2012 полн'!AP17+'2012 полн'!AQ17+'2012 полн'!AR17+'2012 полн'!AS17+'2012 полн'!AT17+'2012 полн'!AX17</f>
        <v>31228.0008</v>
      </c>
      <c r="M23" s="468">
        <f>'2012 полн'!AU17+'2012 полн'!AV17+'2012 полн'!AW17</f>
        <v>2172</v>
      </c>
      <c r="N23" s="468">
        <f>'2012 полн'!BD17</f>
        <v>1225.283</v>
      </c>
      <c r="O23" s="467">
        <f>'2012 полн'!BE17</f>
        <v>39243.748400000004</v>
      </c>
      <c r="P23" s="467">
        <f>'2012 полн'!BF17</f>
        <v>7226.1335999999865</v>
      </c>
      <c r="Q23" s="467">
        <f>'2012 полн'!BG17</f>
        <v>-1734.2900000000081</v>
      </c>
    </row>
    <row r="24" spans="1:17" ht="12.75" hidden="1">
      <c r="A24" s="209" t="s">
        <v>51</v>
      </c>
      <c r="B24" s="465">
        <f>'2012 полн'!B18</f>
        <v>5308.58</v>
      </c>
      <c r="C24" s="466">
        <f>'2012 полн'!C18</f>
        <v>45388.359000000004</v>
      </c>
      <c r="D24" s="466">
        <f>'2012 полн'!D18</f>
        <v>266.628</v>
      </c>
      <c r="E24" s="467">
        <f>'2012 полн'!U18</f>
        <v>46788.28999999999</v>
      </c>
      <c r="F24" s="467">
        <f>'[10]2011 полн'!V18</f>
        <v>0</v>
      </c>
      <c r="G24" s="467">
        <f>'2012 полн'!AF18</f>
        <v>47126.619999999995</v>
      </c>
      <c r="H24" s="467">
        <f>'2012 полн'!AG18</f>
        <v>47393.24799999999</v>
      </c>
      <c r="I24" s="467">
        <f>'2012 полн'!AJ18</f>
        <v>1775.7440000000001</v>
      </c>
      <c r="J24" s="467">
        <f>'2012 полн'!AK18</f>
        <v>3556.7486000000004</v>
      </c>
      <c r="K24" s="467">
        <f>'2012 полн'!AL18</f>
        <v>1061.7160000000001</v>
      </c>
      <c r="L24" s="467">
        <f>'2012 полн'!AM18+'2012 полн'!AN18+'2012 полн'!AO18+'2012 полн'!AP18+'2012 полн'!AQ18+'2012 полн'!AR18+'2012 полн'!AS18+'2012 полн'!AT18+'2012 полн'!AX18</f>
        <v>33055.6258</v>
      </c>
      <c r="M24" s="468">
        <f>'2012 полн'!AU18+'2012 полн'!AV18+'2012 полн'!AW18</f>
        <v>3290</v>
      </c>
      <c r="N24" s="468">
        <f>'2012 полн'!BD18</f>
        <v>1225.283</v>
      </c>
      <c r="O24" s="467">
        <f>'2012 полн'!BE18</f>
        <v>42189.373400000004</v>
      </c>
      <c r="P24" s="467">
        <f>'2012 полн'!BF18</f>
        <v>6979.618599999987</v>
      </c>
      <c r="Q24" s="467">
        <f>'2012 полн'!BG18</f>
        <v>338.33000000000175</v>
      </c>
    </row>
    <row r="25" spans="1:17" ht="12.75" hidden="1">
      <c r="A25" s="209" t="s">
        <v>39</v>
      </c>
      <c r="B25" s="465">
        <f>'2012 полн'!B19</f>
        <v>5308.58</v>
      </c>
      <c r="C25" s="466">
        <f>'2012 полн'!C19</f>
        <v>45388.359000000004</v>
      </c>
      <c r="D25" s="466">
        <f>'2012 полн'!D19</f>
        <v>266.628</v>
      </c>
      <c r="E25" s="467">
        <f>'2012 полн'!U19</f>
        <v>21379.129999999997</v>
      </c>
      <c r="F25" s="467">
        <f>'[10]2011 полн'!V19</f>
        <v>0</v>
      </c>
      <c r="G25" s="467">
        <f>'2012 полн'!AF19</f>
        <v>47346.96</v>
      </c>
      <c r="H25" s="467">
        <f>'2012 полн'!AG19</f>
        <v>47613.587999999996</v>
      </c>
      <c r="I25" s="467">
        <f>'2012 полн'!AJ19</f>
        <v>1775.7440000000001</v>
      </c>
      <c r="J25" s="467">
        <f>'2012 полн'!AK19</f>
        <v>3556.7486000000004</v>
      </c>
      <c r="K25" s="467">
        <f>'2012 полн'!AL19</f>
        <v>1061.7160000000001</v>
      </c>
      <c r="L25" s="467">
        <f>'2012 полн'!AM19+'2012 полн'!AN19+'2012 полн'!AO19+'2012 полн'!AP19+'2012 полн'!AQ19+'2012 полн'!AR19+'2012 полн'!AS19+'2012 полн'!AT19+'2012 полн'!AX19</f>
        <v>37287.9628</v>
      </c>
      <c r="M25" s="468">
        <f>'2012 полн'!AU19+'2012 полн'!AV19+'2012 полн'!AW19</f>
        <v>0</v>
      </c>
      <c r="N25" s="468">
        <f>'2012 полн'!BD19</f>
        <v>1225.283</v>
      </c>
      <c r="O25" s="467">
        <f>'2012 полн'!BE19</f>
        <v>43131.710399999996</v>
      </c>
      <c r="P25" s="467">
        <f>'2012 полн'!BF19</f>
        <v>6257.621599999999</v>
      </c>
      <c r="Q25" s="467">
        <f>'2012 полн'!BG19</f>
        <v>25967.83</v>
      </c>
    </row>
    <row r="26" spans="1:17" ht="12.75" hidden="1">
      <c r="A26" s="209" t="s">
        <v>40</v>
      </c>
      <c r="B26" s="465">
        <f>'2012 полн'!B20</f>
        <v>5308.28</v>
      </c>
      <c r="C26" s="466">
        <f>'2012 полн'!C20</f>
        <v>45385.794</v>
      </c>
      <c r="D26" s="466">
        <f>'2012 полн'!D20</f>
        <v>266.628</v>
      </c>
      <c r="E26" s="467">
        <f>'2012 полн'!U20</f>
        <v>46779.13</v>
      </c>
      <c r="F26" s="467">
        <f>'[10]2011 полн'!V20</f>
        <v>0</v>
      </c>
      <c r="G26" s="467">
        <f>'2012 полн'!AF20</f>
        <v>38962.73</v>
      </c>
      <c r="H26" s="467">
        <f>'2012 полн'!AG20</f>
        <v>39229.358</v>
      </c>
      <c r="I26" s="467">
        <f>'2012 полн'!AJ20</f>
        <v>1775.7440000000001</v>
      </c>
      <c r="J26" s="467">
        <f>'2012 полн'!AK20</f>
        <v>3556.5476</v>
      </c>
      <c r="K26" s="467">
        <f>'2012 полн'!AL20</f>
        <v>1061.656</v>
      </c>
      <c r="L26" s="467">
        <f>'2012 полн'!AM20+'2012 полн'!AN20+'2012 полн'!AO20+'2012 полн'!AP20+'2012 полн'!AQ20+'2012 полн'!AR20+'2012 полн'!AS20+'2012 полн'!AT20+'2012 полн'!AX20</f>
        <v>37247.43979999999</v>
      </c>
      <c r="M26" s="468">
        <f>'2012 полн'!AU20+'2012 полн'!AV20+'2012 полн'!AW20</f>
        <v>0</v>
      </c>
      <c r="N26" s="468">
        <f>'2012 полн'!BD20</f>
        <v>1225.283</v>
      </c>
      <c r="O26" s="467">
        <f>'2012 полн'!BE20</f>
        <v>43090.9264</v>
      </c>
      <c r="P26" s="467">
        <f>'2012 полн'!BF20</f>
        <v>-2085.8243999999977</v>
      </c>
      <c r="Q26" s="467">
        <f>'2012 полн'!BG20</f>
        <v>-7816.399999999994</v>
      </c>
    </row>
    <row r="27" spans="1:17" ht="13.5" hidden="1" thickBot="1">
      <c r="A27" s="469" t="s">
        <v>41</v>
      </c>
      <c r="B27" s="470">
        <f>'2012 полн'!B21</f>
        <v>5308.28</v>
      </c>
      <c r="C27" s="471">
        <f>'2012 полн'!C21</f>
        <v>45385.794</v>
      </c>
      <c r="D27" s="471">
        <f>'2012 полн'!D21</f>
        <v>266.628</v>
      </c>
      <c r="E27" s="283">
        <f>'2012 полн'!U21</f>
        <v>46767.770000000004</v>
      </c>
      <c r="F27" s="283">
        <f>'[10]2011 полн'!V21</f>
        <v>0</v>
      </c>
      <c r="G27" s="283">
        <f>'2012 полн'!AF21</f>
        <v>55684.119999999995</v>
      </c>
      <c r="H27" s="283">
        <f>'2012 полн'!AG21</f>
        <v>55950.74799999999</v>
      </c>
      <c r="I27" s="283">
        <f>'2012 полн'!AJ21</f>
        <v>1775.7440000000001</v>
      </c>
      <c r="J27" s="283">
        <f>'2012 полн'!AK21</f>
        <v>3556.5476</v>
      </c>
      <c r="K27" s="283">
        <f>'2012 полн'!AL21</f>
        <v>1061.656</v>
      </c>
      <c r="L27" s="283">
        <f>'2012 полн'!AM21+'2012 полн'!AN21+'2012 полн'!AO21+'2012 полн'!AP21+'2012 полн'!AQ21+'2012 полн'!AR21+'2012 полн'!AS21+'2012 полн'!AT21+'2012 полн'!AX21</f>
        <v>37247.43979999999</v>
      </c>
      <c r="M27" s="284">
        <f>'2012 полн'!AU21+'2012 полн'!AV21+'2012 полн'!AW21</f>
        <v>0</v>
      </c>
      <c r="N27" s="284">
        <f>'2012 полн'!BD21</f>
        <v>1225.283</v>
      </c>
      <c r="O27" s="283">
        <f>'2012 полн'!BE21</f>
        <v>43090.9264</v>
      </c>
      <c r="P27" s="283">
        <f>'2012 полн'!BF21</f>
        <v>14635.565599999994</v>
      </c>
      <c r="Q27" s="283">
        <f>'2012 полн'!BG21</f>
        <v>8916.349999999991</v>
      </c>
    </row>
    <row r="28" spans="1:19" s="16" customFormat="1" ht="13.5" hidden="1" thickBot="1">
      <c r="A28" s="31" t="s">
        <v>3</v>
      </c>
      <c r="B28" s="32"/>
      <c r="C28" s="65">
        <f aca="true" t="shared" si="0" ref="C28:P28">SUM(C16:C27)</f>
        <v>544627.818</v>
      </c>
      <c r="D28" s="65">
        <f t="shared" si="0"/>
        <v>3199.5360000000005</v>
      </c>
      <c r="E28" s="65">
        <f t="shared" si="0"/>
        <v>531235.9799999999</v>
      </c>
      <c r="F28" s="65">
        <f t="shared" si="0"/>
        <v>0</v>
      </c>
      <c r="G28" s="65">
        <f t="shared" si="0"/>
        <v>545799.51</v>
      </c>
      <c r="H28" s="65">
        <f t="shared" si="0"/>
        <v>548999.046</v>
      </c>
      <c r="I28" s="65">
        <f t="shared" si="0"/>
        <v>21308.928</v>
      </c>
      <c r="J28" s="65">
        <f t="shared" si="0"/>
        <v>42678.43719999999</v>
      </c>
      <c r="K28" s="65">
        <f t="shared" si="0"/>
        <v>12739.832000000002</v>
      </c>
      <c r="L28" s="65">
        <f t="shared" si="0"/>
        <v>415624.75859999994</v>
      </c>
      <c r="M28" s="65">
        <f t="shared" si="0"/>
        <v>26524</v>
      </c>
      <c r="N28" s="65">
        <f t="shared" si="0"/>
        <v>14703.395999999995</v>
      </c>
      <c r="O28" s="65">
        <f t="shared" si="0"/>
        <v>512270.42379999993</v>
      </c>
      <c r="P28" s="65">
        <f t="shared" si="0"/>
        <v>58037.55019999993</v>
      </c>
      <c r="Q28" s="65">
        <f>SUM(Q16:Q27)</f>
        <v>14563.530000000006</v>
      </c>
      <c r="R28" s="61"/>
      <c r="S28" s="61"/>
    </row>
    <row r="29" spans="1:17" ht="13.5" hidden="1" thickBot="1">
      <c r="A29" s="448" t="s">
        <v>66</v>
      </c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273"/>
      <c r="P29" s="274"/>
      <c r="Q29" s="274"/>
    </row>
    <row r="30" spans="1:19" s="16" customFormat="1" ht="13.5" thickBot="1">
      <c r="A30" s="70" t="s">
        <v>52</v>
      </c>
      <c r="B30" s="35"/>
      <c r="C30" s="36">
        <f aca="true" t="shared" si="1" ref="C30:Q30">C28+C14</f>
        <v>1783294.324</v>
      </c>
      <c r="D30" s="36">
        <f t="shared" si="1"/>
        <v>213616.68570645005</v>
      </c>
      <c r="E30" s="36">
        <f t="shared" si="1"/>
        <v>1465723.0299999998</v>
      </c>
      <c r="F30" s="36">
        <f t="shared" si="1"/>
        <v>165086.43</v>
      </c>
      <c r="G30" s="36">
        <f>G28+G14</f>
        <v>1421031.8399999999</v>
      </c>
      <c r="H30" s="36">
        <f>H28+H14</f>
        <v>1799734.9557064502</v>
      </c>
      <c r="I30" s="36">
        <f>I28+I14</f>
        <v>67794.95289999999</v>
      </c>
      <c r="J30" s="36">
        <f>J28+J14</f>
        <v>127324.8352</v>
      </c>
      <c r="K30" s="36">
        <f t="shared" si="1"/>
        <v>41103.29255900001</v>
      </c>
      <c r="L30" s="36">
        <f t="shared" si="1"/>
        <v>1131273.469887733</v>
      </c>
      <c r="M30" s="36">
        <f t="shared" si="1"/>
        <v>514517.12879999995</v>
      </c>
      <c r="N30" s="36">
        <f t="shared" si="1"/>
        <v>36744.6761911848</v>
      </c>
      <c r="O30" s="36">
        <f t="shared" si="1"/>
        <v>1850963.4026379178</v>
      </c>
      <c r="P30" s="36">
        <f t="shared" si="1"/>
        <v>16566.50596853203</v>
      </c>
      <c r="Q30" s="36">
        <f t="shared" si="1"/>
        <v>-44691.19</v>
      </c>
      <c r="R30" s="62"/>
      <c r="S30" s="61"/>
    </row>
    <row r="31" spans="1:19" ht="12.75">
      <c r="A31" s="275" t="s">
        <v>127</v>
      </c>
      <c r="B31" s="276"/>
      <c r="C31" s="277"/>
      <c r="D31" s="278"/>
      <c r="E31" s="279"/>
      <c r="F31" s="280"/>
      <c r="G31" s="281"/>
      <c r="H31" s="280"/>
      <c r="I31" s="282"/>
      <c r="J31" s="281"/>
      <c r="K31" s="283"/>
      <c r="L31" s="283"/>
      <c r="M31" s="284"/>
      <c r="N31" s="285"/>
      <c r="O31" s="286"/>
      <c r="P31" s="287"/>
      <c r="Q31" s="287"/>
      <c r="R31" s="198"/>
      <c r="S31" s="198"/>
    </row>
    <row r="32" spans="1:19" ht="12.75">
      <c r="A32" s="209" t="s">
        <v>43</v>
      </c>
      <c r="B32" s="465">
        <f>'2012 полн'!B26</f>
        <v>5308.28</v>
      </c>
      <c r="C32" s="466">
        <f>'2012 полн'!C26</f>
        <v>45385.794</v>
      </c>
      <c r="D32" s="466">
        <f>'2012 полн'!D26</f>
        <v>266.628</v>
      </c>
      <c r="E32" s="467">
        <f>'2012 полн'!U26</f>
        <v>46774.11</v>
      </c>
      <c r="F32" s="467">
        <f>'[10]2011 полн'!V26</f>
        <v>0</v>
      </c>
      <c r="G32" s="467">
        <f>'2012 полн'!AF26</f>
        <v>40363.2</v>
      </c>
      <c r="H32" s="467">
        <f>'2012 полн'!AG26</f>
        <v>40629.827999999994</v>
      </c>
      <c r="I32" s="467">
        <f>'2012 полн'!AJ26</f>
        <v>2239.7650000000003</v>
      </c>
      <c r="J32" s="467">
        <f>'2012 полн'!AK26</f>
        <v>3556.5476</v>
      </c>
      <c r="K32" s="467">
        <f>'2012 полн'!AL26</f>
        <v>1061.656</v>
      </c>
      <c r="L32" s="467">
        <f>'2012 полн'!AM26+'2012 полн'!AN26+'2012 полн'!AO26+'2012 полн'!AP26+'2012 полн'!AQ26+'2012 полн'!AR26+'2012 полн'!AS26+'2012 полн'!AT26+'2012 полн'!AX26</f>
        <v>37247.43979999999</v>
      </c>
      <c r="M32" s="468">
        <f>'2012 полн'!AU26+'2012 полн'!AV26+'2012 полн'!AW26</f>
        <v>0</v>
      </c>
      <c r="N32" s="468">
        <f>'2012 полн'!BD26</f>
        <v>1225.283</v>
      </c>
      <c r="O32" s="467">
        <f>'2012 полн'!BE26</f>
        <v>43090.9264</v>
      </c>
      <c r="P32" s="467">
        <f>'2012 полн'!BF26</f>
        <v>-221.33340000000317</v>
      </c>
      <c r="Q32" s="467">
        <f>'2012 полн'!BG26</f>
        <v>-6410.9100000000035</v>
      </c>
      <c r="R32" s="198"/>
      <c r="S32" s="198"/>
    </row>
    <row r="33" spans="1:19" ht="12.75">
      <c r="A33" s="209" t="s">
        <v>44</v>
      </c>
      <c r="B33" s="465">
        <f>'2012 полн'!B27</f>
        <v>5308.28</v>
      </c>
      <c r="C33" s="466">
        <f>'2012 полн'!C27</f>
        <v>45385.794</v>
      </c>
      <c r="D33" s="466">
        <f>'2012 полн'!D27</f>
        <v>266.628</v>
      </c>
      <c r="E33" s="467">
        <f>'2012 полн'!U27</f>
        <v>46766.590000000004</v>
      </c>
      <c r="F33" s="467">
        <f>'[10]2011 полн'!V27</f>
        <v>0</v>
      </c>
      <c r="G33" s="467">
        <f>'2012 полн'!AF27</f>
        <v>40801.689999999995</v>
      </c>
      <c r="H33" s="467">
        <f>'2012 полн'!AG27</f>
        <v>41068.31799999999</v>
      </c>
      <c r="I33" s="467">
        <f>'2012 полн'!AJ27</f>
        <v>2239.7650000000003</v>
      </c>
      <c r="J33" s="467">
        <f>'2012 полн'!AK27</f>
        <v>3556.5476</v>
      </c>
      <c r="K33" s="467">
        <f>'2012 полн'!AL27</f>
        <v>1061.656</v>
      </c>
      <c r="L33" s="467">
        <f>'2012 полн'!AM27+'2012 полн'!AN27+'2012 полн'!AO27+'2012 полн'!AP27+'2012 полн'!AQ27+'2012 полн'!AR27+'2012 полн'!AS27+'2012 полн'!AT27+'2012 полн'!AX27</f>
        <v>40896.43979999999</v>
      </c>
      <c r="M33" s="468">
        <f>'2012 полн'!AU27+'2012 полн'!AV27+'2012 полн'!AW27</f>
        <v>5245</v>
      </c>
      <c r="N33" s="468">
        <f>'2012 полн'!BD27</f>
        <v>1225.283</v>
      </c>
      <c r="O33" s="467">
        <f>'2012 полн'!BE27</f>
        <v>51984.9264</v>
      </c>
      <c r="P33" s="467">
        <f>'2012 полн'!BF27</f>
        <v>-8676.843400000005</v>
      </c>
      <c r="Q33" s="467">
        <f>'2012 полн'!BG27</f>
        <v>-5964.900000000009</v>
      </c>
      <c r="R33" s="198"/>
      <c r="S33" s="198"/>
    </row>
    <row r="34" spans="1:19" ht="12.75">
      <c r="A34" s="209" t="s">
        <v>45</v>
      </c>
      <c r="B34" s="465">
        <f>'2012 полн'!B28</f>
        <v>5308.28</v>
      </c>
      <c r="C34" s="466">
        <f>'2012 полн'!C28</f>
        <v>45385.794</v>
      </c>
      <c r="D34" s="466">
        <f>'2012 полн'!D28</f>
        <v>266.628</v>
      </c>
      <c r="E34" s="467">
        <f>'2012 полн'!U28</f>
        <v>46744.51</v>
      </c>
      <c r="F34" s="467">
        <f>'[10]2011 полн'!V28</f>
        <v>0</v>
      </c>
      <c r="G34" s="467">
        <f>'2012 полн'!AF28</f>
        <v>46042.83</v>
      </c>
      <c r="H34" s="467">
        <f>'2012 полн'!AG28</f>
        <v>46309.458</v>
      </c>
      <c r="I34" s="467">
        <f>'2012 полн'!AJ28</f>
        <v>2961.9350000000004</v>
      </c>
      <c r="J34" s="467">
        <f>'2012 полн'!AK28</f>
        <v>3556.5476</v>
      </c>
      <c r="K34" s="467">
        <f>'2012 полн'!AL28</f>
        <v>1061.656</v>
      </c>
      <c r="L34" s="467">
        <f>'2012 полн'!AM28+'2012 полн'!AN28+'2012 полн'!AO28+'2012 полн'!AP28+'2012 полн'!AQ28+'2012 полн'!AR28+'2012 полн'!AS28+'2012 полн'!AT28+'2012 полн'!AX28</f>
        <v>38784.729799999994</v>
      </c>
      <c r="M34" s="468">
        <f>'2012 полн'!AU28+'2012 полн'!AV28+'2012 полн'!AW28</f>
        <v>2798.76</v>
      </c>
      <c r="N34" s="468">
        <f>'2012 полн'!BD28</f>
        <v>1631.857</v>
      </c>
      <c r="O34" s="467">
        <f>'2012 полн'!BE28</f>
        <v>47833.55039999999</v>
      </c>
      <c r="P34" s="467">
        <f>'2012 полн'!BF28</f>
        <v>1437.8426000000036</v>
      </c>
      <c r="Q34" s="467">
        <f>'2012 полн'!BG28</f>
        <v>-701.6800000000003</v>
      </c>
      <c r="R34" s="198"/>
      <c r="S34" s="198"/>
    </row>
    <row r="35" spans="1:19" ht="12.75">
      <c r="A35" s="209" t="s">
        <v>46</v>
      </c>
      <c r="B35" s="465">
        <f>'2012 полн'!B29</f>
        <v>5308.28</v>
      </c>
      <c r="C35" s="466">
        <f>'2012 полн'!C29</f>
        <v>45385.794</v>
      </c>
      <c r="D35" s="466">
        <f>'2012 полн'!D29</f>
        <v>266.628</v>
      </c>
      <c r="E35" s="467">
        <f>'2012 полн'!U29</f>
        <v>46857.58</v>
      </c>
      <c r="F35" s="467">
        <f>'[10]2011 полн'!V29</f>
        <v>0</v>
      </c>
      <c r="G35" s="467">
        <f>'2012 полн'!AF29</f>
        <v>42592.8</v>
      </c>
      <c r="H35" s="467">
        <f>'2012 полн'!AG29</f>
        <v>42859.428</v>
      </c>
      <c r="I35" s="467">
        <f>'2012 полн'!AJ29</f>
        <v>2961.9350000000004</v>
      </c>
      <c r="J35" s="467">
        <f>'2012 полн'!AK29</f>
        <v>3556.5476</v>
      </c>
      <c r="K35" s="467">
        <f>'2012 полн'!AL29</f>
        <v>1061.656</v>
      </c>
      <c r="L35" s="467">
        <f>'2012 полн'!AM29+'2012 полн'!AN29+'2012 полн'!AO29+'2012 полн'!AP29+'2012 полн'!AQ29+'2012 полн'!AR29+'2012 полн'!AS29+'2012 полн'!AT29+'2012 полн'!AX29</f>
        <v>32473.357799999994</v>
      </c>
      <c r="M35" s="468">
        <f>'2012 полн'!AU29+'2012 полн'!AV29+'2012 полн'!AW29</f>
        <v>13189</v>
      </c>
      <c r="N35" s="468">
        <f>'2012 полн'!BD29</f>
        <v>1631.857</v>
      </c>
      <c r="O35" s="467">
        <f>'2012 полн'!BE29</f>
        <v>51912.418399999995</v>
      </c>
      <c r="P35" s="467">
        <f>'2012 полн'!BF29</f>
        <v>-6091.0553999999975</v>
      </c>
      <c r="Q35" s="467">
        <f>'2012 полн'!BG29</f>
        <v>-4264.779999999999</v>
      </c>
      <c r="R35" s="198"/>
      <c r="S35" s="198"/>
    </row>
    <row r="36" spans="1:19" ht="12.75">
      <c r="A36" s="209" t="s">
        <v>47</v>
      </c>
      <c r="B36" s="465">
        <f>'2012 полн'!B30</f>
        <v>5308.28</v>
      </c>
      <c r="C36" s="466">
        <f>'2012 полн'!C30</f>
        <v>45385.794</v>
      </c>
      <c r="D36" s="466">
        <f>'2012 полн'!D30</f>
        <v>266.628</v>
      </c>
      <c r="E36" s="467">
        <f>'2012 полн'!U30</f>
        <v>46870.09</v>
      </c>
      <c r="F36" s="467">
        <f>'[10]2011 полн'!V30</f>
        <v>0</v>
      </c>
      <c r="G36" s="467">
        <f>'2012 полн'!AF30</f>
        <v>49874</v>
      </c>
      <c r="H36" s="467">
        <f>'2012 полн'!AG30</f>
        <v>50140.628</v>
      </c>
      <c r="I36" s="467">
        <f>'2012 полн'!AJ30</f>
        <v>2961.9350000000004</v>
      </c>
      <c r="J36" s="467">
        <f>'2012 полн'!AK30</f>
        <v>3556.5476</v>
      </c>
      <c r="K36" s="467">
        <f>'2012 полн'!AL30</f>
        <v>1061.656</v>
      </c>
      <c r="L36" s="467">
        <f>'2012 полн'!AM30+'2012 полн'!AN30+'2012 полн'!AO30+'2012 полн'!AP30+'2012 полн'!AQ30+'2012 полн'!AR30+'2012 полн'!AS30+'2012 полн'!AT30+'2012 полн'!AX30</f>
        <v>32422.017799999994</v>
      </c>
      <c r="M36" s="468">
        <f>'2012 полн'!AU30+'2012 полн'!AV30+'2012 полн'!AW30</f>
        <v>1996</v>
      </c>
      <c r="N36" s="468">
        <f>'2012 полн'!BD30</f>
        <v>1631.857</v>
      </c>
      <c r="O36" s="467">
        <f>'2012 полн'!BE30</f>
        <v>40668.0784</v>
      </c>
      <c r="P36" s="467">
        <f>'2012 полн'!BF30</f>
        <v>12434.484599999996</v>
      </c>
      <c r="Q36" s="467">
        <f>'2012 полн'!BG30</f>
        <v>3003.9100000000035</v>
      </c>
      <c r="R36" s="198"/>
      <c r="S36" s="198"/>
    </row>
    <row r="37" spans="1:19" ht="12.75">
      <c r="A37" s="209" t="s">
        <v>48</v>
      </c>
      <c r="B37" s="465">
        <f>'2012 полн'!B31</f>
        <v>5308.28</v>
      </c>
      <c r="C37" s="466">
        <f>'2012 полн'!C31</f>
        <v>45385.794</v>
      </c>
      <c r="D37" s="466">
        <f>'2012 полн'!D31</f>
        <v>266.628</v>
      </c>
      <c r="E37" s="467">
        <f>'2012 полн'!U31</f>
        <v>46902.86000000001</v>
      </c>
      <c r="F37" s="467">
        <f>'[10]2011 полн'!V31</f>
        <v>0</v>
      </c>
      <c r="G37" s="467">
        <f>'2012 полн'!AF31</f>
        <v>46278.19</v>
      </c>
      <c r="H37" s="467">
        <f>'2012 полн'!AG31</f>
        <v>46544.818</v>
      </c>
      <c r="I37" s="467">
        <f>'2012 полн'!AJ31</f>
        <v>3161.9350000000004</v>
      </c>
      <c r="J37" s="467">
        <f>'2012 полн'!AK31</f>
        <v>3556.5476</v>
      </c>
      <c r="K37" s="467">
        <f>'2012 полн'!AL31</f>
        <v>1061.656</v>
      </c>
      <c r="L37" s="467">
        <f>'2012 полн'!AM31+'2012 полн'!AN31+'2012 полн'!AO31+'2012 полн'!AP31+'2012 полн'!AQ31+'2012 полн'!AR31+'2012 полн'!AS31+'2012 полн'!AT31+'2012 полн'!AX31</f>
        <v>76172.4878</v>
      </c>
      <c r="M37" s="468">
        <f>'2012 полн'!AU31+'2012 полн'!AV31+'2012 полн'!AW31</f>
        <v>395</v>
      </c>
      <c r="N37" s="468">
        <f>'2012 полн'!BD31</f>
        <v>1681.857</v>
      </c>
      <c r="O37" s="467">
        <f>'2012 полн'!BE31</f>
        <v>82867.5484</v>
      </c>
      <c r="P37" s="467">
        <f>'2012 полн'!BF31</f>
        <v>-33160.7954</v>
      </c>
      <c r="Q37" s="467">
        <f>'2012 полн'!BG31</f>
        <v>-624.6700000000055</v>
      </c>
      <c r="R37" s="198"/>
      <c r="S37" s="198"/>
    </row>
    <row r="38" spans="1:17" ht="12.75">
      <c r="A38" s="209" t="s">
        <v>49</v>
      </c>
      <c r="B38" s="465">
        <f>'2012 полн'!B32</f>
        <v>5308.28</v>
      </c>
      <c r="C38" s="466">
        <f>'2012 полн'!C32</f>
        <v>50481.7428</v>
      </c>
      <c r="D38" s="466">
        <f>'2012 полн'!D32</f>
        <v>356.811</v>
      </c>
      <c r="E38" s="467">
        <f>'2012 полн'!U32</f>
        <v>52201.66</v>
      </c>
      <c r="F38" s="467">
        <f>'[10]2011 полн'!V32</f>
        <v>0</v>
      </c>
      <c r="G38" s="467">
        <f>'2012 полн'!AF32</f>
        <v>43921.97</v>
      </c>
      <c r="H38" s="467">
        <f>'2012 полн'!AG32</f>
        <v>44278.781</v>
      </c>
      <c r="I38" s="467">
        <f>'2012 полн'!AJ32</f>
        <v>3161.9350000000004</v>
      </c>
      <c r="J38" s="467">
        <f>'2012 полн'!AK32</f>
        <v>3981.21</v>
      </c>
      <c r="K38" s="467">
        <f>'2012 полн'!AL32</f>
        <v>1061.656</v>
      </c>
      <c r="L38" s="467">
        <f>'2012 полн'!AM32+'2012 полн'!AN32+'2012 полн'!AO32+'2012 полн'!AP32+'2012 полн'!AQ32+'2012 полн'!AR32+'2012 полн'!AS32+'2012 полн'!AT32+'2012 полн'!AX32</f>
        <v>31475.907799999997</v>
      </c>
      <c r="M38" s="468">
        <f>'2012 полн'!AU32+'2012 полн'!AV32+'2012 полн'!AW32</f>
        <v>571</v>
      </c>
      <c r="N38" s="468">
        <f>'2012 полн'!BD32</f>
        <v>1681.857</v>
      </c>
      <c r="O38" s="467">
        <f>'2012 полн'!BE32</f>
        <v>38771.6308</v>
      </c>
      <c r="P38" s="467">
        <f>'2012 полн'!BF32</f>
        <v>8669.085200000001</v>
      </c>
      <c r="Q38" s="467">
        <f>'2012 полн'!BG32</f>
        <v>-8279.690000000002</v>
      </c>
    </row>
    <row r="39" spans="1:17" ht="12.75">
      <c r="A39" s="209" t="s">
        <v>50</v>
      </c>
      <c r="B39" s="465">
        <f>'2012 полн'!B33</f>
        <v>5308.28</v>
      </c>
      <c r="C39" s="466">
        <f>'2012 полн'!C33</f>
        <v>50481.7428</v>
      </c>
      <c r="D39" s="466">
        <f>'2012 полн'!D33</f>
        <v>0</v>
      </c>
      <c r="E39" s="467">
        <f>'2012 полн'!U33</f>
        <v>52184.07</v>
      </c>
      <c r="F39" s="467">
        <f>'[10]2011 полн'!V33</f>
        <v>0</v>
      </c>
      <c r="G39" s="467">
        <f>'2012 полн'!AF33</f>
        <v>53280.28999999999</v>
      </c>
      <c r="H39" s="467">
        <f>'2012 полн'!AG33</f>
        <v>53280.28999999999</v>
      </c>
      <c r="I39" s="467">
        <f>'2012 полн'!AJ33</f>
        <v>5561.935</v>
      </c>
      <c r="J39" s="467">
        <f>'2012 полн'!AK33</f>
        <v>3981.21</v>
      </c>
      <c r="K39" s="467">
        <f>'2012 полн'!AL33</f>
        <v>1061.656</v>
      </c>
      <c r="L39" s="467">
        <f>'2012 полн'!AM33+'2012 полн'!AN33+'2012 полн'!AO33+'2012 полн'!AP33+'2012 полн'!AQ33+'2012 полн'!AR33+'2012 полн'!AS33+'2012 полн'!AT33+'2012 полн'!AX33</f>
        <v>33104.3978</v>
      </c>
      <c r="M39" s="468">
        <f>'2012 полн'!AU33+'2012 полн'!AV33+'2012 полн'!AW33</f>
        <v>2021</v>
      </c>
      <c r="N39" s="468">
        <f>'2012 полн'!BD33</f>
        <v>2281.857</v>
      </c>
      <c r="O39" s="467">
        <f>'2012 полн'!BE33</f>
        <v>42450.120800000004</v>
      </c>
      <c r="P39" s="467">
        <f>'2012 полн'!BF33</f>
        <v>16392.104199999987</v>
      </c>
      <c r="Q39" s="467">
        <f>'2012 полн'!BG33</f>
        <v>1096.219999999994</v>
      </c>
    </row>
    <row r="40" spans="1:17" ht="12.75">
      <c r="A40" s="209" t="s">
        <v>51</v>
      </c>
      <c r="B40" s="465">
        <f>'2012 полн'!B34</f>
        <v>5308.28</v>
      </c>
      <c r="C40" s="466">
        <f>'2012 полн'!C34</f>
        <v>50481.7428</v>
      </c>
      <c r="D40" s="466">
        <f>'2012 полн'!D34</f>
        <v>0</v>
      </c>
      <c r="E40" s="467">
        <f>'2012 полн'!U34</f>
        <v>52176.75</v>
      </c>
      <c r="F40" s="467">
        <f>'[10]2011 полн'!V34</f>
        <v>0</v>
      </c>
      <c r="G40" s="467">
        <f>'2012 полн'!AF34</f>
        <v>45158.89</v>
      </c>
      <c r="H40" s="467">
        <f>'2012 полн'!AG34</f>
        <v>45158.89</v>
      </c>
      <c r="I40" s="467">
        <f>'2012 полн'!AJ34</f>
        <v>3961.9350000000004</v>
      </c>
      <c r="J40" s="467">
        <f>'2012 полн'!AK34</f>
        <v>3981.21</v>
      </c>
      <c r="K40" s="467">
        <f>'2012 полн'!AL34</f>
        <v>1061.656</v>
      </c>
      <c r="L40" s="467">
        <f>'2012 полн'!AM34+'2012 полн'!AN34+'2012 полн'!AO34+'2012 полн'!AP34+'2012 полн'!AQ34+'2012 полн'!AR34+'2012 полн'!AS34+'2012 полн'!AT34+'2012 полн'!AX34</f>
        <v>31730.377799999995</v>
      </c>
      <c r="M40" s="468">
        <f>'2012 полн'!AU34+'2012 полн'!AV34+'2012 полн'!AW34</f>
        <v>3816</v>
      </c>
      <c r="N40" s="468">
        <f>'2012 полн'!BD34</f>
        <v>1881.857</v>
      </c>
      <c r="O40" s="467">
        <f>'2012 полн'!BE34</f>
        <v>42471.1008</v>
      </c>
      <c r="P40" s="467">
        <f>'2012 полн'!BF34</f>
        <v>6649.724199999997</v>
      </c>
      <c r="Q40" s="467">
        <f>'2012 полн'!BG34</f>
        <v>-7017.860000000001</v>
      </c>
    </row>
    <row r="41" spans="1:17" ht="12.75">
      <c r="A41" s="209" t="s">
        <v>39</v>
      </c>
      <c r="B41" s="465">
        <f>'2012 полн'!B35</f>
        <v>5308.28</v>
      </c>
      <c r="C41" s="466">
        <f>'2012 полн'!C35</f>
        <v>50481.7428</v>
      </c>
      <c r="D41" s="466">
        <f>'2012 полн'!D35</f>
        <v>0</v>
      </c>
      <c r="E41" s="467">
        <f>'2012 полн'!U35</f>
        <v>52172.56</v>
      </c>
      <c r="F41" s="467">
        <f>'[10]2011 полн'!V35</f>
        <v>0</v>
      </c>
      <c r="G41" s="467">
        <f>'2012 полн'!AF35</f>
        <v>53249.48</v>
      </c>
      <c r="H41" s="467">
        <f>'2012 полн'!AG35</f>
        <v>53249.48</v>
      </c>
      <c r="I41" s="467">
        <f>'2012 полн'!AJ35</f>
        <v>3961.9350000000004</v>
      </c>
      <c r="J41" s="467">
        <f>'2012 полн'!AK35</f>
        <v>3981.21</v>
      </c>
      <c r="K41" s="467">
        <f>'2012 полн'!AL35</f>
        <v>1061.656</v>
      </c>
      <c r="L41" s="467">
        <f>'2012 полн'!AM35+'2012 полн'!AN35+'2012 полн'!AO35+'2012 полн'!AP35+'2012 полн'!AQ35+'2012 полн'!AR35+'2012 полн'!AS35+'2012 полн'!AT35+'2012 полн'!AX35</f>
        <v>38449.61669999999</v>
      </c>
      <c r="M41" s="468">
        <f>'2012 полн'!AU35+'2012 полн'!AV35+'2012 полн'!AW35</f>
        <v>0</v>
      </c>
      <c r="N41" s="468">
        <f>'2012 полн'!BD35</f>
        <v>1881.857</v>
      </c>
      <c r="O41" s="467">
        <f>'2012 полн'!BE35</f>
        <v>45374.3397</v>
      </c>
      <c r="P41" s="467">
        <f>'2012 полн'!BF35</f>
        <v>11837.075300000004</v>
      </c>
      <c r="Q41" s="467">
        <f>'2012 полн'!BG35</f>
        <v>1076.9200000000055</v>
      </c>
    </row>
    <row r="42" spans="1:17" ht="12.75">
      <c r="A42" s="209" t="s">
        <v>40</v>
      </c>
      <c r="B42" s="465">
        <f>'2012 полн'!B36</f>
        <v>5308.28</v>
      </c>
      <c r="C42" s="466">
        <f>'2012 полн'!C36</f>
        <v>50481.7428</v>
      </c>
      <c r="D42" s="466">
        <f>'2012 полн'!D36</f>
        <v>0</v>
      </c>
      <c r="E42" s="467">
        <f>'2012 полн'!U36</f>
        <v>52172.56</v>
      </c>
      <c r="F42" s="467">
        <f>'[10]2011 полн'!V36</f>
        <v>0</v>
      </c>
      <c r="G42" s="467">
        <f>'2012 полн'!AF36</f>
        <v>54163.85</v>
      </c>
      <c r="H42" s="467">
        <f>'2012 полн'!AG36</f>
        <v>54163.85</v>
      </c>
      <c r="I42" s="467">
        <f>'2012 полн'!AJ36</f>
        <v>3961.9350000000004</v>
      </c>
      <c r="J42" s="467">
        <f>'2012 полн'!AK36</f>
        <v>3981.21</v>
      </c>
      <c r="K42" s="467">
        <f>'2012 полн'!AL36</f>
        <v>1061.656</v>
      </c>
      <c r="L42" s="467">
        <f>'2012 полн'!AM36+'2012 полн'!AN36+'2012 полн'!AO36+'2012 полн'!AP36+'2012 полн'!AQ36+'2012 полн'!AR36+'2012 полн'!AS36+'2012 полн'!AT36+'2012 полн'!AX36</f>
        <v>37418.49919999999</v>
      </c>
      <c r="M42" s="468">
        <f>'2012 полн'!AU36+'2012 полн'!AV36+'2012 полн'!AW36</f>
        <v>0</v>
      </c>
      <c r="N42" s="468">
        <f>'2012 полн'!BD36</f>
        <v>1881.857</v>
      </c>
      <c r="O42" s="467">
        <f>'2012 полн'!BE36</f>
        <v>44343.22219999999</v>
      </c>
      <c r="P42" s="467">
        <f>'2012 полн'!BF36</f>
        <v>13782.562800000007</v>
      </c>
      <c r="Q42" s="467">
        <f>'2012 полн'!BG36</f>
        <v>1991.2900000000009</v>
      </c>
    </row>
    <row r="43" spans="1:17" ht="13.5" thickBot="1">
      <c r="A43" s="469" t="s">
        <v>41</v>
      </c>
      <c r="B43" s="470">
        <f>'2012 полн'!B37</f>
        <v>5308.28</v>
      </c>
      <c r="C43" s="471">
        <f>'2012 полн'!C37</f>
        <v>50481.7428</v>
      </c>
      <c r="D43" s="471">
        <f>'2012 полн'!D37</f>
        <v>0</v>
      </c>
      <c r="E43" s="283">
        <f>'2012 полн'!U37</f>
        <v>52172.56</v>
      </c>
      <c r="F43" s="283">
        <f>'[10]2011 полн'!V37</f>
        <v>0</v>
      </c>
      <c r="G43" s="283">
        <f>'2012 полн'!AF37</f>
        <v>64527.31</v>
      </c>
      <c r="H43" s="283">
        <f>'2012 полн'!AG37</f>
        <v>64527.31</v>
      </c>
      <c r="I43" s="283">
        <f>'2012 полн'!AJ37</f>
        <v>3961.9350000000004</v>
      </c>
      <c r="J43" s="283">
        <f>'2012 полн'!AK37</f>
        <v>3981.21</v>
      </c>
      <c r="K43" s="283">
        <f>'2012 полн'!AL37</f>
        <v>1061.656</v>
      </c>
      <c r="L43" s="283">
        <f>'2012 полн'!AM37+'2012 полн'!AN37+'2012 полн'!AO37+'2012 полн'!AP37+'2012 полн'!AQ37+'2012 полн'!AR37+'2012 полн'!AS37+'2012 полн'!AT37+'2012 полн'!AX37</f>
        <v>41035.99979999999</v>
      </c>
      <c r="M43" s="284">
        <f>'2012 полн'!AU37+'2012 полн'!AV37+'2012 полн'!AW37</f>
        <v>1456</v>
      </c>
      <c r="N43" s="284">
        <f>'2012 полн'!BD37</f>
        <v>1881.857</v>
      </c>
      <c r="O43" s="283">
        <f>'2012 полн'!BE37</f>
        <v>49416.72279999999</v>
      </c>
      <c r="P43" s="283">
        <f>'2012 полн'!BF37</f>
        <v>19072.522200000007</v>
      </c>
      <c r="Q43" s="283">
        <f>'2012 полн'!BG37</f>
        <v>12354.75</v>
      </c>
    </row>
    <row r="44" spans="1:19" s="16" customFormat="1" ht="13.5" thickBot="1">
      <c r="A44" s="31" t="s">
        <v>3</v>
      </c>
      <c r="B44" s="32"/>
      <c r="C44" s="65">
        <f aca="true" t="shared" si="2" ref="C44:P44">SUM(C32:C43)</f>
        <v>575205.2208</v>
      </c>
      <c r="D44" s="65">
        <f t="shared" si="2"/>
        <v>1956.5789999999997</v>
      </c>
      <c r="E44" s="65">
        <f t="shared" si="2"/>
        <v>593995.9000000001</v>
      </c>
      <c r="F44" s="65">
        <f t="shared" si="2"/>
        <v>0</v>
      </c>
      <c r="G44" s="65">
        <f t="shared" si="2"/>
        <v>580254.4999999999</v>
      </c>
      <c r="H44" s="65">
        <f t="shared" si="2"/>
        <v>582211.0789999999</v>
      </c>
      <c r="I44" s="65">
        <f t="shared" si="2"/>
        <v>41098.880000000005</v>
      </c>
      <c r="J44" s="65">
        <f t="shared" si="2"/>
        <v>45226.54559999999</v>
      </c>
      <c r="K44" s="65">
        <f t="shared" si="2"/>
        <v>12739.871999999996</v>
      </c>
      <c r="L44" s="65">
        <f t="shared" si="2"/>
        <v>471211.27189999993</v>
      </c>
      <c r="M44" s="65">
        <f t="shared" si="2"/>
        <v>31487.760000000002</v>
      </c>
      <c r="N44" s="65">
        <f t="shared" si="2"/>
        <v>20519.136</v>
      </c>
      <c r="O44" s="65">
        <f t="shared" si="2"/>
        <v>581184.5854999999</v>
      </c>
      <c r="P44" s="65">
        <f t="shared" si="2"/>
        <v>42125.373499999994</v>
      </c>
      <c r="Q44" s="65">
        <f>SUM(Q32:Q43)</f>
        <v>-13741.400000000016</v>
      </c>
      <c r="R44" s="61"/>
      <c r="S44" s="61"/>
    </row>
    <row r="45" spans="1:17" ht="13.5" thickBot="1">
      <c r="A45" s="448" t="s">
        <v>66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273"/>
      <c r="P45" s="274"/>
      <c r="Q45" s="274"/>
    </row>
    <row r="46" spans="1:19" s="16" customFormat="1" ht="13.5" thickBot="1">
      <c r="A46" s="70" t="s">
        <v>52</v>
      </c>
      <c r="B46" s="35"/>
      <c r="C46" s="36">
        <f>C44+C30</f>
        <v>2358499.5448000003</v>
      </c>
      <c r="D46" s="36">
        <f>D44+D30</f>
        <v>215573.26470645005</v>
      </c>
      <c r="E46" s="36">
        <f>E44+E30</f>
        <v>2059718.93</v>
      </c>
      <c r="F46" s="36">
        <f>F44+F30</f>
        <v>165086.43</v>
      </c>
      <c r="G46" s="36">
        <f>G44+G30</f>
        <v>2001286.3399999999</v>
      </c>
      <c r="H46" s="36">
        <f>H44+H30</f>
        <v>2381946.03470645</v>
      </c>
      <c r="I46" s="36">
        <f>I44+I30</f>
        <v>108893.8329</v>
      </c>
      <c r="J46" s="36">
        <f>J44+J30</f>
        <v>172551.38079999998</v>
      </c>
      <c r="K46" s="36">
        <f aca="true" t="shared" si="3" ref="K46:Y46">K44+K30</f>
        <v>53843.164559000004</v>
      </c>
      <c r="L46" s="36">
        <f t="shared" si="3"/>
        <v>1602484.741787733</v>
      </c>
      <c r="M46" s="36">
        <f t="shared" si="3"/>
        <v>546004.8888</v>
      </c>
      <c r="N46" s="36">
        <f t="shared" si="3"/>
        <v>57263.8121911848</v>
      </c>
      <c r="O46" s="36">
        <f t="shared" si="3"/>
        <v>2432147.9881379176</v>
      </c>
      <c r="P46" s="36">
        <f t="shared" si="3"/>
        <v>58691.879468532024</v>
      </c>
      <c r="Q46" s="36">
        <f t="shared" si="3"/>
        <v>-58432.59000000002</v>
      </c>
      <c r="R46" s="62"/>
      <c r="S46" s="61"/>
    </row>
    <row r="48" spans="1:4" ht="12.75">
      <c r="A48" s="16" t="s">
        <v>70</v>
      </c>
      <c r="D48" s="74" t="s">
        <v>128</v>
      </c>
    </row>
    <row r="49" spans="1:4" ht="12.75">
      <c r="A49" s="209" t="s">
        <v>71</v>
      </c>
      <c r="B49" s="209" t="s">
        <v>72</v>
      </c>
      <c r="C49" s="482" t="s">
        <v>73</v>
      </c>
      <c r="D49" s="483"/>
    </row>
    <row r="50" spans="1:4" ht="12.75">
      <c r="A50" s="288">
        <v>633117.92</v>
      </c>
      <c r="B50" s="289">
        <v>416340.36</v>
      </c>
      <c r="C50" s="480">
        <f>A50-B50</f>
        <v>216777.56000000006</v>
      </c>
      <c r="D50" s="481"/>
    </row>
    <row r="51" ht="12.75">
      <c r="A51" s="43"/>
    </row>
    <row r="52" spans="1:7" ht="12.75">
      <c r="A52" s="199" t="s">
        <v>67</v>
      </c>
      <c r="G52" s="199" t="s">
        <v>68</v>
      </c>
    </row>
    <row r="53" ht="12.75">
      <c r="A53" s="198"/>
    </row>
    <row r="54" ht="12.75">
      <c r="A54" s="198"/>
    </row>
    <row r="55" ht="12.75">
      <c r="A55" s="199" t="s">
        <v>123</v>
      </c>
    </row>
    <row r="56" ht="12.75">
      <c r="A56" s="199" t="s">
        <v>69</v>
      </c>
    </row>
  </sheetData>
  <sheetProtection/>
  <mergeCells count="29">
    <mergeCell ref="A45:N45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  <mergeCell ref="P8:P11"/>
    <mergeCell ref="Q8:Q11"/>
    <mergeCell ref="E10:F10"/>
    <mergeCell ref="H10:H11"/>
    <mergeCell ref="J10:J11"/>
    <mergeCell ref="K10:K11"/>
    <mergeCell ref="L10:L11"/>
    <mergeCell ref="M10:M11"/>
    <mergeCell ref="N10:N11"/>
    <mergeCell ref="O10:O11"/>
    <mergeCell ref="A13:N13"/>
    <mergeCell ref="A29:N29"/>
    <mergeCell ref="C49:D49"/>
    <mergeCell ref="C50:D50"/>
    <mergeCell ref="I8:I11"/>
    <mergeCell ref="J8:O9"/>
    <mergeCell ref="A8:A11"/>
    <mergeCell ref="B8:B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2010-07-05T04:56:50Z</cp:lastPrinted>
  <dcterms:created xsi:type="dcterms:W3CDTF">2010-04-02T05:03:24Z</dcterms:created>
  <dcterms:modified xsi:type="dcterms:W3CDTF">2013-05-23T05:12:57Z</dcterms:modified>
  <cp:category/>
  <cp:version/>
  <cp:contentType/>
  <cp:contentStatus/>
</cp:coreProperties>
</file>