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0"/>
  </bookViews>
  <sheets>
    <sheet name="2012 полн" sheetId="1" r:id="rId1"/>
    <sheet name="2012 печать" sheetId="2" r:id="rId2"/>
    <sheet name="2012 печать (2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<sst xmlns="http://schemas.openxmlformats.org/spreadsheetml/2006/main" count="215" uniqueCount="113">
  <si>
    <t>№ п/п</t>
  </si>
  <si>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</si>
  <si>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</si>
  <si>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</si>
  <si>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</si>
  <si>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</si>
  <si>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</si>
  <si>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</si>
  <si>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</si>
  <si>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</si>
  <si>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</si>
  <si>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</si>
  <si>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</si>
  <si>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</si>
  <si>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</si>
  <si>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</si>
  <si>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</si>
  <si>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</si>
  <si>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</si>
  <si>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</si>
  <si>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</si>
  <si>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</si>
  <si>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</si>
  <si>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</si>
  <si>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</si>
  <si>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</si>
  <si>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НДС</t>
  </si>
  <si>
    <t>Дератизация</t>
  </si>
  <si>
    <t>Тек. Ремонт</t>
  </si>
  <si>
    <t>По решению суда</t>
  </si>
  <si>
    <t>Расходов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</si>
  <si>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</si>
  <si>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</si>
  <si>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</si>
  <si>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</si>
  <si>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</si>
  <si>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</si>
  <si>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</si>
  <si>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</si>
  <si>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</si>
  <si>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</si>
  <si>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</si>
  <si>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</si>
  <si>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</si>
  <si>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</si>
  <si>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</si>
  <si>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</si>
  <si>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</si>
  <si>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</si>
  <si>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</si>
  <si>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</si>
  <si>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</si>
  <si>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</si>
  <si>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</si>
  <si>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</si>
  <si>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</si>
  <si>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</si>
  <si>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Собрано по отоплению</t>
  </si>
  <si>
    <t>Собрано по лифтам</t>
  </si>
  <si>
    <t>Собрано квартплаты от населения</t>
  </si>
  <si>
    <t>на начало отчетного периода</t>
  </si>
  <si>
    <t>на конец отчетного периода</t>
  </si>
  <si>
    <t>Доходы по нежил.помещениям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</si>
  <si>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</si>
  <si>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</si>
  <si>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</si>
  <si>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</si>
  <si>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</si>
  <si>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</si>
  <si>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</si>
  <si>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</si>
  <si>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</si>
  <si>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</si>
  <si>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</si>
  <si>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</si>
  <si>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</si>
  <si>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</si>
  <si>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</si>
  <si>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</si>
  <si>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</si>
  <si>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</si>
  <si>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</si>
  <si>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</si>
  <si>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</si>
  <si>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</si>
  <si>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</si>
  <si>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</si>
  <si>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</si>
  <si>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от населения</t>
  </si>
  <si>
    <t>Услуга начисления</t>
  </si>
  <si>
    <t>Расходы по нежилым помещениям</t>
  </si>
  <si>
    <t>Собрано по содержанию и тек.рем.</t>
  </si>
  <si>
    <t>*по состоянию на 01.09.2011 г.</t>
  </si>
  <si>
    <t>Исп. В.В. Колмогорова</t>
  </si>
  <si>
    <t>тел. 3-48-80</t>
  </si>
  <si>
    <t>на 01.09.2011 г.</t>
  </si>
  <si>
    <t>2. Демонтаж вентилей из стальных труб д.25 мм - 1 шт.</t>
  </si>
  <si>
    <t>3. Установка вентилей из стальных труб д. 25 мм - 1 шт.</t>
  </si>
  <si>
    <t>4. Резьба д.15 мм - 1 шт.</t>
  </si>
  <si>
    <t xml:space="preserve">1. Слив и наполнение водой системы отопления с осмотром системы - 375 м.куб. </t>
  </si>
  <si>
    <t>Текущий ремонт: (кварт. 25 замена рез. по г/в)</t>
  </si>
  <si>
    <t>Февраль - сумма 1141,00 руб.</t>
  </si>
  <si>
    <t>Выписка с лицевого счета дома, расположенного по адресу г. Таштагол ул. Ноградская, д. 25</t>
  </si>
  <si>
    <t>сентябрь</t>
  </si>
  <si>
    <t>октябрь</t>
  </si>
  <si>
    <t>ноябрь</t>
  </si>
  <si>
    <t>декабрь</t>
  </si>
  <si>
    <t>на 01.01.2013г.</t>
  </si>
  <si>
    <t>2012 год</t>
  </si>
  <si>
    <t>Лицевой счет по адресу г. Таштагол, ул. Ноградская, д.25</t>
  </si>
  <si>
    <t>тариф на содержание и тек. ремонт с 01.07.2012 г.</t>
  </si>
  <si>
    <t>Тариф по содержанию и тек.ремонту 100 % (9,51руб.*площадь)</t>
  </si>
  <si>
    <t>*по состоянию на 01.03.2013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</si>
</sst>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2" fillId="33" borderId="11" xfId="34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2" fontId="1" fillId="36" borderId="16" xfId="0" applyNumberFormat="1" applyFont="1" applyFill="1" applyBorder="1" applyAlignment="1">
      <alignment horizontal="center" vertical="center" wrapText="1"/>
    </xf>
    <xf numFmtId="2" fontId="1" fillId="36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43" fontId="0" fillId="37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2" fontId="5" fillId="33" borderId="11" xfId="0" applyNumberFormat="1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1" fillId="0" borderId="2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4" fontId="0" fillId="34" borderId="2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43" fontId="0" fillId="37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textRotation="90" wrapText="1"/>
    </xf>
    <xf numFmtId="0" fontId="12" fillId="0" borderId="37" xfId="0" applyFont="1" applyFill="1" applyBorder="1" applyAlignment="1">
      <alignment horizontal="center" textRotation="90"/>
    </xf>
    <xf numFmtId="2" fontId="12" fillId="0" borderId="31" xfId="0" applyNumberFormat="1" applyFont="1" applyFill="1" applyBorder="1" applyAlignment="1">
      <alignment horizontal="center" vertical="center" textRotation="90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2" fillId="0" borderId="40" xfId="0" applyFont="1" applyFill="1" applyBorder="1" applyAlignment="1">
      <alignment horizontal="left"/>
    </xf>
    <xf numFmtId="4" fontId="12" fillId="0" borderId="41" xfId="0" applyNumberFormat="1" applyFont="1" applyFill="1" applyBorder="1" applyAlignment="1">
      <alignment horizontal="right"/>
    </xf>
    <xf numFmtId="4" fontId="12" fillId="0" borderId="42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" fontId="11" fillId="0" borderId="29" xfId="0" applyNumberFormat="1" applyFont="1" applyFill="1" applyBorder="1" applyAlignment="1">
      <alignment horizontal="right" wrapText="1"/>
    </xf>
    <xf numFmtId="4" fontId="11" fillId="0" borderId="43" xfId="34" applyNumberFormat="1" applyFont="1" applyFill="1" applyBorder="1" applyAlignment="1">
      <alignment horizontal="right" vertical="center" wrapText="1"/>
      <protection/>
    </xf>
    <xf numFmtId="4" fontId="11" fillId="0" borderId="38" xfId="34" applyNumberFormat="1" applyFont="1" applyFill="1" applyBorder="1" applyAlignment="1">
      <alignment horizontal="right" vertical="center" wrapText="1"/>
      <protection/>
    </xf>
    <xf numFmtId="4" fontId="11" fillId="0" borderId="29" xfId="0" applyNumberFormat="1" applyFont="1" applyFill="1" applyBorder="1" applyAlignment="1">
      <alignment horizontal="right"/>
    </xf>
    <xf numFmtId="4" fontId="11" fillId="0" borderId="30" xfId="0" applyNumberFormat="1" applyFont="1" applyFill="1" applyBorder="1" applyAlignment="1">
      <alignment horizontal="right"/>
    </xf>
    <xf numFmtId="4" fontId="11" fillId="0" borderId="38" xfId="0" applyNumberFormat="1" applyFont="1" applyFill="1" applyBorder="1" applyAlignment="1">
      <alignment horizontal="right"/>
    </xf>
    <xf numFmtId="4" fontId="11" fillId="0" borderId="29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43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2" fontId="11" fillId="0" borderId="20" xfId="0" applyNumberFormat="1" applyFont="1" applyBorder="1" applyAlignment="1">
      <alignment horizontal="center"/>
    </xf>
    <xf numFmtId="4" fontId="11" fillId="0" borderId="45" xfId="34" applyNumberFormat="1" applyFont="1" applyFill="1" applyBorder="1" applyAlignment="1">
      <alignment horizontal="right" vertical="center" wrapText="1"/>
      <protection/>
    </xf>
    <xf numFmtId="4" fontId="11" fillId="0" borderId="44" xfId="34" applyNumberFormat="1" applyFont="1" applyFill="1" applyBorder="1" applyAlignment="1">
      <alignment horizontal="right" vertical="center" wrapText="1"/>
      <protection/>
    </xf>
    <xf numFmtId="4" fontId="11" fillId="0" borderId="11" xfId="0" applyNumberFormat="1" applyFont="1" applyFill="1" applyBorder="1" applyAlignment="1">
      <alignment horizontal="right"/>
    </xf>
    <xf numFmtId="4" fontId="11" fillId="0" borderId="44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 vertical="center" wrapText="1"/>
    </xf>
    <xf numFmtId="4" fontId="11" fillId="0" borderId="45" xfId="0" applyNumberFormat="1" applyFont="1" applyFill="1" applyBorder="1" applyAlignment="1">
      <alignment horizontal="right" vertical="center" wrapText="1"/>
    </xf>
    <xf numFmtId="4" fontId="11" fillId="0" borderId="20" xfId="0" applyNumberFormat="1" applyFont="1" applyFill="1" applyBorder="1" applyAlignment="1">
      <alignment horizontal="right"/>
    </xf>
    <xf numFmtId="4" fontId="11" fillId="0" borderId="26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38" xfId="0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left"/>
    </xf>
    <xf numFmtId="4" fontId="12" fillId="0" borderId="29" xfId="0" applyNumberFormat="1" applyFont="1" applyFill="1" applyBorder="1" applyAlignment="1">
      <alignment horizontal="right"/>
    </xf>
    <xf numFmtId="4" fontId="12" fillId="0" borderId="3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1" fillId="0" borderId="31" xfId="0" applyFont="1" applyFill="1" applyBorder="1" applyAlignment="1">
      <alignment/>
    </xf>
    <xf numFmtId="4" fontId="12" fillId="0" borderId="29" xfId="0" applyNumberFormat="1" applyFont="1" applyFill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 wrapText="1"/>
    </xf>
    <xf numFmtId="4" fontId="14" fillId="0" borderId="12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4" borderId="15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6" fillId="0" borderId="14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37" borderId="16" xfId="0" applyNumberFormat="1" applyFont="1" applyFill="1" applyBorder="1" applyAlignment="1">
      <alignment horizontal="center" vertical="center" wrapText="1"/>
    </xf>
    <xf numFmtId="2" fontId="1" fillId="37" borderId="1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5" borderId="16" xfId="0" applyNumberFormat="1" applyFont="1" applyFill="1" applyBorder="1" applyAlignment="1">
      <alignment horizontal="center" vertical="center" wrapText="1"/>
    </xf>
    <xf numFmtId="2" fontId="1" fillId="35" borderId="17" xfId="0" applyNumberFormat="1" applyFont="1" applyFill="1" applyBorder="1" applyAlignment="1">
      <alignment horizontal="center" vertical="center" wrapText="1"/>
    </xf>
    <xf numFmtId="2" fontId="1" fillId="36" borderId="16" xfId="0" applyNumberFormat="1" applyFont="1" applyFill="1" applyBorder="1" applyAlignment="1">
      <alignment horizontal="center" vertical="center" wrapText="1"/>
    </xf>
    <xf numFmtId="2" fontId="1" fillId="36" borderId="1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0" fontId="1" fillId="38" borderId="55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58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38" borderId="50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textRotation="90"/>
    </xf>
    <xf numFmtId="0" fontId="1" fillId="34" borderId="17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58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textRotation="90" wrapText="1"/>
    </xf>
    <xf numFmtId="2" fontId="12" fillId="0" borderId="32" xfId="0" applyNumberFormat="1" applyFont="1" applyFill="1" applyBorder="1" applyAlignment="1">
      <alignment horizontal="center" vertical="center" textRotation="90" wrapText="1"/>
    </xf>
    <xf numFmtId="2" fontId="12" fillId="0" borderId="37" xfId="0" applyNumberFormat="1" applyFont="1" applyFill="1" applyBorder="1" applyAlignment="1">
      <alignment horizontal="center" vertical="center" textRotation="90" wrapText="1"/>
    </xf>
    <xf numFmtId="2" fontId="12" fillId="0" borderId="34" xfId="0" applyNumberFormat="1" applyFont="1" applyFill="1" applyBorder="1" applyAlignment="1">
      <alignment horizontal="center" vertical="center" textRotation="90" wrapText="1"/>
    </xf>
    <xf numFmtId="0" fontId="12" fillId="0" borderId="50" xfId="0" applyFont="1" applyFill="1" applyBorder="1" applyAlignment="1">
      <alignment horizontal="left"/>
    </xf>
    <xf numFmtId="0" fontId="12" fillId="0" borderId="55" xfId="0" applyFont="1" applyFill="1" applyBorder="1" applyAlignment="1">
      <alignment horizontal="left"/>
    </xf>
    <xf numFmtId="2" fontId="12" fillId="0" borderId="59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60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61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" fontId="12" fillId="0" borderId="62" xfId="0" applyNumberFormat="1" applyFont="1" applyFill="1" applyBorder="1" applyAlignment="1">
      <alignment horizontal="center" vertical="center" textRotation="90" wrapText="1"/>
    </xf>
    <xf numFmtId="4" fontId="12" fillId="0" borderId="12" xfId="0" applyNumberFormat="1" applyFont="1" applyFill="1" applyBorder="1" applyAlignment="1">
      <alignment horizontal="center" vertical="center" textRotation="90" wrapText="1"/>
    </xf>
    <xf numFmtId="4" fontId="12" fillId="0" borderId="36" xfId="0" applyNumberFormat="1" applyFont="1" applyFill="1" applyBorder="1" applyAlignment="1">
      <alignment horizontal="center" vertical="center" textRotation="90" wrapText="1"/>
    </xf>
    <xf numFmtId="4" fontId="12" fillId="0" borderId="63" xfId="0" applyNumberFormat="1" applyFont="1" applyFill="1" applyBorder="1" applyAlignment="1">
      <alignment horizontal="center" vertical="center" textRotation="90" wrapText="1"/>
    </xf>
    <xf numFmtId="4" fontId="12" fillId="0" borderId="14" xfId="0" applyNumberFormat="1" applyFont="1" applyFill="1" applyBorder="1" applyAlignment="1">
      <alignment horizontal="center" vertical="center" textRotation="90" wrapText="1"/>
    </xf>
    <xf numFmtId="4" fontId="12" fillId="0" borderId="64" xfId="0" applyNumberFormat="1" applyFont="1" applyFill="1" applyBorder="1" applyAlignment="1">
      <alignment horizontal="center" vertical="center" textRotation="90" wrapText="1"/>
    </xf>
    <xf numFmtId="4" fontId="12" fillId="0" borderId="28" xfId="0" applyNumberFormat="1" applyFont="1" applyFill="1" applyBorder="1" applyAlignment="1">
      <alignment horizontal="center" vertical="center" textRotation="90" wrapText="1"/>
    </xf>
    <xf numFmtId="4" fontId="12" fillId="0" borderId="10" xfId="0" applyNumberFormat="1" applyFont="1" applyFill="1" applyBorder="1" applyAlignment="1">
      <alignment horizontal="center" vertical="center" textRotation="90" wrapText="1"/>
    </xf>
    <xf numFmtId="4" fontId="12" fillId="0" borderId="31" xfId="0" applyNumberFormat="1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textRotation="90" wrapText="1"/>
    </xf>
    <xf numFmtId="2" fontId="12" fillId="0" borderId="10" xfId="0" applyNumberFormat="1" applyFont="1" applyFill="1" applyBorder="1" applyAlignment="1">
      <alignment horizontal="center" vertical="center" textRotation="90" wrapText="1"/>
    </xf>
    <xf numFmtId="2" fontId="12" fillId="0" borderId="31" xfId="0" applyNumberFormat="1" applyFont="1" applyFill="1" applyBorder="1" applyAlignment="1">
      <alignment horizontal="center" vertical="center" textRotation="90" wrapText="1"/>
    </xf>
    <xf numFmtId="2" fontId="12" fillId="0" borderId="12" xfId="0" applyNumberFormat="1" applyFont="1" applyFill="1" applyBorder="1" applyAlignment="1">
      <alignment horizontal="center" vertical="center" textRotation="90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2" fillId="0" borderId="6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 wrapText="1"/>
    </xf>
    <xf numFmtId="164" fontId="2" fillId="36" borderId="12" xfId="0" applyNumberFormat="1" applyFont="1" applyFill="1" applyBorder="1" applyAlignment="1">
      <alignment/>
    </xf>
    <xf numFmtId="0" fontId="32" fillId="0" borderId="12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4" fontId="2" fillId="34" borderId="15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  <xf numFmtId="4" fontId="11" fillId="0" borderId="16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2" fontId="33" fillId="0" borderId="24" xfId="3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77">
          <cell r="I177">
            <v>114</v>
          </cell>
          <cell r="R177">
            <v>28.5</v>
          </cell>
        </row>
      </sheetData>
      <sheetData sheetId="1">
        <row r="178">
          <cell r="S178">
            <v>28.5</v>
          </cell>
        </row>
        <row r="179">
          <cell r="G179">
            <v>114</v>
          </cell>
        </row>
      </sheetData>
      <sheetData sheetId="2">
        <row r="179">
          <cell r="J179">
            <v>114</v>
          </cell>
          <cell r="S179">
            <v>28.5</v>
          </cell>
        </row>
      </sheetData>
      <sheetData sheetId="3">
        <row r="181">
          <cell r="S181">
            <v>28.5</v>
          </cell>
        </row>
      </sheetData>
      <sheetData sheetId="4">
        <row r="179">
          <cell r="J179">
            <v>114</v>
          </cell>
          <cell r="S179">
            <v>28.5</v>
          </cell>
        </row>
      </sheetData>
      <sheetData sheetId="5">
        <row r="179">
          <cell r="J179">
            <v>114</v>
          </cell>
          <cell r="S179">
            <v>28.5</v>
          </cell>
        </row>
      </sheetData>
      <sheetData sheetId="6">
        <row r="183">
          <cell r="J183">
            <v>114</v>
          </cell>
          <cell r="S183">
            <v>28.5</v>
          </cell>
        </row>
      </sheetData>
      <sheetData sheetId="7">
        <row r="187">
          <cell r="J187">
            <v>114</v>
          </cell>
          <cell r="S187">
            <v>28.5</v>
          </cell>
        </row>
      </sheetData>
      <sheetData sheetId="8">
        <row r="187">
          <cell r="J187">
            <v>114</v>
          </cell>
        </row>
      </sheetData>
      <sheetData sheetId="9">
        <row r="187">
          <cell r="S187">
            <v>28.5</v>
          </cell>
        </row>
      </sheetData>
      <sheetData sheetId="10">
        <row r="187">
          <cell r="J187">
            <v>114</v>
          </cell>
          <cell r="S187">
            <v>28.5</v>
          </cell>
        </row>
      </sheetData>
      <sheetData sheetId="11">
        <row r="207">
          <cell r="J207">
            <v>114</v>
          </cell>
          <cell r="S207">
            <v>28.5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81">
          <cell r="J181">
            <v>114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1">
          <cell r="AX11">
            <v>33.84</v>
          </cell>
        </row>
        <row r="13">
          <cell r="AX13">
            <v>25</v>
          </cell>
        </row>
        <row r="16">
          <cell r="AX16">
            <v>18.86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87">
          <cell r="J187">
            <v>114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209">
          <cell r="J209">
            <v>114</v>
          </cell>
          <cell r="S209">
            <v>28.5</v>
          </cell>
        </row>
      </sheetData>
      <sheetData sheetId="4">
        <row r="216">
          <cell r="J216">
            <v>114</v>
          </cell>
          <cell r="S216">
            <v>28.5</v>
          </cell>
        </row>
      </sheetData>
      <sheetData sheetId="5">
        <row r="247">
          <cell r="J247">
            <v>114</v>
          </cell>
          <cell r="S247">
            <v>28.5</v>
          </cell>
        </row>
      </sheetData>
      <sheetData sheetId="6">
        <row r="249">
          <cell r="J249">
            <v>114</v>
          </cell>
          <cell r="S249">
            <v>28.5</v>
          </cell>
        </row>
      </sheetData>
      <sheetData sheetId="7">
        <row r="249">
          <cell r="J249">
            <v>114</v>
          </cell>
          <cell r="S249">
            <v>28.5</v>
          </cell>
        </row>
      </sheetData>
      <sheetData sheetId="8">
        <row r="249">
          <cell r="J249">
            <v>114</v>
          </cell>
          <cell r="S249">
            <v>28.5</v>
          </cell>
        </row>
      </sheetData>
      <sheetData sheetId="9">
        <row r="248">
          <cell r="J248">
            <v>114</v>
          </cell>
          <cell r="S248">
            <v>28.5</v>
          </cell>
        </row>
      </sheetData>
      <sheetData sheetId="10">
        <row r="250">
          <cell r="J250">
            <v>114</v>
          </cell>
          <cell r="S250">
            <v>28.5</v>
          </cell>
        </row>
      </sheetData>
      <sheetData sheetId="11">
        <row r="253">
          <cell r="J253">
            <v>114</v>
          </cell>
          <cell r="S253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7"/>
  <sheetViews>
    <sheetView tabSelected="1" zoomScalePageLayoutView="0" workbookViewId="0" topLeftCell="A1">
      <pane xSplit="2" ySplit="7" topLeftCell="AB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P35" sqref="AP35"/>
    </sheetView>
  </sheetViews>
  <sheetFormatPr defaultColWidth="9.00390625" defaultRowHeight="12.75"/>
  <cols>
    <col min="1" max="1" width="8.75390625" style="19" bestFit="1" customWidth="1"/>
    <col min="2" max="2" width="9.125" style="19" customWidth="1"/>
    <col min="3" max="3" width="11.375" style="19" customWidth="1"/>
    <col min="4" max="4" width="10.375" style="19" customWidth="1"/>
    <col min="5" max="6" width="9.125" style="19" customWidth="1"/>
    <col min="7" max="7" width="10.25390625" style="19" customWidth="1"/>
    <col min="8" max="8" width="9.125" style="19" customWidth="1"/>
    <col min="9" max="9" width="9.875" style="19" customWidth="1"/>
    <col min="10" max="10" width="9.125" style="19" customWidth="1"/>
    <col min="11" max="11" width="10.375" style="19" customWidth="1"/>
    <col min="12" max="12" width="9.125" style="19" customWidth="1"/>
    <col min="13" max="13" width="10.125" style="19" bestFit="1" customWidth="1"/>
    <col min="14" max="14" width="9.125" style="19" customWidth="1"/>
    <col min="15" max="15" width="10.125" style="19" bestFit="1" customWidth="1"/>
    <col min="16" max="18" width="9.125" style="19" customWidth="1"/>
    <col min="19" max="19" width="10.125" style="19" bestFit="1" customWidth="1"/>
    <col min="20" max="20" width="10.125" style="19" customWidth="1"/>
    <col min="21" max="21" width="10.125" style="19" bestFit="1" customWidth="1"/>
    <col min="22" max="22" width="10.25390625" style="19" customWidth="1"/>
    <col min="23" max="23" width="10.625" style="19" customWidth="1"/>
    <col min="24" max="24" width="10.125" style="19" customWidth="1"/>
    <col min="25" max="28" width="10.125" style="19" bestFit="1" customWidth="1"/>
    <col min="29" max="30" width="11.375" style="19" customWidth="1"/>
    <col min="31" max="31" width="9.25390625" style="19" bestFit="1" customWidth="1"/>
    <col min="32" max="32" width="10.125" style="19" bestFit="1" customWidth="1"/>
    <col min="33" max="33" width="10.25390625" style="19" customWidth="1"/>
    <col min="34" max="35" width="9.25390625" style="19" bestFit="1" customWidth="1"/>
    <col min="36" max="36" width="10.875" style="19" customWidth="1"/>
    <col min="37" max="38" width="9.25390625" style="19" bestFit="1" customWidth="1"/>
    <col min="39" max="39" width="10.125" style="19" bestFit="1" customWidth="1"/>
    <col min="40" max="40" width="9.25390625" style="19" bestFit="1" customWidth="1"/>
    <col min="41" max="42" width="10.125" style="19" bestFit="1" customWidth="1"/>
    <col min="43" max="44" width="9.25390625" style="19" customWidth="1"/>
    <col min="45" max="45" width="10.125" style="19" bestFit="1" customWidth="1"/>
    <col min="46" max="46" width="11.625" style="19" customWidth="1"/>
    <col min="47" max="47" width="10.875" style="19" customWidth="1"/>
    <col min="48" max="48" width="10.625" style="19" customWidth="1"/>
    <col min="49" max="49" width="10.25390625" style="19" customWidth="1"/>
    <col min="50" max="50" width="10.625" style="19" customWidth="1"/>
    <col min="51" max="51" width="9.25390625" style="19" bestFit="1" customWidth="1"/>
    <col min="52" max="53" width="10.125" style="19" bestFit="1" customWidth="1"/>
    <col min="54" max="54" width="11.625" style="19" customWidth="1"/>
    <col min="55" max="55" width="11.75390625" style="19" customWidth="1"/>
    <col min="56" max="56" width="11.375" style="19" customWidth="1"/>
    <col min="57" max="57" width="14.00390625" style="19" customWidth="1"/>
    <col min="58" max="58" width="11.00390625" style="19" customWidth="1"/>
    <col min="59" max="59" width="10.625" style="19" customWidth="1"/>
    <col min="60" max="16384" width="9.125" style="19" customWidth="1"/>
  </cols>
  <sheetData>
    <row r="1" spans="1:18" ht="21" customHeight="1">
      <c r="A1" s="216" t="s">
        <v>109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0"/>
      <c r="P1" s="20"/>
      <c r="Q1" s="20"/>
      <c r="R1" s="20"/>
    </row>
    <row r="2" spans="1:18" ht="13.5" thickBot="1">
      <c r="A2" s="20"/>
      <c r="B2" s="21"/>
      <c r="C2" s="22"/>
      <c r="D2" s="22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59" ht="29.25" customHeight="1" thickBot="1">
      <c r="A3" s="192" t="s">
        <v>0</v>
      </c>
      <c r="B3" s="218" t="s">
        <v>1</v>
      </c>
      <c r="C3" s="220" t="s">
        <v>2</v>
      </c>
      <c r="D3" s="222" t="s">
        <v>3</v>
      </c>
      <c r="E3" s="192" t="s">
        <v>63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224"/>
      <c r="S3" s="192"/>
      <c r="T3" s="193"/>
      <c r="U3" s="192" t="s">
        <v>4</v>
      </c>
      <c r="V3" s="193"/>
      <c r="W3" s="196" t="s">
        <v>5</v>
      </c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202" t="s">
        <v>62</v>
      </c>
      <c r="AK3" s="205" t="s">
        <v>7</v>
      </c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7"/>
      <c r="BF3" s="211" t="s">
        <v>8</v>
      </c>
      <c r="BG3" s="180" t="s">
        <v>9</v>
      </c>
    </row>
    <row r="4" spans="1:59" ht="51.75" customHeight="1" hidden="1" thickBot="1">
      <c r="A4" s="217"/>
      <c r="B4" s="219"/>
      <c r="C4" s="221"/>
      <c r="D4" s="223"/>
      <c r="E4" s="217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194"/>
      <c r="T4" s="195"/>
      <c r="U4" s="194"/>
      <c r="V4" s="195"/>
      <c r="W4" s="199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1"/>
      <c r="AJ4" s="203"/>
      <c r="AK4" s="208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10"/>
      <c r="BF4" s="212"/>
      <c r="BG4" s="181"/>
    </row>
    <row r="5" spans="1:59" ht="19.5" customHeight="1">
      <c r="A5" s="217"/>
      <c r="B5" s="219"/>
      <c r="C5" s="221"/>
      <c r="D5" s="223"/>
      <c r="E5" s="183" t="s">
        <v>10</v>
      </c>
      <c r="F5" s="184"/>
      <c r="G5" s="183" t="s">
        <v>64</v>
      </c>
      <c r="H5" s="184"/>
      <c r="I5" s="183" t="s">
        <v>11</v>
      </c>
      <c r="J5" s="184"/>
      <c r="K5" s="183" t="s">
        <v>13</v>
      </c>
      <c r="L5" s="184"/>
      <c r="M5" s="183" t="s">
        <v>12</v>
      </c>
      <c r="N5" s="184"/>
      <c r="O5" s="187" t="s">
        <v>14</v>
      </c>
      <c r="P5" s="187"/>
      <c r="Q5" s="183" t="s">
        <v>65</v>
      </c>
      <c r="R5" s="184"/>
      <c r="S5" s="187" t="s">
        <v>66</v>
      </c>
      <c r="T5" s="184"/>
      <c r="U5" s="190" t="s">
        <v>16</v>
      </c>
      <c r="V5" s="214" t="s">
        <v>17</v>
      </c>
      <c r="W5" s="176" t="s">
        <v>18</v>
      </c>
      <c r="X5" s="176" t="s">
        <v>67</v>
      </c>
      <c r="Y5" s="176" t="s">
        <v>19</v>
      </c>
      <c r="Z5" s="176" t="s">
        <v>21</v>
      </c>
      <c r="AA5" s="176" t="s">
        <v>20</v>
      </c>
      <c r="AB5" s="176" t="s">
        <v>22</v>
      </c>
      <c r="AC5" s="176" t="s">
        <v>23</v>
      </c>
      <c r="AD5" s="178" t="s">
        <v>24</v>
      </c>
      <c r="AE5" s="178" t="s">
        <v>68</v>
      </c>
      <c r="AF5" s="166" t="s">
        <v>25</v>
      </c>
      <c r="AG5" s="168" t="s">
        <v>69</v>
      </c>
      <c r="AH5" s="170" t="s">
        <v>57</v>
      </c>
      <c r="AI5" s="172" t="s">
        <v>58</v>
      </c>
      <c r="AJ5" s="203"/>
      <c r="AK5" s="174" t="s">
        <v>70</v>
      </c>
      <c r="AL5" s="164" t="s">
        <v>71</v>
      </c>
      <c r="AM5" s="164" t="s">
        <v>72</v>
      </c>
      <c r="AN5" s="152" t="s">
        <v>73</v>
      </c>
      <c r="AO5" s="164" t="s">
        <v>74</v>
      </c>
      <c r="AP5" s="152" t="s">
        <v>75</v>
      </c>
      <c r="AQ5" s="152" t="s">
        <v>76</v>
      </c>
      <c r="AR5" s="152" t="s">
        <v>77</v>
      </c>
      <c r="AS5" s="152" t="s">
        <v>78</v>
      </c>
      <c r="AT5" s="152" t="s">
        <v>27</v>
      </c>
      <c r="AU5" s="158" t="s">
        <v>79</v>
      </c>
      <c r="AV5" s="160" t="s">
        <v>80</v>
      </c>
      <c r="AW5" s="158" t="s">
        <v>81</v>
      </c>
      <c r="AX5" s="162" t="s">
        <v>82</v>
      </c>
      <c r="AY5" s="17"/>
      <c r="AZ5" s="150" t="s">
        <v>15</v>
      </c>
      <c r="BA5" s="152" t="s">
        <v>29</v>
      </c>
      <c r="BB5" s="152" t="s">
        <v>26</v>
      </c>
      <c r="BC5" s="154" t="s">
        <v>30</v>
      </c>
      <c r="BD5" s="156" t="s">
        <v>83</v>
      </c>
      <c r="BE5" s="152" t="s">
        <v>84</v>
      </c>
      <c r="BF5" s="212"/>
      <c r="BG5" s="181"/>
    </row>
    <row r="6" spans="1:59" ht="56.25" customHeight="1" thickBot="1">
      <c r="A6" s="217"/>
      <c r="B6" s="219"/>
      <c r="C6" s="221"/>
      <c r="D6" s="223"/>
      <c r="E6" s="185"/>
      <c r="F6" s="186"/>
      <c r="G6" s="185"/>
      <c r="H6" s="186"/>
      <c r="I6" s="185"/>
      <c r="J6" s="186"/>
      <c r="K6" s="185"/>
      <c r="L6" s="186"/>
      <c r="M6" s="185"/>
      <c r="N6" s="186"/>
      <c r="O6" s="188"/>
      <c r="P6" s="188"/>
      <c r="Q6" s="185"/>
      <c r="R6" s="186"/>
      <c r="S6" s="189"/>
      <c r="T6" s="186"/>
      <c r="U6" s="191"/>
      <c r="V6" s="215"/>
      <c r="W6" s="177"/>
      <c r="X6" s="177"/>
      <c r="Y6" s="177"/>
      <c r="Z6" s="177"/>
      <c r="AA6" s="177"/>
      <c r="AB6" s="177"/>
      <c r="AC6" s="177"/>
      <c r="AD6" s="179"/>
      <c r="AE6" s="179"/>
      <c r="AF6" s="167"/>
      <c r="AG6" s="169"/>
      <c r="AH6" s="171"/>
      <c r="AI6" s="173"/>
      <c r="AJ6" s="204"/>
      <c r="AK6" s="175"/>
      <c r="AL6" s="165"/>
      <c r="AM6" s="165"/>
      <c r="AN6" s="153"/>
      <c r="AO6" s="165"/>
      <c r="AP6" s="153"/>
      <c r="AQ6" s="153"/>
      <c r="AR6" s="153"/>
      <c r="AS6" s="153"/>
      <c r="AT6" s="153"/>
      <c r="AU6" s="159"/>
      <c r="AV6" s="161"/>
      <c r="AW6" s="159"/>
      <c r="AX6" s="163"/>
      <c r="AY6" s="18" t="s">
        <v>85</v>
      </c>
      <c r="AZ6" s="151"/>
      <c r="BA6" s="153"/>
      <c r="BB6" s="153"/>
      <c r="BC6" s="155"/>
      <c r="BD6" s="157"/>
      <c r="BE6" s="153"/>
      <c r="BF6" s="213"/>
      <c r="BG6" s="182"/>
    </row>
    <row r="7" spans="1:59" ht="19.5" customHeight="1" thickBot="1">
      <c r="A7" s="23">
        <v>1</v>
      </c>
      <c r="B7" s="24">
        <v>2</v>
      </c>
      <c r="C7" s="24">
        <v>3</v>
      </c>
      <c r="D7" s="23">
        <v>4</v>
      </c>
      <c r="E7" s="24">
        <v>5</v>
      </c>
      <c r="F7" s="24">
        <v>6</v>
      </c>
      <c r="G7" s="23">
        <v>7</v>
      </c>
      <c r="H7" s="24">
        <v>8</v>
      </c>
      <c r="I7" s="24">
        <v>9</v>
      </c>
      <c r="J7" s="23">
        <v>10</v>
      </c>
      <c r="K7" s="24">
        <v>11</v>
      </c>
      <c r="L7" s="24">
        <v>12</v>
      </c>
      <c r="M7" s="23">
        <v>13</v>
      </c>
      <c r="N7" s="24">
        <v>14</v>
      </c>
      <c r="O7" s="24">
        <v>15</v>
      </c>
      <c r="P7" s="23">
        <v>16</v>
      </c>
      <c r="Q7" s="24">
        <v>17</v>
      </c>
      <c r="R7" s="24">
        <v>18</v>
      </c>
      <c r="S7" s="23">
        <v>19</v>
      </c>
      <c r="T7" s="24">
        <v>20</v>
      </c>
      <c r="U7" s="24">
        <v>21</v>
      </c>
      <c r="V7" s="23">
        <v>22</v>
      </c>
      <c r="W7" s="24">
        <v>23</v>
      </c>
      <c r="X7" s="23">
        <v>24</v>
      </c>
      <c r="Y7" s="24">
        <v>25</v>
      </c>
      <c r="Z7" s="23">
        <v>26</v>
      </c>
      <c r="AA7" s="24">
        <v>27</v>
      </c>
      <c r="AB7" s="23">
        <v>28</v>
      </c>
      <c r="AC7" s="24">
        <v>29</v>
      </c>
      <c r="AD7" s="23">
        <v>30</v>
      </c>
      <c r="AE7" s="23">
        <v>31</v>
      </c>
      <c r="AF7" s="24">
        <v>32</v>
      </c>
      <c r="AG7" s="23">
        <v>33</v>
      </c>
      <c r="AH7" s="24">
        <v>34</v>
      </c>
      <c r="AI7" s="23">
        <v>35</v>
      </c>
      <c r="AJ7" s="24">
        <v>36</v>
      </c>
      <c r="AK7" s="23">
        <v>37</v>
      </c>
      <c r="AL7" s="24">
        <v>38</v>
      </c>
      <c r="AM7" s="23">
        <v>39</v>
      </c>
      <c r="AN7" s="23">
        <v>40</v>
      </c>
      <c r="AO7" s="24">
        <v>41</v>
      </c>
      <c r="AP7" s="23">
        <v>42</v>
      </c>
      <c r="AQ7" s="24">
        <v>43</v>
      </c>
      <c r="AR7" s="23"/>
      <c r="AS7" s="23">
        <v>44</v>
      </c>
      <c r="AT7" s="24">
        <v>45</v>
      </c>
      <c r="AU7" s="23">
        <v>46</v>
      </c>
      <c r="AV7" s="24">
        <v>47</v>
      </c>
      <c r="AW7" s="23">
        <v>48</v>
      </c>
      <c r="AX7" s="23">
        <v>49</v>
      </c>
      <c r="AY7" s="24"/>
      <c r="AZ7" s="24">
        <v>50</v>
      </c>
      <c r="BA7" s="24">
        <v>51</v>
      </c>
      <c r="BB7" s="24">
        <v>52</v>
      </c>
      <c r="BC7" s="24">
        <v>53</v>
      </c>
      <c r="BD7" s="24">
        <v>54</v>
      </c>
      <c r="BE7" s="24"/>
      <c r="BF7" s="24">
        <v>55</v>
      </c>
      <c r="BG7" s="24">
        <v>56</v>
      </c>
    </row>
    <row r="8" spans="1:59" ht="12.75">
      <c r="A8" s="1" t="s">
        <v>87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6"/>
      <c r="BG8" s="27"/>
    </row>
    <row r="9" spans="1:61" ht="12.75">
      <c r="A9" s="30" t="s">
        <v>31</v>
      </c>
      <c r="B9" s="31">
        <v>2008.3</v>
      </c>
      <c r="C9" s="5">
        <f aca="true" t="shared" si="0" ref="C9:C20">B9*8.55</f>
        <v>17170.965</v>
      </c>
      <c r="D9" s="3">
        <v>419.73</v>
      </c>
      <c r="E9" s="6">
        <v>0</v>
      </c>
      <c r="F9" s="6">
        <v>0</v>
      </c>
      <c r="G9" s="6">
        <v>10577.09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1">
        <v>5046.93</v>
      </c>
      <c r="N9" s="6">
        <v>0</v>
      </c>
      <c r="O9" s="81">
        <v>1749.39</v>
      </c>
      <c r="P9" s="7">
        <v>0</v>
      </c>
      <c r="Q9" s="32">
        <v>0</v>
      </c>
      <c r="R9" s="33">
        <v>0</v>
      </c>
      <c r="S9" s="32">
        <v>0</v>
      </c>
      <c r="T9" s="33">
        <v>0</v>
      </c>
      <c r="U9" s="34">
        <f aca="true" t="shared" si="1" ref="U9:V20">E9+G9+I9+K9+M9+O9+Q9+S9</f>
        <v>17373.41</v>
      </c>
      <c r="V9" s="35">
        <f t="shared" si="1"/>
        <v>0</v>
      </c>
      <c r="W9" s="8">
        <v>0</v>
      </c>
      <c r="X9" s="8"/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10">
        <v>0</v>
      </c>
      <c r="AE9" s="36">
        <v>0</v>
      </c>
      <c r="AF9" s="36">
        <f>SUM(W9:AE9)</f>
        <v>0</v>
      </c>
      <c r="AG9" s="37">
        <f>AF9+V9+D9</f>
        <v>419.73</v>
      </c>
      <c r="AH9" s="38">
        <f aca="true" t="shared" si="2" ref="AH9:AI20">AC9</f>
        <v>0</v>
      </c>
      <c r="AI9" s="38">
        <f t="shared" si="2"/>
        <v>0</v>
      </c>
      <c r="AJ9" s="11">
        <f>'[1]Т01'!$I$177</f>
        <v>114</v>
      </c>
      <c r="AK9" s="12">
        <f aca="true" t="shared" si="3" ref="AK9:AK20">0.67*B9</f>
        <v>1345.5610000000001</v>
      </c>
      <c r="AL9" s="12">
        <f aca="true" t="shared" si="4" ref="AL9:AL20">B9*0.2</f>
        <v>401.66</v>
      </c>
      <c r="AM9" s="12">
        <f aca="true" t="shared" si="5" ref="AM9:AM20">B9*1</f>
        <v>2008.3</v>
      </c>
      <c r="AN9" s="12">
        <f aca="true" t="shared" si="6" ref="AN9:AN20">B9*0.21</f>
        <v>421.743</v>
      </c>
      <c r="AO9" s="12">
        <f aca="true" t="shared" si="7" ref="AO9:AO20">2.02*B9</f>
        <v>4056.766</v>
      </c>
      <c r="AP9" s="12">
        <f aca="true" t="shared" si="8" ref="AP9:AP20">B9*1.03</f>
        <v>2068.549</v>
      </c>
      <c r="AQ9" s="12">
        <f aca="true" t="shared" si="9" ref="AQ9:AQ20">B9*0.75</f>
        <v>1506.225</v>
      </c>
      <c r="AR9" s="12">
        <f aca="true" t="shared" si="10" ref="AR9:AR20">B9*0.75</f>
        <v>1506.225</v>
      </c>
      <c r="AS9" s="12">
        <f>B9*1.15</f>
        <v>2309.5449999999996</v>
      </c>
      <c r="AT9" s="12"/>
      <c r="AU9" s="14"/>
      <c r="AV9" s="13"/>
      <c r="AW9" s="14"/>
      <c r="AX9" s="14"/>
      <c r="AY9" s="4"/>
      <c r="AZ9" s="149"/>
      <c r="BA9" s="15"/>
      <c r="BB9" s="15">
        <f>BA9*0.18</f>
        <v>0</v>
      </c>
      <c r="BC9" s="15">
        <f aca="true" t="shared" si="11" ref="BC9:BC20">SUM(AK9:BB9)</f>
        <v>15624.574000000002</v>
      </c>
      <c r="BD9" s="16">
        <f>'[1]Т01'!$R$177</f>
        <v>28.5</v>
      </c>
      <c r="BE9" s="16">
        <f>BC9+BD9</f>
        <v>15653.074000000002</v>
      </c>
      <c r="BF9" s="16">
        <f>AG9+AJ9-BE9</f>
        <v>-15119.344000000003</v>
      </c>
      <c r="BG9" s="16">
        <f>AF9-U9</f>
        <v>-17373.41</v>
      </c>
      <c r="BH9" s="76"/>
      <c r="BI9" s="40"/>
    </row>
    <row r="10" spans="1:59" ht="14.25">
      <c r="A10" s="30" t="s">
        <v>32</v>
      </c>
      <c r="B10" s="31">
        <v>2008.3</v>
      </c>
      <c r="C10" s="5">
        <f t="shared" si="0"/>
        <v>17170.965</v>
      </c>
      <c r="D10" s="3">
        <v>419.73</v>
      </c>
      <c r="E10" s="6">
        <v>0</v>
      </c>
      <c r="F10" s="6">
        <v>0</v>
      </c>
      <c r="G10" s="6">
        <v>10169.73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1">
        <v>5037.32</v>
      </c>
      <c r="N10" s="6">
        <v>0</v>
      </c>
      <c r="O10" s="81">
        <v>1746.99</v>
      </c>
      <c r="P10" s="6">
        <v>0</v>
      </c>
      <c r="Q10" s="6">
        <v>0</v>
      </c>
      <c r="R10" s="7">
        <v>0</v>
      </c>
      <c r="S10" s="10">
        <v>0</v>
      </c>
      <c r="T10" s="8">
        <v>0</v>
      </c>
      <c r="U10" s="41">
        <f t="shared" si="1"/>
        <v>16954.04</v>
      </c>
      <c r="V10" s="35">
        <f t="shared" si="1"/>
        <v>0</v>
      </c>
      <c r="W10" s="137">
        <v>2761.28</v>
      </c>
      <c r="X10" s="137">
        <v>0</v>
      </c>
      <c r="Y10" s="137">
        <v>702.61</v>
      </c>
      <c r="Z10" s="137">
        <v>1169.08</v>
      </c>
      <c r="AA10" s="137">
        <v>4740.2</v>
      </c>
      <c r="AB10" s="137">
        <v>1479.4</v>
      </c>
      <c r="AC10" s="137">
        <v>0</v>
      </c>
      <c r="AD10" s="138">
        <v>0</v>
      </c>
      <c r="AE10" s="138">
        <v>0</v>
      </c>
      <c r="AF10" s="36">
        <f>SUM(W10:AE10)</f>
        <v>10852.57</v>
      </c>
      <c r="AG10" s="37">
        <f>AF10+V10+D10</f>
        <v>11272.3</v>
      </c>
      <c r="AH10" s="38">
        <f t="shared" si="2"/>
        <v>0</v>
      </c>
      <c r="AI10" s="38">
        <f t="shared" si="2"/>
        <v>0</v>
      </c>
      <c r="AJ10" s="11">
        <f>'[1]Т02'!$G$179</f>
        <v>114</v>
      </c>
      <c r="AK10" s="12">
        <f t="shared" si="3"/>
        <v>1345.5610000000001</v>
      </c>
      <c r="AL10" s="12">
        <f t="shared" si="4"/>
        <v>401.66</v>
      </c>
      <c r="AM10" s="12">
        <f t="shared" si="5"/>
        <v>2008.3</v>
      </c>
      <c r="AN10" s="12">
        <f t="shared" si="6"/>
        <v>421.743</v>
      </c>
      <c r="AO10" s="12">
        <f t="shared" si="7"/>
        <v>4056.766</v>
      </c>
      <c r="AP10" s="12">
        <f t="shared" si="8"/>
        <v>2068.549</v>
      </c>
      <c r="AQ10" s="12">
        <f t="shared" si="9"/>
        <v>1506.225</v>
      </c>
      <c r="AR10" s="12">
        <f t="shared" si="10"/>
        <v>1506.225</v>
      </c>
      <c r="AS10" s="12">
        <f>B10*1.15</f>
        <v>2309.5449999999996</v>
      </c>
      <c r="AT10" s="12"/>
      <c r="AU10" s="14">
        <v>1141</v>
      </c>
      <c r="AV10" s="13"/>
      <c r="AW10" s="14"/>
      <c r="AX10" s="14">
        <f>80+8</f>
        <v>88</v>
      </c>
      <c r="AY10" s="4"/>
      <c r="AZ10" s="149"/>
      <c r="BA10" s="15"/>
      <c r="BB10" s="15">
        <f>BA10*0.18</f>
        <v>0</v>
      </c>
      <c r="BC10" s="15">
        <f t="shared" si="11"/>
        <v>16853.574</v>
      </c>
      <c r="BD10" s="16">
        <f>'[1]Т02'!$S$178</f>
        <v>28.5</v>
      </c>
      <c r="BE10" s="16">
        <f aca="true" t="shared" si="12" ref="BE10:BE20">BC10+BD10</f>
        <v>16882.074</v>
      </c>
      <c r="BF10" s="16">
        <f aca="true" t="shared" si="13" ref="BF10:BF20">AG10+AJ10-BE10</f>
        <v>-5495.774000000001</v>
      </c>
      <c r="BG10" s="16">
        <f aca="true" t="shared" si="14" ref="BG10:BG20">AF10-U10</f>
        <v>-6101.470000000001</v>
      </c>
    </row>
    <row r="11" spans="1:59" ht="12.75">
      <c r="A11" s="30" t="s">
        <v>33</v>
      </c>
      <c r="B11" s="31">
        <v>2008.3</v>
      </c>
      <c r="C11" s="5">
        <f t="shared" si="0"/>
        <v>17170.965</v>
      </c>
      <c r="D11" s="3">
        <v>419.73</v>
      </c>
      <c r="E11" s="6">
        <v>0</v>
      </c>
      <c r="F11" s="6">
        <v>0</v>
      </c>
      <c r="G11" s="6">
        <v>10373.41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1">
        <v>5037.32</v>
      </c>
      <c r="N11" s="6">
        <v>0</v>
      </c>
      <c r="O11" s="81">
        <v>1746.99</v>
      </c>
      <c r="P11" s="6">
        <v>0</v>
      </c>
      <c r="Q11" s="6">
        <v>0</v>
      </c>
      <c r="R11" s="6">
        <v>0</v>
      </c>
      <c r="S11" s="6">
        <v>0</v>
      </c>
      <c r="T11" s="8">
        <v>0</v>
      </c>
      <c r="U11" s="8">
        <f t="shared" si="1"/>
        <v>17157.72</v>
      </c>
      <c r="V11" s="9">
        <f t="shared" si="1"/>
        <v>0</v>
      </c>
      <c r="W11" s="43">
        <v>268.21</v>
      </c>
      <c r="X11" s="8">
        <v>7906.45</v>
      </c>
      <c r="Y11" s="8">
        <v>363.52</v>
      </c>
      <c r="Z11" s="8">
        <v>604.91</v>
      </c>
      <c r="AA11" s="8">
        <v>4420.5</v>
      </c>
      <c r="AB11" s="8">
        <v>1462.5</v>
      </c>
      <c r="AC11" s="8">
        <v>0</v>
      </c>
      <c r="AD11" s="10">
        <v>0</v>
      </c>
      <c r="AE11" s="8">
        <v>0</v>
      </c>
      <c r="AF11" s="44">
        <f>SUM(W11:AE11)</f>
        <v>15026.09</v>
      </c>
      <c r="AG11" s="37">
        <f>AF11+V11+D11</f>
        <v>15445.82</v>
      </c>
      <c r="AH11" s="38">
        <f t="shared" si="2"/>
        <v>0</v>
      </c>
      <c r="AI11" s="38">
        <f t="shared" si="2"/>
        <v>0</v>
      </c>
      <c r="AJ11" s="11">
        <f>'[1]Т03'!$J$179</f>
        <v>114</v>
      </c>
      <c r="AK11" s="12">
        <f t="shared" si="3"/>
        <v>1345.5610000000001</v>
      </c>
      <c r="AL11" s="12">
        <f t="shared" si="4"/>
        <v>401.66</v>
      </c>
      <c r="AM11" s="12">
        <f t="shared" si="5"/>
        <v>2008.3</v>
      </c>
      <c r="AN11" s="12">
        <f t="shared" si="6"/>
        <v>421.743</v>
      </c>
      <c r="AO11" s="12">
        <f t="shared" si="7"/>
        <v>4056.766</v>
      </c>
      <c r="AP11" s="12">
        <f t="shared" si="8"/>
        <v>2068.549</v>
      </c>
      <c r="AQ11" s="12">
        <f t="shared" si="9"/>
        <v>1506.225</v>
      </c>
      <c r="AR11" s="12">
        <f t="shared" si="10"/>
        <v>1506.225</v>
      </c>
      <c r="AS11" s="12">
        <f>B11*1.15</f>
        <v>2309.5449999999996</v>
      </c>
      <c r="AT11" s="12"/>
      <c r="AU11" s="14"/>
      <c r="AV11" s="13"/>
      <c r="AW11" s="14"/>
      <c r="AX11" s="14"/>
      <c r="AY11" s="4"/>
      <c r="AZ11" s="149"/>
      <c r="BA11" s="15"/>
      <c r="BB11" s="15">
        <f>BA11*0.18</f>
        <v>0</v>
      </c>
      <c r="BC11" s="15">
        <f t="shared" si="11"/>
        <v>15624.574000000002</v>
      </c>
      <c r="BD11" s="16">
        <f>'[1]Т03'!$S$179</f>
        <v>28.5</v>
      </c>
      <c r="BE11" s="16">
        <f t="shared" si="12"/>
        <v>15653.074000000002</v>
      </c>
      <c r="BF11" s="16">
        <f t="shared" si="13"/>
        <v>-93.25400000000263</v>
      </c>
      <c r="BG11" s="16">
        <f t="shared" si="14"/>
        <v>-2131.630000000001</v>
      </c>
    </row>
    <row r="12" spans="1:60" ht="12.75">
      <c r="A12" s="30" t="s">
        <v>34</v>
      </c>
      <c r="B12" s="31">
        <v>2008.3</v>
      </c>
      <c r="C12" s="5">
        <f t="shared" si="0"/>
        <v>17170.965</v>
      </c>
      <c r="D12" s="3">
        <v>419.73</v>
      </c>
      <c r="E12" s="32">
        <v>0</v>
      </c>
      <c r="F12" s="6">
        <v>0</v>
      </c>
      <c r="G12" s="6">
        <v>10373.41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1">
        <v>5037.32</v>
      </c>
      <c r="N12" s="6">
        <v>0</v>
      </c>
      <c r="O12" s="81">
        <v>1746.99</v>
      </c>
      <c r="P12" s="6">
        <v>0</v>
      </c>
      <c r="Q12" s="6">
        <v>0</v>
      </c>
      <c r="R12" s="7">
        <v>0</v>
      </c>
      <c r="S12" s="46">
        <v>0</v>
      </c>
      <c r="T12" s="47">
        <v>0</v>
      </c>
      <c r="U12" s="41">
        <f t="shared" si="1"/>
        <v>17157.72</v>
      </c>
      <c r="V12" s="9">
        <f t="shared" si="1"/>
        <v>0</v>
      </c>
      <c r="W12" s="8">
        <v>-1681.85</v>
      </c>
      <c r="X12" s="8">
        <v>8251.03</v>
      </c>
      <c r="Y12" s="8">
        <v>759.02</v>
      </c>
      <c r="Z12" s="8">
        <v>1264.16</v>
      </c>
      <c r="AA12" s="8">
        <v>-134.41</v>
      </c>
      <c r="AB12" s="10">
        <v>-180.9</v>
      </c>
      <c r="AC12" s="8">
        <v>0</v>
      </c>
      <c r="AD12" s="10">
        <v>0</v>
      </c>
      <c r="AE12" s="10">
        <v>0</v>
      </c>
      <c r="AF12" s="36">
        <f>SUM(W12:AD12)</f>
        <v>8277.050000000001</v>
      </c>
      <c r="AG12" s="48">
        <f>AF12+V12+D12</f>
        <v>8696.78</v>
      </c>
      <c r="AH12" s="39">
        <f t="shared" si="2"/>
        <v>0</v>
      </c>
      <c r="AI12" s="39">
        <f t="shared" si="2"/>
        <v>0</v>
      </c>
      <c r="AJ12" s="49">
        <f>'[2]Т04'!$J$181</f>
        <v>114</v>
      </c>
      <c r="AK12" s="12">
        <f t="shared" si="3"/>
        <v>1345.5610000000001</v>
      </c>
      <c r="AL12" s="12">
        <f t="shared" si="4"/>
        <v>401.66</v>
      </c>
      <c r="AM12" s="12">
        <f t="shared" si="5"/>
        <v>2008.3</v>
      </c>
      <c r="AN12" s="12">
        <f t="shared" si="6"/>
        <v>421.743</v>
      </c>
      <c r="AO12" s="12">
        <f t="shared" si="7"/>
        <v>4056.766</v>
      </c>
      <c r="AP12" s="12">
        <f t="shared" si="8"/>
        <v>2068.549</v>
      </c>
      <c r="AQ12" s="12">
        <f t="shared" si="9"/>
        <v>1506.225</v>
      </c>
      <c r="AR12" s="12">
        <f t="shared" si="10"/>
        <v>1506.225</v>
      </c>
      <c r="AS12" s="12"/>
      <c r="AT12" s="50"/>
      <c r="AU12" s="51"/>
      <c r="AV12" s="51"/>
      <c r="AW12" s="51"/>
      <c r="AX12" s="51">
        <f>15</f>
        <v>15</v>
      </c>
      <c r="AY12" s="4"/>
      <c r="AZ12" s="4"/>
      <c r="BA12" s="50"/>
      <c r="BB12" s="50"/>
      <c r="BC12" s="6">
        <f t="shared" si="11"/>
        <v>13330.029000000002</v>
      </c>
      <c r="BD12" s="82">
        <f>'[1]Т04'!$S$181</f>
        <v>28.5</v>
      </c>
      <c r="BE12" s="16">
        <f t="shared" si="12"/>
        <v>13358.529000000002</v>
      </c>
      <c r="BF12" s="16">
        <f t="shared" si="13"/>
        <v>-4547.749000000002</v>
      </c>
      <c r="BG12" s="16">
        <f t="shared" si="14"/>
        <v>-8880.67</v>
      </c>
      <c r="BH12" s="42"/>
    </row>
    <row r="13" spans="1:59" ht="12.75">
      <c r="A13" s="30" t="s">
        <v>35</v>
      </c>
      <c r="B13" s="52">
        <v>2008.3</v>
      </c>
      <c r="C13" s="5">
        <f t="shared" si="0"/>
        <v>17170.965</v>
      </c>
      <c r="D13" s="3">
        <v>419.73</v>
      </c>
      <c r="E13" s="45">
        <v>0</v>
      </c>
      <c r="F13" s="6">
        <v>0</v>
      </c>
      <c r="G13" s="6">
        <v>10373.41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3">
        <v>5037.32</v>
      </c>
      <c r="N13" s="6">
        <v>0</v>
      </c>
      <c r="O13" s="83">
        <v>1746.99</v>
      </c>
      <c r="P13" s="6">
        <v>0</v>
      </c>
      <c r="Q13" s="6">
        <v>0</v>
      </c>
      <c r="R13" s="7">
        <v>0</v>
      </c>
      <c r="S13" s="6">
        <v>0</v>
      </c>
      <c r="T13" s="10">
        <v>0</v>
      </c>
      <c r="U13" s="53">
        <f t="shared" si="1"/>
        <v>17157.72</v>
      </c>
      <c r="V13" s="80">
        <f>F13+H13+J13+L13+N13++R13+T13</f>
        <v>0</v>
      </c>
      <c r="W13" s="8">
        <v>61.28</v>
      </c>
      <c r="X13" s="8">
        <v>7352.72</v>
      </c>
      <c r="Y13" s="8">
        <v>2343.08</v>
      </c>
      <c r="Z13" s="8">
        <v>138.26</v>
      </c>
      <c r="AA13" s="8">
        <v>3765.28</v>
      </c>
      <c r="AB13" s="8">
        <v>1285.78</v>
      </c>
      <c r="AC13" s="8">
        <v>0</v>
      </c>
      <c r="AD13" s="10">
        <v>0</v>
      </c>
      <c r="AE13" s="36">
        <v>0</v>
      </c>
      <c r="AF13" s="54">
        <f>SUM(W13:AE13)</f>
        <v>14946.400000000001</v>
      </c>
      <c r="AG13" s="48">
        <f aca="true" t="shared" si="15" ref="AG13:AG20">D13+V13+AF13</f>
        <v>15366.130000000001</v>
      </c>
      <c r="AH13" s="39">
        <f t="shared" si="2"/>
        <v>0</v>
      </c>
      <c r="AI13" s="39">
        <f t="shared" si="2"/>
        <v>0</v>
      </c>
      <c r="AJ13" s="49">
        <f>'[1]Т05'!$J$179</f>
        <v>114</v>
      </c>
      <c r="AK13" s="12">
        <f t="shared" si="3"/>
        <v>1345.5610000000001</v>
      </c>
      <c r="AL13" s="12">
        <f t="shared" si="4"/>
        <v>401.66</v>
      </c>
      <c r="AM13" s="12">
        <f t="shared" si="5"/>
        <v>2008.3</v>
      </c>
      <c r="AN13" s="12">
        <f t="shared" si="6"/>
        <v>421.743</v>
      </c>
      <c r="AO13" s="12">
        <f t="shared" si="7"/>
        <v>4056.766</v>
      </c>
      <c r="AP13" s="12">
        <f t="shared" si="8"/>
        <v>2068.549</v>
      </c>
      <c r="AQ13" s="12">
        <f t="shared" si="9"/>
        <v>1506.225</v>
      </c>
      <c r="AR13" s="12">
        <f t="shared" si="10"/>
        <v>1506.225</v>
      </c>
      <c r="AS13" s="12"/>
      <c r="AT13" s="50"/>
      <c r="AU13" s="51"/>
      <c r="AV13" s="51"/>
      <c r="AW13" s="51"/>
      <c r="AX13" s="51"/>
      <c r="AY13" s="4"/>
      <c r="AZ13" s="4"/>
      <c r="BA13" s="50"/>
      <c r="BB13" s="50"/>
      <c r="BC13" s="6">
        <f t="shared" si="11"/>
        <v>13315.029000000002</v>
      </c>
      <c r="BD13" s="82">
        <f>'[1]Т05'!$S$179</f>
        <v>28.5</v>
      </c>
      <c r="BE13" s="16">
        <f t="shared" si="12"/>
        <v>13343.529000000002</v>
      </c>
      <c r="BF13" s="16">
        <f t="shared" si="13"/>
        <v>2136.6009999999987</v>
      </c>
      <c r="BG13" s="16">
        <f t="shared" si="14"/>
        <v>-2211.3199999999997</v>
      </c>
    </row>
    <row r="14" spans="1:59" ht="12.75">
      <c r="A14" s="30" t="s">
        <v>36</v>
      </c>
      <c r="B14" s="31">
        <v>2008.3</v>
      </c>
      <c r="C14" s="5">
        <f t="shared" si="0"/>
        <v>17170.965</v>
      </c>
      <c r="D14" s="3">
        <v>419.73</v>
      </c>
      <c r="E14" s="55">
        <v>0</v>
      </c>
      <c r="F14" s="55"/>
      <c r="G14" s="55">
        <v>10373.41</v>
      </c>
      <c r="H14" s="55"/>
      <c r="I14" s="56">
        <v>0</v>
      </c>
      <c r="J14" s="56"/>
      <c r="K14" s="56">
        <v>0</v>
      </c>
      <c r="L14" s="56"/>
      <c r="M14" s="56">
        <v>5037.33</v>
      </c>
      <c r="N14" s="56"/>
      <c r="O14" s="56">
        <v>1746.99</v>
      </c>
      <c r="P14" s="56"/>
      <c r="Q14" s="56">
        <v>0</v>
      </c>
      <c r="R14" s="57"/>
      <c r="S14" s="57">
        <v>0</v>
      </c>
      <c r="T14" s="56"/>
      <c r="U14" s="58">
        <f t="shared" si="1"/>
        <v>17157.73</v>
      </c>
      <c r="V14" s="79">
        <f t="shared" si="1"/>
        <v>0</v>
      </c>
      <c r="W14" s="59">
        <v>110.22</v>
      </c>
      <c r="X14" s="55">
        <v>8802.68</v>
      </c>
      <c r="Y14" s="55">
        <v>149.4</v>
      </c>
      <c r="Z14" s="55">
        <v>2417.69</v>
      </c>
      <c r="AA14" s="55">
        <v>4632.91</v>
      </c>
      <c r="AB14" s="55">
        <v>1570.06</v>
      </c>
      <c r="AC14" s="55">
        <v>0</v>
      </c>
      <c r="AD14" s="55">
        <v>0</v>
      </c>
      <c r="AE14" s="60">
        <v>0</v>
      </c>
      <c r="AF14" s="61">
        <f aca="true" t="shared" si="16" ref="AF14:AF20">SUM(W14:AE14)</f>
        <v>17682.96</v>
      </c>
      <c r="AG14" s="48">
        <f t="shared" si="15"/>
        <v>18102.69</v>
      </c>
      <c r="AH14" s="39">
        <f t="shared" si="2"/>
        <v>0</v>
      </c>
      <c r="AI14" s="39">
        <f t="shared" si="2"/>
        <v>0</v>
      </c>
      <c r="AJ14" s="49">
        <f>'[1]Т06'!$J$179</f>
        <v>114</v>
      </c>
      <c r="AK14" s="12">
        <f t="shared" si="3"/>
        <v>1345.5610000000001</v>
      </c>
      <c r="AL14" s="12">
        <f t="shared" si="4"/>
        <v>401.66</v>
      </c>
      <c r="AM14" s="12">
        <f t="shared" si="5"/>
        <v>2008.3</v>
      </c>
      <c r="AN14" s="12">
        <f t="shared" si="6"/>
        <v>421.743</v>
      </c>
      <c r="AO14" s="12">
        <f t="shared" si="7"/>
        <v>4056.766</v>
      </c>
      <c r="AP14" s="12">
        <f t="shared" si="8"/>
        <v>2068.549</v>
      </c>
      <c r="AQ14" s="12">
        <f t="shared" si="9"/>
        <v>1506.225</v>
      </c>
      <c r="AR14" s="12">
        <f t="shared" si="10"/>
        <v>1506.225</v>
      </c>
      <c r="AS14" s="12"/>
      <c r="AT14" s="50"/>
      <c r="AU14" s="51"/>
      <c r="AV14" s="51"/>
      <c r="AW14" s="51"/>
      <c r="AX14" s="51"/>
      <c r="AY14" s="12"/>
      <c r="AZ14" s="12"/>
      <c r="BA14" s="50"/>
      <c r="BB14" s="50"/>
      <c r="BC14" s="139">
        <f t="shared" si="11"/>
        <v>13315.029000000002</v>
      </c>
      <c r="BD14" s="82">
        <f>'[1]Т06'!$S$179</f>
        <v>28.5</v>
      </c>
      <c r="BE14" s="16">
        <f t="shared" si="12"/>
        <v>13343.529000000002</v>
      </c>
      <c r="BF14" s="16">
        <f t="shared" si="13"/>
        <v>4873.160999999996</v>
      </c>
      <c r="BG14" s="16">
        <f t="shared" si="14"/>
        <v>525.2299999999996</v>
      </c>
    </row>
    <row r="15" spans="1:59" ht="12.75">
      <c r="A15" s="30" t="s">
        <v>37</v>
      </c>
      <c r="B15" s="31">
        <v>2008.3</v>
      </c>
      <c r="C15" s="5">
        <f t="shared" si="0"/>
        <v>17170.965</v>
      </c>
      <c r="D15" s="3">
        <v>419.73</v>
      </c>
      <c r="E15" s="62"/>
      <c r="F15" s="62"/>
      <c r="G15" s="62">
        <v>10373.41</v>
      </c>
      <c r="H15" s="62"/>
      <c r="I15" s="62"/>
      <c r="J15" s="62"/>
      <c r="K15" s="62"/>
      <c r="L15" s="62"/>
      <c r="M15" s="62">
        <v>5037.32</v>
      </c>
      <c r="N15" s="62"/>
      <c r="O15" s="62">
        <v>1746.99</v>
      </c>
      <c r="P15" s="62"/>
      <c r="Q15" s="62"/>
      <c r="R15" s="62"/>
      <c r="S15" s="63"/>
      <c r="T15" s="59"/>
      <c r="U15" s="64">
        <f t="shared" si="1"/>
        <v>17157.72</v>
      </c>
      <c r="V15" s="77">
        <f t="shared" si="1"/>
        <v>0</v>
      </c>
      <c r="W15" s="65">
        <v>25.89</v>
      </c>
      <c r="X15" s="62">
        <v>6149.53</v>
      </c>
      <c r="Y15" s="62">
        <v>35.09</v>
      </c>
      <c r="Z15" s="62">
        <v>58.39</v>
      </c>
      <c r="AA15" s="62">
        <v>3073.3</v>
      </c>
      <c r="AB15" s="62">
        <v>1056.88</v>
      </c>
      <c r="AC15" s="55"/>
      <c r="AD15" s="62"/>
      <c r="AE15" s="63"/>
      <c r="AF15" s="61">
        <f t="shared" si="16"/>
        <v>10399.080000000002</v>
      </c>
      <c r="AG15" s="66">
        <f t="shared" si="15"/>
        <v>10818.810000000001</v>
      </c>
      <c r="AH15" s="39">
        <f t="shared" si="2"/>
        <v>0</v>
      </c>
      <c r="AI15" s="39">
        <f t="shared" si="2"/>
        <v>0</v>
      </c>
      <c r="AJ15" s="49">
        <f>'[1]Т07'!$J$183</f>
        <v>114</v>
      </c>
      <c r="AK15" s="12">
        <f t="shared" si="3"/>
        <v>1345.5610000000001</v>
      </c>
      <c r="AL15" s="12">
        <f t="shared" si="4"/>
        <v>401.66</v>
      </c>
      <c r="AM15" s="12">
        <f t="shared" si="5"/>
        <v>2008.3</v>
      </c>
      <c r="AN15" s="12">
        <f t="shared" si="6"/>
        <v>421.743</v>
      </c>
      <c r="AO15" s="12">
        <f t="shared" si="7"/>
        <v>4056.766</v>
      </c>
      <c r="AP15" s="12">
        <f t="shared" si="8"/>
        <v>2068.549</v>
      </c>
      <c r="AQ15" s="12">
        <f t="shared" si="9"/>
        <v>1506.225</v>
      </c>
      <c r="AR15" s="12">
        <f t="shared" si="10"/>
        <v>1506.225</v>
      </c>
      <c r="AS15" s="12"/>
      <c r="AT15" s="50"/>
      <c r="AU15" s="51"/>
      <c r="AV15" s="51"/>
      <c r="AW15" s="51"/>
      <c r="AX15" s="51">
        <f>96.43+9.43</f>
        <v>105.86000000000001</v>
      </c>
      <c r="AY15" s="4"/>
      <c r="AZ15" s="4"/>
      <c r="BA15" s="50"/>
      <c r="BB15" s="50"/>
      <c r="BC15" s="6">
        <f t="shared" si="11"/>
        <v>13420.889000000003</v>
      </c>
      <c r="BD15" s="82">
        <f>'[1]Т07'!$S$183</f>
        <v>28.5</v>
      </c>
      <c r="BE15" s="16">
        <f t="shared" si="12"/>
        <v>13449.389000000003</v>
      </c>
      <c r="BF15" s="16">
        <f t="shared" si="13"/>
        <v>-2516.5790000000015</v>
      </c>
      <c r="BG15" s="16">
        <f t="shared" si="14"/>
        <v>-6758.639999999999</v>
      </c>
    </row>
    <row r="16" spans="1:59" ht="12.75">
      <c r="A16" s="30" t="s">
        <v>38</v>
      </c>
      <c r="B16" s="31">
        <v>2008.3</v>
      </c>
      <c r="C16" s="5">
        <f t="shared" si="0"/>
        <v>17170.965</v>
      </c>
      <c r="D16" s="3">
        <v>419.73</v>
      </c>
      <c r="E16" s="62"/>
      <c r="F16" s="62"/>
      <c r="G16" s="62">
        <v>10384.5</v>
      </c>
      <c r="H16" s="62"/>
      <c r="I16" s="62"/>
      <c r="J16" s="62"/>
      <c r="K16" s="62"/>
      <c r="L16" s="62"/>
      <c r="M16" s="62">
        <v>5042.77</v>
      </c>
      <c r="N16" s="62"/>
      <c r="O16" s="62">
        <v>1748.94</v>
      </c>
      <c r="P16" s="62"/>
      <c r="Q16" s="62"/>
      <c r="R16" s="62"/>
      <c r="S16" s="63"/>
      <c r="T16" s="60"/>
      <c r="U16" s="67">
        <f t="shared" si="1"/>
        <v>17176.21</v>
      </c>
      <c r="V16" s="78">
        <f t="shared" si="1"/>
        <v>0</v>
      </c>
      <c r="W16" s="62">
        <v>99.74</v>
      </c>
      <c r="X16" s="62">
        <v>8181.11</v>
      </c>
      <c r="Y16" s="62">
        <v>135.21</v>
      </c>
      <c r="Z16" s="62">
        <v>224.98</v>
      </c>
      <c r="AA16" s="62">
        <v>4298.44</v>
      </c>
      <c r="AB16" s="62">
        <v>1457.58</v>
      </c>
      <c r="AC16" s="62"/>
      <c r="AD16" s="62"/>
      <c r="AE16" s="63"/>
      <c r="AF16" s="61">
        <f t="shared" si="16"/>
        <v>14397.06</v>
      </c>
      <c r="AG16" s="66">
        <f t="shared" si="15"/>
        <v>14816.789999999999</v>
      </c>
      <c r="AH16" s="39">
        <f t="shared" si="2"/>
        <v>0</v>
      </c>
      <c r="AI16" s="39">
        <f t="shared" si="2"/>
        <v>0</v>
      </c>
      <c r="AJ16" s="49">
        <f>'[1]Т08'!$J$187</f>
        <v>114</v>
      </c>
      <c r="AK16" s="12">
        <f t="shared" si="3"/>
        <v>1345.5610000000001</v>
      </c>
      <c r="AL16" s="12">
        <f t="shared" si="4"/>
        <v>401.66</v>
      </c>
      <c r="AM16" s="12">
        <f t="shared" si="5"/>
        <v>2008.3</v>
      </c>
      <c r="AN16" s="12">
        <f t="shared" si="6"/>
        <v>421.743</v>
      </c>
      <c r="AO16" s="12">
        <f t="shared" si="7"/>
        <v>4056.766</v>
      </c>
      <c r="AP16" s="12">
        <f t="shared" si="8"/>
        <v>2068.549</v>
      </c>
      <c r="AQ16" s="12">
        <f t="shared" si="9"/>
        <v>1506.225</v>
      </c>
      <c r="AR16" s="12">
        <f t="shared" si="10"/>
        <v>1506.225</v>
      </c>
      <c r="AS16" s="12"/>
      <c r="AT16" s="50"/>
      <c r="AU16" s="51"/>
      <c r="AV16" s="51"/>
      <c r="AW16" s="51"/>
      <c r="AX16" s="51"/>
      <c r="AY16" s="4"/>
      <c r="AZ16" s="4"/>
      <c r="BA16" s="50"/>
      <c r="BB16" s="50"/>
      <c r="BC16" s="6">
        <f t="shared" si="11"/>
        <v>13315.029000000002</v>
      </c>
      <c r="BD16" s="82">
        <f>'[1]Т08'!$S$187</f>
        <v>28.5</v>
      </c>
      <c r="BE16" s="16">
        <f t="shared" si="12"/>
        <v>13343.529000000002</v>
      </c>
      <c r="BF16" s="16">
        <f t="shared" si="13"/>
        <v>1587.2609999999968</v>
      </c>
      <c r="BG16" s="16">
        <f t="shared" si="14"/>
        <v>-2779.1499999999996</v>
      </c>
    </row>
    <row r="17" spans="1:59" ht="12.75">
      <c r="A17" s="30" t="s">
        <v>103</v>
      </c>
      <c r="B17" s="31">
        <v>2008.3</v>
      </c>
      <c r="C17" s="5">
        <f t="shared" si="0"/>
        <v>17170.965</v>
      </c>
      <c r="D17" s="3">
        <v>419.73</v>
      </c>
      <c r="E17" s="62"/>
      <c r="F17" s="62"/>
      <c r="G17" s="62">
        <v>10600.01</v>
      </c>
      <c r="H17" s="62"/>
      <c r="I17" s="62"/>
      <c r="J17" s="62"/>
      <c r="K17" s="62"/>
      <c r="L17" s="62"/>
      <c r="M17" s="62">
        <v>5147.48</v>
      </c>
      <c r="N17" s="62"/>
      <c r="O17" s="62">
        <v>1785.33</v>
      </c>
      <c r="P17" s="62"/>
      <c r="Q17" s="62"/>
      <c r="R17" s="62"/>
      <c r="S17" s="63"/>
      <c r="T17" s="140"/>
      <c r="U17" s="140">
        <f t="shared" si="1"/>
        <v>17532.82</v>
      </c>
      <c r="V17" s="141">
        <f t="shared" si="1"/>
        <v>0</v>
      </c>
      <c r="W17" s="62">
        <v>137.44</v>
      </c>
      <c r="X17" s="62">
        <v>16248.82</v>
      </c>
      <c r="Y17" s="62">
        <v>186.27</v>
      </c>
      <c r="Z17" s="62">
        <v>309.96</v>
      </c>
      <c r="AA17" s="62">
        <v>7159.8</v>
      </c>
      <c r="AB17" s="62">
        <v>2439.22</v>
      </c>
      <c r="AC17" s="62"/>
      <c r="AD17" s="62"/>
      <c r="AE17" s="63"/>
      <c r="AF17" s="61">
        <f t="shared" si="16"/>
        <v>26481.51</v>
      </c>
      <c r="AG17" s="66">
        <f t="shared" si="15"/>
        <v>26901.239999999998</v>
      </c>
      <c r="AH17" s="39">
        <f t="shared" si="2"/>
        <v>0</v>
      </c>
      <c r="AI17" s="39">
        <f t="shared" si="2"/>
        <v>0</v>
      </c>
      <c r="AJ17" s="49">
        <f>'[1]Т09'!$J$187</f>
        <v>114</v>
      </c>
      <c r="AK17" s="12">
        <f t="shared" si="3"/>
        <v>1345.5610000000001</v>
      </c>
      <c r="AL17" s="12">
        <f t="shared" si="4"/>
        <v>401.66</v>
      </c>
      <c r="AM17" s="12">
        <f t="shared" si="5"/>
        <v>2008.3</v>
      </c>
      <c r="AN17" s="12">
        <f t="shared" si="6"/>
        <v>421.743</v>
      </c>
      <c r="AO17" s="12">
        <f t="shared" si="7"/>
        <v>4056.766</v>
      </c>
      <c r="AP17" s="12">
        <f t="shared" si="8"/>
        <v>2068.549</v>
      </c>
      <c r="AQ17" s="12">
        <f t="shared" si="9"/>
        <v>1506.225</v>
      </c>
      <c r="AR17" s="12">
        <f t="shared" si="10"/>
        <v>1506.225</v>
      </c>
      <c r="AS17" s="12"/>
      <c r="AT17" s="50"/>
      <c r="AU17" s="51"/>
      <c r="AV17" s="51"/>
      <c r="AW17" s="51">
        <v>240</v>
      </c>
      <c r="AX17" s="51"/>
      <c r="AY17" s="4"/>
      <c r="AZ17" s="4"/>
      <c r="BA17" s="50"/>
      <c r="BB17" s="50"/>
      <c r="BC17" s="6">
        <f t="shared" si="11"/>
        <v>13555.029000000002</v>
      </c>
      <c r="BD17" s="82">
        <f>'[1]Т08'!$S$187</f>
        <v>28.5</v>
      </c>
      <c r="BE17" s="16">
        <f t="shared" si="12"/>
        <v>13583.529000000002</v>
      </c>
      <c r="BF17" s="16">
        <f t="shared" si="13"/>
        <v>13431.710999999996</v>
      </c>
      <c r="BG17" s="16">
        <f t="shared" si="14"/>
        <v>8948.689999999999</v>
      </c>
    </row>
    <row r="18" spans="1:59" ht="12.75">
      <c r="A18" s="30" t="s">
        <v>104</v>
      </c>
      <c r="B18" s="31">
        <v>2008.3</v>
      </c>
      <c r="C18" s="5">
        <f t="shared" si="0"/>
        <v>17170.965</v>
      </c>
      <c r="D18" s="3">
        <v>419.73</v>
      </c>
      <c r="E18" s="55"/>
      <c r="F18" s="55"/>
      <c r="G18" s="55">
        <v>10599.65</v>
      </c>
      <c r="H18" s="55"/>
      <c r="I18" s="55"/>
      <c r="J18" s="55"/>
      <c r="K18" s="55"/>
      <c r="L18" s="55"/>
      <c r="M18" s="55">
        <v>5147.29</v>
      </c>
      <c r="N18" s="55"/>
      <c r="O18" s="55">
        <v>1785.27</v>
      </c>
      <c r="P18" s="55"/>
      <c r="Q18" s="55"/>
      <c r="R18" s="55"/>
      <c r="S18" s="60"/>
      <c r="T18" s="142"/>
      <c r="U18" s="143">
        <f t="shared" si="1"/>
        <v>17532.21</v>
      </c>
      <c r="V18" s="144">
        <f t="shared" si="1"/>
        <v>0</v>
      </c>
      <c r="W18" s="55">
        <v>0</v>
      </c>
      <c r="X18" s="55">
        <v>9379.81</v>
      </c>
      <c r="Y18" s="55">
        <v>0</v>
      </c>
      <c r="Z18" s="55">
        <v>0</v>
      </c>
      <c r="AA18" s="55">
        <v>4651.5</v>
      </c>
      <c r="AB18" s="55">
        <v>1736.12</v>
      </c>
      <c r="AC18" s="55"/>
      <c r="AD18" s="55"/>
      <c r="AE18" s="60"/>
      <c r="AF18" s="61">
        <f t="shared" si="16"/>
        <v>15767.43</v>
      </c>
      <c r="AG18" s="66">
        <f t="shared" si="15"/>
        <v>16187.16</v>
      </c>
      <c r="AH18" s="39">
        <f t="shared" si="2"/>
        <v>0</v>
      </c>
      <c r="AI18" s="39">
        <f t="shared" si="2"/>
        <v>0</v>
      </c>
      <c r="AJ18" s="49">
        <f>'[4]Т10'!$J$187</f>
        <v>114</v>
      </c>
      <c r="AK18" s="12">
        <f t="shared" si="3"/>
        <v>1345.5610000000001</v>
      </c>
      <c r="AL18" s="12">
        <f t="shared" si="4"/>
        <v>401.66</v>
      </c>
      <c r="AM18" s="12">
        <f t="shared" si="5"/>
        <v>2008.3</v>
      </c>
      <c r="AN18" s="12">
        <f t="shared" si="6"/>
        <v>421.743</v>
      </c>
      <c r="AO18" s="12">
        <f t="shared" si="7"/>
        <v>4056.766</v>
      </c>
      <c r="AP18" s="12">
        <f t="shared" si="8"/>
        <v>2068.549</v>
      </c>
      <c r="AQ18" s="12">
        <f t="shared" si="9"/>
        <v>1506.225</v>
      </c>
      <c r="AR18" s="12">
        <f t="shared" si="10"/>
        <v>1506.225</v>
      </c>
      <c r="AS18" s="145">
        <f>B18*1.15</f>
        <v>2309.5449999999996</v>
      </c>
      <c r="AT18" s="50"/>
      <c r="AU18" s="51"/>
      <c r="AV18" s="51"/>
      <c r="AW18" s="51"/>
      <c r="AX18" s="51">
        <f>148.695</f>
        <v>148.695</v>
      </c>
      <c r="AY18" s="4"/>
      <c r="AZ18" s="4"/>
      <c r="BA18" s="50"/>
      <c r="BB18" s="50"/>
      <c r="BC18" s="6">
        <f t="shared" si="11"/>
        <v>15773.269000000002</v>
      </c>
      <c r="BD18" s="82">
        <f>'[1]Т10'!$S$187</f>
        <v>28.5</v>
      </c>
      <c r="BE18" s="16">
        <f t="shared" si="12"/>
        <v>15801.769000000002</v>
      </c>
      <c r="BF18" s="16">
        <f t="shared" si="13"/>
        <v>499.3909999999978</v>
      </c>
      <c r="BG18" s="16">
        <f t="shared" si="14"/>
        <v>-1764.7799999999988</v>
      </c>
    </row>
    <row r="19" spans="1:59" ht="12.75">
      <c r="A19" s="30" t="s">
        <v>105</v>
      </c>
      <c r="B19" s="31">
        <v>2008.3</v>
      </c>
      <c r="C19" s="5">
        <f t="shared" si="0"/>
        <v>17170.965</v>
      </c>
      <c r="D19" s="3">
        <v>419.73</v>
      </c>
      <c r="E19" s="55"/>
      <c r="F19" s="55"/>
      <c r="G19" s="55">
        <v>10597.38</v>
      </c>
      <c r="H19" s="55"/>
      <c r="I19" s="55"/>
      <c r="J19" s="55"/>
      <c r="K19" s="55"/>
      <c r="L19" s="55"/>
      <c r="M19" s="55">
        <v>5146.18</v>
      </c>
      <c r="N19" s="55"/>
      <c r="O19" s="55">
        <v>1784.87</v>
      </c>
      <c r="P19" s="55"/>
      <c r="Q19" s="55"/>
      <c r="R19" s="55"/>
      <c r="S19" s="60"/>
      <c r="T19" s="142"/>
      <c r="U19" s="143">
        <f t="shared" si="1"/>
        <v>17528.43</v>
      </c>
      <c r="V19" s="144">
        <f t="shared" si="1"/>
        <v>0</v>
      </c>
      <c r="W19" s="55">
        <v>0</v>
      </c>
      <c r="X19" s="55">
        <v>6352.11</v>
      </c>
      <c r="Y19" s="55">
        <v>0</v>
      </c>
      <c r="Z19" s="55">
        <v>0</v>
      </c>
      <c r="AA19" s="55">
        <v>2987.29</v>
      </c>
      <c r="AB19" s="55">
        <v>1007.02</v>
      </c>
      <c r="AC19" s="55"/>
      <c r="AD19" s="55"/>
      <c r="AE19" s="60"/>
      <c r="AF19" s="61">
        <f t="shared" si="16"/>
        <v>10346.42</v>
      </c>
      <c r="AG19" s="66">
        <f t="shared" si="15"/>
        <v>10766.15</v>
      </c>
      <c r="AH19" s="39">
        <f t="shared" si="2"/>
        <v>0</v>
      </c>
      <c r="AI19" s="39">
        <f t="shared" si="2"/>
        <v>0</v>
      </c>
      <c r="AJ19" s="49">
        <f>'[1]Т11'!$J$187</f>
        <v>114</v>
      </c>
      <c r="AK19" s="12">
        <f t="shared" si="3"/>
        <v>1345.5610000000001</v>
      </c>
      <c r="AL19" s="12">
        <f t="shared" si="4"/>
        <v>401.66</v>
      </c>
      <c r="AM19" s="12">
        <f t="shared" si="5"/>
        <v>2008.3</v>
      </c>
      <c r="AN19" s="12">
        <f t="shared" si="6"/>
        <v>421.743</v>
      </c>
      <c r="AO19" s="12">
        <f t="shared" si="7"/>
        <v>4056.766</v>
      </c>
      <c r="AP19" s="12">
        <f t="shared" si="8"/>
        <v>2068.549</v>
      </c>
      <c r="AQ19" s="12">
        <f t="shared" si="9"/>
        <v>1506.225</v>
      </c>
      <c r="AR19" s="12">
        <f t="shared" si="10"/>
        <v>1506.225</v>
      </c>
      <c r="AS19" s="145">
        <f>B19*1.15</f>
        <v>2309.5449999999996</v>
      </c>
      <c r="AT19" s="50"/>
      <c r="AU19" s="51"/>
      <c r="AV19" s="51"/>
      <c r="AW19" s="51"/>
      <c r="AX19" s="51"/>
      <c r="AY19" s="4"/>
      <c r="AZ19" s="4"/>
      <c r="BA19" s="50"/>
      <c r="BB19" s="50"/>
      <c r="BC19" s="6">
        <f t="shared" si="11"/>
        <v>15624.574000000002</v>
      </c>
      <c r="BD19" s="82">
        <f>'[1]Т11'!$S$187</f>
        <v>28.5</v>
      </c>
      <c r="BE19" s="16">
        <f t="shared" si="12"/>
        <v>15653.074000000002</v>
      </c>
      <c r="BF19" s="16">
        <f t="shared" si="13"/>
        <v>-4772.924000000003</v>
      </c>
      <c r="BG19" s="16">
        <f t="shared" si="14"/>
        <v>-7182.01</v>
      </c>
    </row>
    <row r="20" spans="1:59" ht="13.5" thickBot="1">
      <c r="A20" s="30" t="s">
        <v>106</v>
      </c>
      <c r="B20" s="31">
        <v>2008.3</v>
      </c>
      <c r="C20" s="5">
        <f t="shared" si="0"/>
        <v>17170.965</v>
      </c>
      <c r="D20" s="3">
        <v>419.73</v>
      </c>
      <c r="E20" s="146"/>
      <c r="F20" s="146"/>
      <c r="G20" s="146">
        <v>10597.38</v>
      </c>
      <c r="H20" s="146"/>
      <c r="I20" s="146"/>
      <c r="J20" s="146"/>
      <c r="K20" s="146"/>
      <c r="L20" s="146"/>
      <c r="M20" s="146">
        <v>5146.18</v>
      </c>
      <c r="N20" s="146"/>
      <c r="O20" s="146">
        <v>1784.87</v>
      </c>
      <c r="P20" s="146"/>
      <c r="Q20" s="146"/>
      <c r="R20" s="146"/>
      <c r="S20" s="147"/>
      <c r="T20" s="148"/>
      <c r="U20" s="143">
        <f t="shared" si="1"/>
        <v>17528.43</v>
      </c>
      <c r="V20" s="144">
        <f t="shared" si="1"/>
        <v>0</v>
      </c>
      <c r="W20" s="55">
        <v>0</v>
      </c>
      <c r="X20" s="55">
        <v>8354.9</v>
      </c>
      <c r="Y20" s="55">
        <v>0</v>
      </c>
      <c r="Z20" s="55">
        <v>0</v>
      </c>
      <c r="AA20" s="55">
        <v>4056.58</v>
      </c>
      <c r="AB20" s="55">
        <v>1371.24</v>
      </c>
      <c r="AC20" s="55"/>
      <c r="AD20" s="55"/>
      <c r="AE20" s="60"/>
      <c r="AF20" s="61">
        <f t="shared" si="16"/>
        <v>13782.72</v>
      </c>
      <c r="AG20" s="66">
        <f t="shared" si="15"/>
        <v>14202.449999999999</v>
      </c>
      <c r="AH20" s="39">
        <f t="shared" si="2"/>
        <v>0</v>
      </c>
      <c r="AI20" s="39">
        <f t="shared" si="2"/>
        <v>0</v>
      </c>
      <c r="AJ20" s="49">
        <f>'[1]Т12'!$J$207</f>
        <v>114</v>
      </c>
      <c r="AK20" s="12">
        <f t="shared" si="3"/>
        <v>1345.5610000000001</v>
      </c>
      <c r="AL20" s="12">
        <f t="shared" si="4"/>
        <v>401.66</v>
      </c>
      <c r="AM20" s="12">
        <f t="shared" si="5"/>
        <v>2008.3</v>
      </c>
      <c r="AN20" s="12">
        <f t="shared" si="6"/>
        <v>421.743</v>
      </c>
      <c r="AO20" s="12">
        <f t="shared" si="7"/>
        <v>4056.766</v>
      </c>
      <c r="AP20" s="12">
        <f t="shared" si="8"/>
        <v>2068.549</v>
      </c>
      <c r="AQ20" s="12">
        <f t="shared" si="9"/>
        <v>1506.225</v>
      </c>
      <c r="AR20" s="12">
        <f t="shared" si="10"/>
        <v>1506.225</v>
      </c>
      <c r="AS20" s="145">
        <f>B20*1.15</f>
        <v>2309.5449999999996</v>
      </c>
      <c r="AT20" s="50"/>
      <c r="AU20" s="51"/>
      <c r="AV20" s="51"/>
      <c r="AW20" s="51"/>
      <c r="AX20" s="51"/>
      <c r="AY20" s="4"/>
      <c r="AZ20" s="4"/>
      <c r="BA20" s="50"/>
      <c r="BB20" s="50"/>
      <c r="BC20" s="6">
        <f t="shared" si="11"/>
        <v>15624.574000000002</v>
      </c>
      <c r="BD20" s="82">
        <f>'[1]Т12'!$S$207</f>
        <v>28.5</v>
      </c>
      <c r="BE20" s="16">
        <f t="shared" si="12"/>
        <v>15653.074000000002</v>
      </c>
      <c r="BF20" s="16">
        <f t="shared" si="13"/>
        <v>-1336.6240000000034</v>
      </c>
      <c r="BG20" s="16">
        <f t="shared" si="14"/>
        <v>-3745.710000000001</v>
      </c>
    </row>
    <row r="21" spans="1:59" s="2" customFormat="1" ht="13.5" thickBot="1">
      <c r="A21" s="68" t="s">
        <v>4</v>
      </c>
      <c r="B21" s="69"/>
      <c r="C21" s="70">
        <f aca="true" t="shared" si="17" ref="C21:BF21">SUM(C9:C20)</f>
        <v>206051.58</v>
      </c>
      <c r="D21" s="70">
        <f t="shared" si="17"/>
        <v>5036.76</v>
      </c>
      <c r="E21" s="70">
        <f t="shared" si="17"/>
        <v>0</v>
      </c>
      <c r="F21" s="70">
        <f t="shared" si="17"/>
        <v>0</v>
      </c>
      <c r="G21" s="70">
        <f t="shared" si="17"/>
        <v>125392.79000000001</v>
      </c>
      <c r="H21" s="70">
        <f t="shared" si="17"/>
        <v>0</v>
      </c>
      <c r="I21" s="70">
        <f t="shared" si="17"/>
        <v>0</v>
      </c>
      <c r="J21" s="70">
        <f t="shared" si="17"/>
        <v>0</v>
      </c>
      <c r="K21" s="70">
        <f t="shared" si="17"/>
        <v>0</v>
      </c>
      <c r="L21" s="70">
        <f t="shared" si="17"/>
        <v>0</v>
      </c>
      <c r="M21" s="70">
        <f t="shared" si="17"/>
        <v>60900.76</v>
      </c>
      <c r="N21" s="70">
        <f t="shared" si="17"/>
        <v>0</v>
      </c>
      <c r="O21" s="70">
        <f t="shared" si="17"/>
        <v>21120.609999999997</v>
      </c>
      <c r="P21" s="70">
        <f t="shared" si="17"/>
        <v>0</v>
      </c>
      <c r="Q21" s="70">
        <f t="shared" si="17"/>
        <v>0</v>
      </c>
      <c r="R21" s="70">
        <f t="shared" si="17"/>
        <v>0</v>
      </c>
      <c r="S21" s="70">
        <f t="shared" si="17"/>
        <v>0</v>
      </c>
      <c r="T21" s="70">
        <f t="shared" si="17"/>
        <v>0</v>
      </c>
      <c r="U21" s="70">
        <f t="shared" si="17"/>
        <v>207414.15999999997</v>
      </c>
      <c r="V21" s="70">
        <f t="shared" si="17"/>
        <v>0</v>
      </c>
      <c r="W21" s="70">
        <f t="shared" si="17"/>
        <v>1782.2100000000005</v>
      </c>
      <c r="X21" s="70">
        <f t="shared" si="17"/>
        <v>86979.16</v>
      </c>
      <c r="Y21" s="70">
        <f t="shared" si="17"/>
        <v>4674.2</v>
      </c>
      <c r="Z21" s="70">
        <f t="shared" si="17"/>
        <v>6187.43</v>
      </c>
      <c r="AA21" s="70">
        <f t="shared" si="17"/>
        <v>43651.39000000001</v>
      </c>
      <c r="AB21" s="70">
        <f t="shared" si="17"/>
        <v>14684.9</v>
      </c>
      <c r="AC21" s="70">
        <f t="shared" si="17"/>
        <v>0</v>
      </c>
      <c r="AD21" s="70">
        <f t="shared" si="17"/>
        <v>0</v>
      </c>
      <c r="AE21" s="70">
        <f t="shared" si="17"/>
        <v>0</v>
      </c>
      <c r="AF21" s="70">
        <f t="shared" si="17"/>
        <v>157959.29</v>
      </c>
      <c r="AG21" s="70">
        <f t="shared" si="17"/>
        <v>162996.05</v>
      </c>
      <c r="AH21" s="70">
        <f t="shared" si="17"/>
        <v>0</v>
      </c>
      <c r="AI21" s="70">
        <f t="shared" si="17"/>
        <v>0</v>
      </c>
      <c r="AJ21" s="70">
        <f t="shared" si="17"/>
        <v>1368</v>
      </c>
      <c r="AK21" s="70">
        <f t="shared" si="17"/>
        <v>16146.731999999998</v>
      </c>
      <c r="AL21" s="70">
        <f t="shared" si="17"/>
        <v>4819.919999999999</v>
      </c>
      <c r="AM21" s="70">
        <f t="shared" si="17"/>
        <v>24099.599999999995</v>
      </c>
      <c r="AN21" s="70">
        <f t="shared" si="17"/>
        <v>5060.916000000001</v>
      </c>
      <c r="AO21" s="70">
        <f t="shared" si="17"/>
        <v>48681.19200000001</v>
      </c>
      <c r="AP21" s="70">
        <f t="shared" si="17"/>
        <v>24822.587999999992</v>
      </c>
      <c r="AQ21" s="70">
        <f t="shared" si="17"/>
        <v>18074.7</v>
      </c>
      <c r="AR21" s="70">
        <f t="shared" si="17"/>
        <v>18074.7</v>
      </c>
      <c r="AS21" s="70">
        <f t="shared" si="17"/>
        <v>13857.269999999999</v>
      </c>
      <c r="AT21" s="70">
        <f t="shared" si="17"/>
        <v>0</v>
      </c>
      <c r="AU21" s="70">
        <f t="shared" si="17"/>
        <v>1141</v>
      </c>
      <c r="AV21" s="70">
        <f t="shared" si="17"/>
        <v>0</v>
      </c>
      <c r="AW21" s="70">
        <f t="shared" si="17"/>
        <v>240</v>
      </c>
      <c r="AX21" s="70">
        <f t="shared" si="17"/>
        <v>357.555</v>
      </c>
      <c r="AY21" s="70">
        <f t="shared" si="17"/>
        <v>0</v>
      </c>
      <c r="AZ21" s="70">
        <f t="shared" si="17"/>
        <v>0</v>
      </c>
      <c r="BA21" s="70">
        <f t="shared" si="17"/>
        <v>0</v>
      </c>
      <c r="BB21" s="70">
        <f t="shared" si="17"/>
        <v>0</v>
      </c>
      <c r="BC21" s="70">
        <f t="shared" si="17"/>
        <v>175376.173</v>
      </c>
      <c r="BD21" s="70">
        <f t="shared" si="17"/>
        <v>342</v>
      </c>
      <c r="BE21" s="70">
        <f t="shared" si="17"/>
        <v>175718.173</v>
      </c>
      <c r="BF21" s="70">
        <f t="shared" si="17"/>
        <v>-11354.12300000003</v>
      </c>
      <c r="BG21" s="70">
        <f>SUM(BG9:BG20)</f>
        <v>-49454.87000000001</v>
      </c>
    </row>
    <row r="22" spans="1:59" ht="12.75">
      <c r="A22" s="1" t="s">
        <v>108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9"/>
      <c r="BF22" s="26"/>
      <c r="BG22" s="27"/>
    </row>
    <row r="23" spans="1:63" ht="12.75">
      <c r="A23" s="30" t="s">
        <v>31</v>
      </c>
      <c r="B23" s="31">
        <v>2008.3</v>
      </c>
      <c r="C23" s="5">
        <f aca="true" t="shared" si="18" ref="C23:C28">B23*8.55</f>
        <v>17170.965</v>
      </c>
      <c r="D23" s="272">
        <v>419.73</v>
      </c>
      <c r="E23" s="55"/>
      <c r="F23" s="55"/>
      <c r="G23" s="55">
        <v>10597.38</v>
      </c>
      <c r="H23" s="55"/>
      <c r="I23" s="55"/>
      <c r="J23" s="55"/>
      <c r="K23" s="55"/>
      <c r="L23" s="55"/>
      <c r="M23" s="55">
        <v>5146.18</v>
      </c>
      <c r="N23" s="55"/>
      <c r="O23" s="55">
        <v>1784.87</v>
      </c>
      <c r="P23" s="55"/>
      <c r="Q23" s="55"/>
      <c r="R23" s="55"/>
      <c r="S23" s="60"/>
      <c r="T23" s="148"/>
      <c r="U23" s="143">
        <f aca="true" t="shared" si="19" ref="U23:V28">E23+G23+I23+K23+M23+O23+Q23+S23</f>
        <v>17528.43</v>
      </c>
      <c r="V23" s="144">
        <f t="shared" si="19"/>
        <v>0</v>
      </c>
      <c r="W23" s="55">
        <v>0</v>
      </c>
      <c r="X23" s="55">
        <v>14900.41</v>
      </c>
      <c r="Y23" s="55">
        <v>0</v>
      </c>
      <c r="Z23" s="55">
        <v>0</v>
      </c>
      <c r="AA23" s="55">
        <v>6119.76</v>
      </c>
      <c r="AB23" s="55">
        <v>2099.17</v>
      </c>
      <c r="AC23" s="55"/>
      <c r="AD23" s="55"/>
      <c r="AE23" s="60"/>
      <c r="AF23" s="61">
        <f aca="true" t="shared" si="20" ref="AF23:AF28">SUM(W23:AE23)</f>
        <v>23119.339999999997</v>
      </c>
      <c r="AG23" s="66">
        <f aca="true" t="shared" si="21" ref="AG23:AG34">D23+V23+AF23</f>
        <v>23539.069999999996</v>
      </c>
      <c r="AH23" s="39">
        <f aca="true" t="shared" si="22" ref="AH23:AI34">AC23</f>
        <v>0</v>
      </c>
      <c r="AI23" s="39">
        <f t="shared" si="22"/>
        <v>0</v>
      </c>
      <c r="AJ23" s="49">
        <f>'[5]Т01'!$J$209</f>
        <v>114</v>
      </c>
      <c r="AK23" s="12">
        <f aca="true" t="shared" si="23" ref="AK23:AK28">0.67*B23</f>
        <v>1345.5610000000001</v>
      </c>
      <c r="AL23" s="12">
        <f aca="true" t="shared" si="24" ref="AL23:AL34">B23*0.2</f>
        <v>401.66</v>
      </c>
      <c r="AM23" s="12">
        <f aca="true" t="shared" si="25" ref="AM23:AM34">B23*1</f>
        <v>2008.3</v>
      </c>
      <c r="AN23" s="12">
        <f aca="true" t="shared" si="26" ref="AN23:AN34">B23*0.21</f>
        <v>421.743</v>
      </c>
      <c r="AO23" s="12">
        <f aca="true" t="shared" si="27" ref="AO23:AO34">2.02*B23</f>
        <v>4056.766</v>
      </c>
      <c r="AP23" s="12">
        <f aca="true" t="shared" si="28" ref="AP23:AP34">B23*1.03</f>
        <v>2068.549</v>
      </c>
      <c r="AQ23" s="12">
        <f aca="true" t="shared" si="29" ref="AQ23:AQ34">B23*0.75</f>
        <v>1506.225</v>
      </c>
      <c r="AR23" s="12">
        <f aca="true" t="shared" si="30" ref="AR23:AR34">B23*0.75</f>
        <v>1506.225</v>
      </c>
      <c r="AS23" s="145">
        <f>B23*1.15</f>
        <v>2309.5449999999996</v>
      </c>
      <c r="AT23" s="50"/>
      <c r="AU23" s="273"/>
      <c r="AV23" s="51"/>
      <c r="AW23" s="51"/>
      <c r="AX23" s="51"/>
      <c r="AY23" s="51"/>
      <c r="AZ23" s="51"/>
      <c r="BA23" s="4"/>
      <c r="BB23" s="50"/>
      <c r="BC23" s="139">
        <f>SUM(AK23:BB23)</f>
        <v>15624.574000000002</v>
      </c>
      <c r="BD23" s="82">
        <f>'[5]Т01'!$S$209</f>
        <v>28.5</v>
      </c>
      <c r="BE23" s="15">
        <f>BC23+BD23</f>
        <v>15653.074000000002</v>
      </c>
      <c r="BF23" s="16">
        <f>AG23-BE23+AJ23</f>
        <v>7999.995999999994</v>
      </c>
      <c r="BG23" s="16">
        <f>AF23-U23</f>
        <v>5590.909999999996</v>
      </c>
      <c r="BH23" s="76"/>
      <c r="BI23" s="40"/>
      <c r="BJ23" s="76"/>
      <c r="BK23" s="40"/>
    </row>
    <row r="24" spans="1:61" ht="12.75">
      <c r="A24" s="30" t="s">
        <v>32</v>
      </c>
      <c r="B24" s="31">
        <v>2008.3</v>
      </c>
      <c r="C24" s="5">
        <f t="shared" si="18"/>
        <v>17170.965</v>
      </c>
      <c r="D24" s="272">
        <v>419.73</v>
      </c>
      <c r="E24" s="62"/>
      <c r="F24" s="62"/>
      <c r="G24" s="62">
        <v>10597.38</v>
      </c>
      <c r="H24" s="62"/>
      <c r="I24" s="62"/>
      <c r="J24" s="62"/>
      <c r="K24" s="62"/>
      <c r="L24" s="62"/>
      <c r="M24" s="62">
        <v>5146.19</v>
      </c>
      <c r="N24" s="62"/>
      <c r="O24" s="62">
        <v>1784.87</v>
      </c>
      <c r="P24" s="62"/>
      <c r="Q24" s="62"/>
      <c r="R24" s="62"/>
      <c r="S24" s="63"/>
      <c r="T24" s="148"/>
      <c r="U24" s="143">
        <f t="shared" si="19"/>
        <v>17528.44</v>
      </c>
      <c r="V24" s="144">
        <f t="shared" si="19"/>
        <v>0</v>
      </c>
      <c r="W24" s="62">
        <v>0</v>
      </c>
      <c r="X24" s="62">
        <v>8957.01</v>
      </c>
      <c r="Y24" s="62">
        <v>0</v>
      </c>
      <c r="Z24" s="62">
        <v>0</v>
      </c>
      <c r="AA24" s="62">
        <v>4349.15</v>
      </c>
      <c r="AB24" s="62">
        <v>1591.04</v>
      </c>
      <c r="AC24" s="62"/>
      <c r="AD24" s="62"/>
      <c r="AE24" s="63"/>
      <c r="AF24" s="61">
        <f t="shared" si="20"/>
        <v>14897.2</v>
      </c>
      <c r="AG24" s="66">
        <f t="shared" si="21"/>
        <v>15316.93</v>
      </c>
      <c r="AH24" s="39">
        <f t="shared" si="22"/>
        <v>0</v>
      </c>
      <c r="AI24" s="39">
        <f t="shared" si="22"/>
        <v>0</v>
      </c>
      <c r="AJ24" s="49">
        <f>'[5]Т01'!$J$209</f>
        <v>114</v>
      </c>
      <c r="AK24" s="8">
        <f t="shared" si="23"/>
        <v>1345.5610000000001</v>
      </c>
      <c r="AL24" s="12">
        <f t="shared" si="24"/>
        <v>401.66</v>
      </c>
      <c r="AM24" s="12">
        <f t="shared" si="25"/>
        <v>2008.3</v>
      </c>
      <c r="AN24" s="12">
        <f t="shared" si="26"/>
        <v>421.743</v>
      </c>
      <c r="AO24" s="12">
        <f t="shared" si="27"/>
        <v>4056.766</v>
      </c>
      <c r="AP24" s="12">
        <f t="shared" si="28"/>
        <v>2068.549</v>
      </c>
      <c r="AQ24" s="12">
        <f t="shared" si="29"/>
        <v>1506.225</v>
      </c>
      <c r="AR24" s="12">
        <f t="shared" si="30"/>
        <v>1506.225</v>
      </c>
      <c r="AS24" s="145">
        <f>B24*1.15</f>
        <v>2309.5449999999996</v>
      </c>
      <c r="AT24" s="50"/>
      <c r="AU24" s="273"/>
      <c r="AV24" s="51"/>
      <c r="AW24" s="51"/>
      <c r="AX24" s="51"/>
      <c r="AY24" s="51"/>
      <c r="AZ24" s="51"/>
      <c r="BA24" s="4"/>
      <c r="BB24" s="50"/>
      <c r="BC24" s="6">
        <f>SUM(AK24:BB24)</f>
        <v>15624.574000000002</v>
      </c>
      <c r="BD24" s="82">
        <f>'[5]Т01'!$S$209</f>
        <v>28.5</v>
      </c>
      <c r="BE24" s="15">
        <f aca="true" t="shared" si="31" ref="BE24:BE34">BC24+BD24</f>
        <v>15653.074000000002</v>
      </c>
      <c r="BF24" s="16">
        <f aca="true" t="shared" si="32" ref="BF24:BF34">AG24-BE24+AJ24</f>
        <v>-222.14400000000205</v>
      </c>
      <c r="BG24" s="16">
        <f aca="true" t="shared" si="33" ref="BG24:BG34">AF24-U24</f>
        <v>-2631.239999999998</v>
      </c>
      <c r="BH24" s="40"/>
      <c r="BI24" s="40"/>
    </row>
    <row r="25" spans="1:61" ht="12.75">
      <c r="A25" s="30" t="s">
        <v>33</v>
      </c>
      <c r="B25" s="31">
        <v>2008.3</v>
      </c>
      <c r="C25" s="5">
        <f t="shared" si="18"/>
        <v>17170.965</v>
      </c>
      <c r="D25" s="272">
        <v>419.73</v>
      </c>
      <c r="E25" s="62"/>
      <c r="F25" s="62"/>
      <c r="G25" s="62">
        <v>10597.38</v>
      </c>
      <c r="H25" s="62"/>
      <c r="I25" s="62"/>
      <c r="J25" s="62"/>
      <c r="K25" s="62"/>
      <c r="L25" s="62"/>
      <c r="M25" s="62">
        <v>5146.18</v>
      </c>
      <c r="N25" s="62"/>
      <c r="O25" s="62">
        <v>1784.87</v>
      </c>
      <c r="P25" s="62"/>
      <c r="Q25" s="62"/>
      <c r="R25" s="62"/>
      <c r="S25" s="63"/>
      <c r="T25" s="148"/>
      <c r="U25" s="143">
        <f t="shared" si="19"/>
        <v>17528.43</v>
      </c>
      <c r="V25" s="144">
        <f t="shared" si="19"/>
        <v>0</v>
      </c>
      <c r="W25" s="55">
        <v>0</v>
      </c>
      <c r="X25" s="55">
        <v>9081.11</v>
      </c>
      <c r="Y25" s="55">
        <v>0</v>
      </c>
      <c r="Z25" s="55">
        <v>0</v>
      </c>
      <c r="AA25" s="55">
        <v>3764.75</v>
      </c>
      <c r="AB25" s="55">
        <v>1375.75</v>
      </c>
      <c r="AC25" s="55"/>
      <c r="AD25" s="55"/>
      <c r="AE25" s="60"/>
      <c r="AF25" s="61">
        <f t="shared" si="20"/>
        <v>14221.61</v>
      </c>
      <c r="AG25" s="66">
        <f t="shared" si="21"/>
        <v>14641.34</v>
      </c>
      <c r="AH25" s="39">
        <f t="shared" si="22"/>
        <v>0</v>
      </c>
      <c r="AI25" s="39">
        <f t="shared" si="22"/>
        <v>0</v>
      </c>
      <c r="AJ25" s="49">
        <f>'[5]Т01'!$J$209</f>
        <v>114</v>
      </c>
      <c r="AK25" s="8">
        <f t="shared" si="23"/>
        <v>1345.5610000000001</v>
      </c>
      <c r="AL25" s="12">
        <f t="shared" si="24"/>
        <v>401.66</v>
      </c>
      <c r="AM25" s="12">
        <f t="shared" si="25"/>
        <v>2008.3</v>
      </c>
      <c r="AN25" s="12">
        <f t="shared" si="26"/>
        <v>421.743</v>
      </c>
      <c r="AO25" s="12">
        <f t="shared" si="27"/>
        <v>4056.766</v>
      </c>
      <c r="AP25" s="12">
        <f t="shared" si="28"/>
        <v>2068.549</v>
      </c>
      <c r="AQ25" s="12">
        <f t="shared" si="29"/>
        <v>1506.225</v>
      </c>
      <c r="AR25" s="12">
        <f t="shared" si="30"/>
        <v>1506.225</v>
      </c>
      <c r="AS25" s="145">
        <f>B25*1.15</f>
        <v>2309.5449999999996</v>
      </c>
      <c r="AT25" s="50"/>
      <c r="AU25" s="273"/>
      <c r="AV25" s="51"/>
      <c r="AW25" s="51">
        <v>277.47</v>
      </c>
      <c r="AX25" s="51"/>
      <c r="AY25" s="51"/>
      <c r="AZ25" s="51"/>
      <c r="BA25" s="4"/>
      <c r="BB25" s="50"/>
      <c r="BC25" s="139">
        <f>SUM(AK25:BB25)</f>
        <v>15902.044000000002</v>
      </c>
      <c r="BD25" s="82">
        <f>'[5]Т01'!$S$209</f>
        <v>28.5</v>
      </c>
      <c r="BE25" s="15">
        <f t="shared" si="31"/>
        <v>15930.544000000002</v>
      </c>
      <c r="BF25" s="16">
        <f t="shared" si="32"/>
        <v>-1175.2040000000015</v>
      </c>
      <c r="BG25" s="16">
        <f t="shared" si="33"/>
        <v>-3306.8199999999997</v>
      </c>
      <c r="BH25" s="40"/>
      <c r="BI25" s="20"/>
    </row>
    <row r="26" spans="1:62" ht="12.75">
      <c r="A26" s="30" t="s">
        <v>34</v>
      </c>
      <c r="B26" s="31">
        <v>2008.3</v>
      </c>
      <c r="C26" s="5">
        <f t="shared" si="18"/>
        <v>17170.965</v>
      </c>
      <c r="D26" s="272">
        <v>419.73</v>
      </c>
      <c r="E26" s="62"/>
      <c r="F26" s="62"/>
      <c r="G26" s="62">
        <v>10597.38</v>
      </c>
      <c r="H26" s="62"/>
      <c r="I26" s="62"/>
      <c r="J26" s="62"/>
      <c r="K26" s="62"/>
      <c r="L26" s="62"/>
      <c r="M26" s="62">
        <v>5146.18</v>
      </c>
      <c r="N26" s="62"/>
      <c r="O26" s="62">
        <v>1784.87</v>
      </c>
      <c r="P26" s="62"/>
      <c r="Q26" s="62"/>
      <c r="R26" s="62"/>
      <c r="S26" s="63"/>
      <c r="T26" s="148"/>
      <c r="U26" s="143">
        <f t="shared" si="19"/>
        <v>17528.43</v>
      </c>
      <c r="V26" s="144">
        <f t="shared" si="19"/>
        <v>0</v>
      </c>
      <c r="W26" s="146">
        <v>0</v>
      </c>
      <c r="X26" s="146">
        <v>9580.88</v>
      </c>
      <c r="Y26" s="146">
        <v>0</v>
      </c>
      <c r="Z26" s="146">
        <v>0</v>
      </c>
      <c r="AA26" s="146">
        <v>3006.06</v>
      </c>
      <c r="AB26" s="146">
        <v>1096.03</v>
      </c>
      <c r="AC26" s="146"/>
      <c r="AD26" s="146"/>
      <c r="AE26" s="147"/>
      <c r="AF26" s="61">
        <f t="shared" si="20"/>
        <v>13682.97</v>
      </c>
      <c r="AG26" s="66">
        <f t="shared" si="21"/>
        <v>14102.699999999999</v>
      </c>
      <c r="AH26" s="39">
        <f t="shared" si="22"/>
        <v>0</v>
      </c>
      <c r="AI26" s="39">
        <f t="shared" si="22"/>
        <v>0</v>
      </c>
      <c r="AJ26" s="49">
        <f>'[5]Т01'!$J$209</f>
        <v>114</v>
      </c>
      <c r="AK26" s="8">
        <f t="shared" si="23"/>
        <v>1345.5610000000001</v>
      </c>
      <c r="AL26" s="12">
        <f t="shared" si="24"/>
        <v>401.66</v>
      </c>
      <c r="AM26" s="12">
        <f t="shared" si="25"/>
        <v>2008.3</v>
      </c>
      <c r="AN26" s="12">
        <f t="shared" si="26"/>
        <v>421.743</v>
      </c>
      <c r="AO26" s="12">
        <f t="shared" si="27"/>
        <v>4056.766</v>
      </c>
      <c r="AP26" s="12">
        <f t="shared" si="28"/>
        <v>2068.549</v>
      </c>
      <c r="AQ26" s="12">
        <f t="shared" si="29"/>
        <v>1506.225</v>
      </c>
      <c r="AR26" s="12">
        <f t="shared" si="30"/>
        <v>1506.225</v>
      </c>
      <c r="AS26" s="145"/>
      <c r="AT26" s="50"/>
      <c r="AU26" s="273"/>
      <c r="AV26" s="51"/>
      <c r="AW26" s="51"/>
      <c r="AX26" s="51">
        <f>457.8</f>
        <v>457.8</v>
      </c>
      <c r="AY26" s="51"/>
      <c r="AZ26" s="51"/>
      <c r="BA26" s="4"/>
      <c r="BB26" s="50"/>
      <c r="BC26" s="139">
        <f>SUM(AK26:BB26)</f>
        <v>13772.829000000002</v>
      </c>
      <c r="BD26" s="82">
        <f>'[5]Т01'!$S$209</f>
        <v>28.5</v>
      </c>
      <c r="BE26" s="15">
        <f t="shared" si="31"/>
        <v>13801.329000000002</v>
      </c>
      <c r="BF26" s="16">
        <f t="shared" si="32"/>
        <v>415.37099999999737</v>
      </c>
      <c r="BG26" s="16">
        <f t="shared" si="33"/>
        <v>-3845.460000000001</v>
      </c>
      <c r="BH26" s="40"/>
      <c r="BI26" s="40"/>
      <c r="BJ26" s="42"/>
    </row>
    <row r="27" spans="1:61" ht="12.75">
      <c r="A27" s="30" t="s">
        <v>35</v>
      </c>
      <c r="B27" s="31">
        <v>2008.3</v>
      </c>
      <c r="C27" s="5">
        <f t="shared" si="18"/>
        <v>17170.965</v>
      </c>
      <c r="D27" s="272">
        <v>419.73</v>
      </c>
      <c r="E27" s="62"/>
      <c r="F27" s="62"/>
      <c r="G27" s="62">
        <v>10597.38</v>
      </c>
      <c r="H27" s="62"/>
      <c r="I27" s="62"/>
      <c r="J27" s="62"/>
      <c r="K27" s="62"/>
      <c r="L27" s="62"/>
      <c r="M27" s="62">
        <v>5146.18</v>
      </c>
      <c r="N27" s="62"/>
      <c r="O27" s="62">
        <v>1784.87</v>
      </c>
      <c r="P27" s="62"/>
      <c r="Q27" s="62"/>
      <c r="R27" s="62"/>
      <c r="S27" s="63"/>
      <c r="T27" s="148"/>
      <c r="U27" s="143">
        <f t="shared" si="19"/>
        <v>17528.43</v>
      </c>
      <c r="V27" s="144">
        <f t="shared" si="19"/>
        <v>0</v>
      </c>
      <c r="W27" s="146">
        <v>0</v>
      </c>
      <c r="X27" s="146">
        <v>9087.86</v>
      </c>
      <c r="Y27" s="146">
        <v>0</v>
      </c>
      <c r="Z27" s="146">
        <v>0</v>
      </c>
      <c r="AA27" s="146">
        <v>5889.68</v>
      </c>
      <c r="AB27" s="146">
        <v>2301.37</v>
      </c>
      <c r="AC27" s="146"/>
      <c r="AD27" s="146"/>
      <c r="AE27" s="146"/>
      <c r="AF27" s="61">
        <f t="shared" si="20"/>
        <v>17278.91</v>
      </c>
      <c r="AG27" s="66">
        <f t="shared" si="21"/>
        <v>17698.64</v>
      </c>
      <c r="AH27" s="39">
        <f t="shared" si="22"/>
        <v>0</v>
      </c>
      <c r="AI27" s="39">
        <f t="shared" si="22"/>
        <v>0</v>
      </c>
      <c r="AJ27" s="49">
        <f>'[5]Т05'!$J$216</f>
        <v>114</v>
      </c>
      <c r="AK27" s="8">
        <f t="shared" si="23"/>
        <v>1345.5610000000001</v>
      </c>
      <c r="AL27" s="12">
        <f t="shared" si="24"/>
        <v>401.66</v>
      </c>
      <c r="AM27" s="12">
        <f t="shared" si="25"/>
        <v>2008.3</v>
      </c>
      <c r="AN27" s="12">
        <f t="shared" si="26"/>
        <v>421.743</v>
      </c>
      <c r="AO27" s="12">
        <f t="shared" si="27"/>
        <v>4056.766</v>
      </c>
      <c r="AP27" s="12">
        <f t="shared" si="28"/>
        <v>2068.549</v>
      </c>
      <c r="AQ27" s="12">
        <f t="shared" si="29"/>
        <v>1506.225</v>
      </c>
      <c r="AR27" s="12">
        <f t="shared" si="30"/>
        <v>1506.225</v>
      </c>
      <c r="AS27" s="145"/>
      <c r="AT27" s="50"/>
      <c r="AU27" s="273"/>
      <c r="AV27" s="51"/>
      <c r="AW27" s="51">
        <v>850</v>
      </c>
      <c r="AX27" s="51">
        <f>3718.13</f>
        <v>3718.13</v>
      </c>
      <c r="AY27" s="51"/>
      <c r="AZ27" s="51"/>
      <c r="BA27" s="4"/>
      <c r="BB27" s="50"/>
      <c r="BC27" s="139">
        <f>SUM(AK27:BB27)</f>
        <v>17883.159000000003</v>
      </c>
      <c r="BD27" s="82">
        <f>'[5]Т05'!$S$216</f>
        <v>28.5</v>
      </c>
      <c r="BE27" s="15">
        <f t="shared" si="31"/>
        <v>17911.659000000003</v>
      </c>
      <c r="BF27" s="16">
        <f t="shared" si="32"/>
        <v>-99.01900000000387</v>
      </c>
      <c r="BG27" s="16">
        <f t="shared" si="33"/>
        <v>-249.52000000000044</v>
      </c>
      <c r="BH27" s="40"/>
      <c r="BI27" s="40"/>
    </row>
    <row r="28" spans="1:61" ht="12.75">
      <c r="A28" s="30" t="s">
        <v>36</v>
      </c>
      <c r="B28" s="31">
        <v>2008.3</v>
      </c>
      <c r="C28" s="5">
        <f t="shared" si="18"/>
        <v>17170.965</v>
      </c>
      <c r="D28" s="272">
        <v>419.73</v>
      </c>
      <c r="E28" s="62"/>
      <c r="F28" s="62"/>
      <c r="G28" s="62">
        <v>10593.73</v>
      </c>
      <c r="H28" s="62"/>
      <c r="I28" s="62"/>
      <c r="J28" s="62"/>
      <c r="K28" s="62"/>
      <c r="L28" s="62"/>
      <c r="M28" s="62">
        <v>5144.39</v>
      </c>
      <c r="N28" s="62"/>
      <c r="O28" s="62">
        <v>1784.23</v>
      </c>
      <c r="P28" s="62"/>
      <c r="Q28" s="62"/>
      <c r="R28" s="62"/>
      <c r="S28" s="63"/>
      <c r="T28" s="148"/>
      <c r="U28" s="143">
        <f t="shared" si="19"/>
        <v>17522.35</v>
      </c>
      <c r="V28" s="144">
        <f t="shared" si="19"/>
        <v>0</v>
      </c>
      <c r="W28" s="146"/>
      <c r="X28" s="274">
        <v>11674.98</v>
      </c>
      <c r="Y28" s="146"/>
      <c r="Z28" s="146"/>
      <c r="AA28" s="274">
        <v>3956.8</v>
      </c>
      <c r="AB28" s="274">
        <v>1372.3</v>
      </c>
      <c r="AC28" s="146"/>
      <c r="AD28" s="274"/>
      <c r="AE28" s="275"/>
      <c r="AF28" s="61">
        <f t="shared" si="20"/>
        <v>17004.079999999998</v>
      </c>
      <c r="AG28" s="66">
        <f t="shared" si="21"/>
        <v>17423.809999999998</v>
      </c>
      <c r="AH28" s="39">
        <f t="shared" si="22"/>
        <v>0</v>
      </c>
      <c r="AI28" s="39">
        <f t="shared" si="22"/>
        <v>0</v>
      </c>
      <c r="AJ28" s="49">
        <f>'[5]Т06'!$J$247</f>
        <v>114</v>
      </c>
      <c r="AK28" s="8">
        <f t="shared" si="23"/>
        <v>1345.5610000000001</v>
      </c>
      <c r="AL28" s="12">
        <f t="shared" si="24"/>
        <v>401.66</v>
      </c>
      <c r="AM28" s="12">
        <f t="shared" si="25"/>
        <v>2008.3</v>
      </c>
      <c r="AN28" s="12">
        <f t="shared" si="26"/>
        <v>421.743</v>
      </c>
      <c r="AO28" s="12">
        <f t="shared" si="27"/>
        <v>4056.766</v>
      </c>
      <c r="AP28" s="12">
        <f t="shared" si="28"/>
        <v>2068.549</v>
      </c>
      <c r="AQ28" s="12">
        <f t="shared" si="29"/>
        <v>1506.225</v>
      </c>
      <c r="AR28" s="12">
        <f t="shared" si="30"/>
        <v>1506.225</v>
      </c>
      <c r="AS28" s="145"/>
      <c r="AT28" s="50"/>
      <c r="AU28" s="273"/>
      <c r="AV28" s="51"/>
      <c r="AW28" s="51"/>
      <c r="AX28" s="51"/>
      <c r="AY28" s="51"/>
      <c r="AZ28" s="51"/>
      <c r="BA28" s="4"/>
      <c r="BB28" s="50"/>
      <c r="BC28" s="139">
        <f>SUM(AK28:BB28)</f>
        <v>13315.029000000002</v>
      </c>
      <c r="BD28" s="82">
        <f>'[5]Т06'!$S$247</f>
        <v>28.5</v>
      </c>
      <c r="BE28" s="15">
        <f t="shared" si="31"/>
        <v>13343.529000000002</v>
      </c>
      <c r="BF28" s="16">
        <f t="shared" si="32"/>
        <v>4194.280999999995</v>
      </c>
      <c r="BG28" s="16">
        <f t="shared" si="33"/>
        <v>-518.2700000000004</v>
      </c>
      <c r="BH28" s="40"/>
      <c r="BI28" s="40"/>
    </row>
    <row r="29" spans="1:61" ht="12.75">
      <c r="A29" s="30" t="s">
        <v>37</v>
      </c>
      <c r="B29" s="31">
        <v>2008.3</v>
      </c>
      <c r="C29" s="5">
        <f aca="true" t="shared" si="34" ref="C29:C34">B29*9.51</f>
        <v>19098.933</v>
      </c>
      <c r="D29" s="272">
        <v>561.6975</v>
      </c>
      <c r="E29" s="62"/>
      <c r="F29" s="62"/>
      <c r="G29" s="62">
        <v>19482.13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148"/>
      <c r="U29" s="143">
        <f aca="true" t="shared" si="35" ref="U29:V34">G29+M29+O29+Q29+S29</f>
        <v>19482.13</v>
      </c>
      <c r="V29" s="276">
        <f t="shared" si="35"/>
        <v>0</v>
      </c>
      <c r="W29" s="146"/>
      <c r="X29" s="55">
        <v>11334.77</v>
      </c>
      <c r="Y29" s="146"/>
      <c r="Z29" s="146"/>
      <c r="AA29" s="55">
        <v>4996.36</v>
      </c>
      <c r="AB29" s="55">
        <v>1769.51</v>
      </c>
      <c r="AC29" s="146"/>
      <c r="AD29" s="55"/>
      <c r="AE29" s="60"/>
      <c r="AF29" s="61">
        <f aca="true" t="shared" si="36" ref="AF29:AF34">SUM(X29:AE29)</f>
        <v>18100.64</v>
      </c>
      <c r="AG29" s="66">
        <f t="shared" si="21"/>
        <v>18662.337499999998</v>
      </c>
      <c r="AH29" s="277">
        <v>0</v>
      </c>
      <c r="AI29" s="39">
        <f t="shared" si="22"/>
        <v>0</v>
      </c>
      <c r="AJ29" s="49">
        <f>'[5]Т07'!$J$249</f>
        <v>114</v>
      </c>
      <c r="AK29" s="12">
        <f aca="true" t="shared" si="37" ref="AK29:AK34">0.75*B29</f>
        <v>1506.225</v>
      </c>
      <c r="AL29" s="12">
        <f t="shared" si="24"/>
        <v>401.66</v>
      </c>
      <c r="AM29" s="12">
        <f t="shared" si="25"/>
        <v>2008.3</v>
      </c>
      <c r="AN29" s="12">
        <f t="shared" si="26"/>
        <v>421.743</v>
      </c>
      <c r="AO29" s="12">
        <f t="shared" si="27"/>
        <v>4056.766</v>
      </c>
      <c r="AP29" s="12">
        <f t="shared" si="28"/>
        <v>2068.549</v>
      </c>
      <c r="AQ29" s="12">
        <f t="shared" si="29"/>
        <v>1506.225</v>
      </c>
      <c r="AR29" s="12">
        <f t="shared" si="30"/>
        <v>1506.225</v>
      </c>
      <c r="AS29" s="145"/>
      <c r="AT29" s="50"/>
      <c r="AU29" s="273"/>
      <c r="AV29" s="51"/>
      <c r="AW29" s="51"/>
      <c r="AX29" s="51"/>
      <c r="AY29" s="51"/>
      <c r="AZ29" s="51"/>
      <c r="BA29" s="4"/>
      <c r="BB29" s="50"/>
      <c r="BC29" s="139">
        <f>SUM(AK29:BB29)</f>
        <v>13475.693</v>
      </c>
      <c r="BD29" s="82">
        <f>'[5]Т07'!$S$249</f>
        <v>28.5</v>
      </c>
      <c r="BE29" s="15">
        <f t="shared" si="31"/>
        <v>13504.193</v>
      </c>
      <c r="BF29" s="16">
        <f t="shared" si="32"/>
        <v>5272.1444999999985</v>
      </c>
      <c r="BG29" s="16">
        <f t="shared" si="33"/>
        <v>-1381.4900000000016</v>
      </c>
      <c r="BH29" s="20"/>
      <c r="BI29" s="20"/>
    </row>
    <row r="30" spans="1:61" ht="12.75">
      <c r="A30" s="30" t="s">
        <v>38</v>
      </c>
      <c r="B30" s="31">
        <v>2008.3</v>
      </c>
      <c r="C30" s="5">
        <f t="shared" si="34"/>
        <v>19098.933</v>
      </c>
      <c r="D30" s="272"/>
      <c r="E30" s="62"/>
      <c r="F30" s="62"/>
      <c r="G30" s="62">
        <v>19524.21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  <c r="T30" s="148"/>
      <c r="U30" s="143">
        <f t="shared" si="35"/>
        <v>19524.21</v>
      </c>
      <c r="V30" s="276">
        <f t="shared" si="35"/>
        <v>0</v>
      </c>
      <c r="W30" s="146"/>
      <c r="X30" s="55">
        <v>15105.59</v>
      </c>
      <c r="Y30" s="146"/>
      <c r="Z30" s="146"/>
      <c r="AA30" s="55">
        <v>784.52</v>
      </c>
      <c r="AB30" s="55">
        <v>271.93</v>
      </c>
      <c r="AC30" s="146"/>
      <c r="AD30" s="55"/>
      <c r="AE30" s="60"/>
      <c r="AF30" s="61">
        <f t="shared" si="36"/>
        <v>16162.04</v>
      </c>
      <c r="AG30" s="66">
        <f t="shared" si="21"/>
        <v>16162.04</v>
      </c>
      <c r="AH30" s="277">
        <v>0</v>
      </c>
      <c r="AI30" s="39">
        <f t="shared" si="22"/>
        <v>0</v>
      </c>
      <c r="AJ30" s="49">
        <f>'[5]Т08'!$J$249</f>
        <v>114</v>
      </c>
      <c r="AK30" s="12">
        <f t="shared" si="37"/>
        <v>1506.225</v>
      </c>
      <c r="AL30" s="12">
        <f t="shared" si="24"/>
        <v>401.66</v>
      </c>
      <c r="AM30" s="12">
        <f t="shared" si="25"/>
        <v>2008.3</v>
      </c>
      <c r="AN30" s="12">
        <f t="shared" si="26"/>
        <v>421.743</v>
      </c>
      <c r="AO30" s="12">
        <f t="shared" si="27"/>
        <v>4056.766</v>
      </c>
      <c r="AP30" s="12">
        <f t="shared" si="28"/>
        <v>2068.549</v>
      </c>
      <c r="AQ30" s="12">
        <f t="shared" si="29"/>
        <v>1506.225</v>
      </c>
      <c r="AR30" s="12">
        <f t="shared" si="30"/>
        <v>1506.225</v>
      </c>
      <c r="AS30" s="145"/>
      <c r="AT30" s="50"/>
      <c r="AU30" s="273"/>
      <c r="AV30" s="51"/>
      <c r="AW30" s="51"/>
      <c r="AX30" s="51">
        <f>434.5+524.17</f>
        <v>958.67</v>
      </c>
      <c r="AY30" s="51"/>
      <c r="AZ30" s="51"/>
      <c r="BA30" s="4"/>
      <c r="BB30" s="50"/>
      <c r="BC30" s="139">
        <f>SUM(AK30:BB30)</f>
        <v>14434.363</v>
      </c>
      <c r="BD30" s="82">
        <f>'[5]Т08'!$S$249</f>
        <v>28.5</v>
      </c>
      <c r="BE30" s="15">
        <f t="shared" si="31"/>
        <v>14462.863</v>
      </c>
      <c r="BF30" s="16">
        <f t="shared" si="32"/>
        <v>1813.1770000000015</v>
      </c>
      <c r="BG30" s="16">
        <f t="shared" si="33"/>
        <v>-3362.1699999999983</v>
      </c>
      <c r="BH30" s="20"/>
      <c r="BI30" s="20"/>
    </row>
    <row r="31" spans="1:61" ht="12.75">
      <c r="A31" s="30" t="s">
        <v>103</v>
      </c>
      <c r="B31" s="31">
        <v>2008.3</v>
      </c>
      <c r="C31" s="5">
        <f t="shared" si="34"/>
        <v>19098.933</v>
      </c>
      <c r="D31" s="272"/>
      <c r="E31" s="62"/>
      <c r="F31" s="62"/>
      <c r="G31" s="62">
        <v>19524.21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148"/>
      <c r="U31" s="143">
        <f t="shared" si="35"/>
        <v>19524.21</v>
      </c>
      <c r="V31" s="276">
        <f t="shared" si="35"/>
        <v>0</v>
      </c>
      <c r="W31" s="146"/>
      <c r="X31" s="55">
        <v>14798.58</v>
      </c>
      <c r="Y31" s="146"/>
      <c r="Z31" s="146"/>
      <c r="AA31" s="55">
        <v>798.74</v>
      </c>
      <c r="AB31" s="55">
        <v>277.07</v>
      </c>
      <c r="AC31" s="146"/>
      <c r="AD31" s="55"/>
      <c r="AE31" s="60"/>
      <c r="AF31" s="61">
        <f t="shared" si="36"/>
        <v>15874.39</v>
      </c>
      <c r="AG31" s="66">
        <f t="shared" si="21"/>
        <v>15874.39</v>
      </c>
      <c r="AH31" s="277">
        <v>0</v>
      </c>
      <c r="AI31" s="39">
        <f t="shared" si="22"/>
        <v>0</v>
      </c>
      <c r="AJ31" s="49">
        <f>'[5]Т09'!$J$249</f>
        <v>114</v>
      </c>
      <c r="AK31" s="12">
        <f t="shared" si="37"/>
        <v>1506.225</v>
      </c>
      <c r="AL31" s="12">
        <f t="shared" si="24"/>
        <v>401.66</v>
      </c>
      <c r="AM31" s="12">
        <f t="shared" si="25"/>
        <v>2008.3</v>
      </c>
      <c r="AN31" s="12">
        <f t="shared" si="26"/>
        <v>421.743</v>
      </c>
      <c r="AO31" s="12">
        <f t="shared" si="27"/>
        <v>4056.766</v>
      </c>
      <c r="AP31" s="12">
        <f t="shared" si="28"/>
        <v>2068.549</v>
      </c>
      <c r="AQ31" s="12">
        <f t="shared" si="29"/>
        <v>1506.225</v>
      </c>
      <c r="AR31" s="12">
        <f t="shared" si="30"/>
        <v>1506.225</v>
      </c>
      <c r="AS31" s="145"/>
      <c r="AT31" s="50"/>
      <c r="AU31" s="273">
        <v>3106</v>
      </c>
      <c r="AV31" s="51"/>
      <c r="AW31" s="51"/>
      <c r="AX31" s="51">
        <f>1520</f>
        <v>1520</v>
      </c>
      <c r="AY31" s="51"/>
      <c r="AZ31" s="51"/>
      <c r="BA31" s="4"/>
      <c r="BB31" s="50"/>
      <c r="BC31" s="139">
        <f>SUM(AK31:BB31)</f>
        <v>18101.693</v>
      </c>
      <c r="BD31" s="82">
        <f>'[5]Т09'!$S$249</f>
        <v>28.5</v>
      </c>
      <c r="BE31" s="15">
        <f t="shared" si="31"/>
        <v>18130.193</v>
      </c>
      <c r="BF31" s="16">
        <f t="shared" si="32"/>
        <v>-2141.803</v>
      </c>
      <c r="BG31" s="16">
        <f t="shared" si="33"/>
        <v>-3649.8199999999997</v>
      </c>
      <c r="BH31" s="20"/>
      <c r="BI31" s="20"/>
    </row>
    <row r="32" spans="1:61" ht="12.75">
      <c r="A32" s="30" t="s">
        <v>104</v>
      </c>
      <c r="B32" s="31">
        <v>2008.3</v>
      </c>
      <c r="C32" s="5">
        <f t="shared" si="34"/>
        <v>19098.933</v>
      </c>
      <c r="D32" s="272"/>
      <c r="E32" s="62"/>
      <c r="F32" s="62"/>
      <c r="G32" s="62">
        <v>19524.21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148"/>
      <c r="U32" s="143">
        <f t="shared" si="35"/>
        <v>19524.21</v>
      </c>
      <c r="V32" s="276">
        <f t="shared" si="35"/>
        <v>0</v>
      </c>
      <c r="W32" s="146"/>
      <c r="X32" s="55">
        <v>14063.44</v>
      </c>
      <c r="Y32" s="146"/>
      <c r="Z32" s="146"/>
      <c r="AA32" s="55">
        <v>15.7</v>
      </c>
      <c r="AB32" s="55">
        <v>29.09</v>
      </c>
      <c r="AC32" s="146"/>
      <c r="AD32" s="55"/>
      <c r="AE32" s="60"/>
      <c r="AF32" s="61">
        <f t="shared" si="36"/>
        <v>14108.230000000001</v>
      </c>
      <c r="AG32" s="66">
        <f t="shared" si="21"/>
        <v>14108.230000000001</v>
      </c>
      <c r="AH32" s="277">
        <v>0</v>
      </c>
      <c r="AI32" s="39">
        <f t="shared" si="22"/>
        <v>0</v>
      </c>
      <c r="AJ32" s="49">
        <f>'[5]Т10'!$J$248</f>
        <v>114</v>
      </c>
      <c r="AK32" s="12">
        <f t="shared" si="37"/>
        <v>1506.225</v>
      </c>
      <c r="AL32" s="12">
        <f t="shared" si="24"/>
        <v>401.66</v>
      </c>
      <c r="AM32" s="12">
        <f t="shared" si="25"/>
        <v>2008.3</v>
      </c>
      <c r="AN32" s="12">
        <f t="shared" si="26"/>
        <v>421.743</v>
      </c>
      <c r="AO32" s="12">
        <f t="shared" si="27"/>
        <v>4056.766</v>
      </c>
      <c r="AP32" s="12">
        <f t="shared" si="28"/>
        <v>2068.549</v>
      </c>
      <c r="AQ32" s="12">
        <f t="shared" si="29"/>
        <v>1506.225</v>
      </c>
      <c r="AR32" s="12">
        <f t="shared" si="30"/>
        <v>1506.225</v>
      </c>
      <c r="AS32" s="145">
        <f>B32*1.15</f>
        <v>2309.5449999999996</v>
      </c>
      <c r="AT32" s="50"/>
      <c r="AU32" s="278"/>
      <c r="AV32" s="51"/>
      <c r="AW32" s="51"/>
      <c r="AX32" s="51">
        <f>9+1340</f>
        <v>1349</v>
      </c>
      <c r="AY32" s="51"/>
      <c r="AZ32" s="51"/>
      <c r="BA32" s="4"/>
      <c r="BB32" s="50"/>
      <c r="BC32" s="139">
        <f>SUM(AK32:BB32)</f>
        <v>17134.237999999998</v>
      </c>
      <c r="BD32" s="82">
        <f>'[5]Т10'!$S$248</f>
        <v>28.5</v>
      </c>
      <c r="BE32" s="15">
        <f t="shared" si="31"/>
        <v>17162.737999999998</v>
      </c>
      <c r="BF32" s="16">
        <f t="shared" si="32"/>
        <v>-2940.507999999996</v>
      </c>
      <c r="BG32" s="16">
        <f t="shared" si="33"/>
        <v>-5415.979999999998</v>
      </c>
      <c r="BH32" s="20"/>
      <c r="BI32" s="20"/>
    </row>
    <row r="33" spans="1:61" ht="12.75">
      <c r="A33" s="30" t="s">
        <v>105</v>
      </c>
      <c r="B33" s="279">
        <v>2008.3</v>
      </c>
      <c r="C33" s="5">
        <f t="shared" si="34"/>
        <v>19098.933</v>
      </c>
      <c r="D33" s="272"/>
      <c r="E33" s="62"/>
      <c r="F33" s="62"/>
      <c r="G33" s="55">
        <v>19524.21</v>
      </c>
      <c r="H33" s="55"/>
      <c r="I33" s="62"/>
      <c r="J33" s="62"/>
      <c r="K33" s="62"/>
      <c r="L33" s="62"/>
      <c r="M33" s="55"/>
      <c r="N33" s="55"/>
      <c r="O33" s="55"/>
      <c r="P33" s="55"/>
      <c r="Q33" s="55"/>
      <c r="R33" s="55"/>
      <c r="S33" s="60"/>
      <c r="T33" s="148"/>
      <c r="U33" s="143">
        <f t="shared" si="35"/>
        <v>19524.21</v>
      </c>
      <c r="V33" s="276">
        <f t="shared" si="35"/>
        <v>0</v>
      </c>
      <c r="W33" s="146"/>
      <c r="X33" s="55">
        <v>18697.11</v>
      </c>
      <c r="Y33" s="146"/>
      <c r="Z33" s="146"/>
      <c r="AA33" s="55">
        <v>227.96</v>
      </c>
      <c r="AB33" s="55">
        <v>93.49</v>
      </c>
      <c r="AC33" s="146"/>
      <c r="AD33" s="55"/>
      <c r="AE33" s="60"/>
      <c r="AF33" s="61">
        <f t="shared" si="36"/>
        <v>19018.56</v>
      </c>
      <c r="AG33" s="66">
        <f t="shared" si="21"/>
        <v>19018.56</v>
      </c>
      <c r="AH33" s="277">
        <v>0</v>
      </c>
      <c r="AI33" s="39">
        <f t="shared" si="22"/>
        <v>0</v>
      </c>
      <c r="AJ33" s="49">
        <f>'[5]Т11'!$J$250</f>
        <v>114</v>
      </c>
      <c r="AK33" s="12">
        <f t="shared" si="37"/>
        <v>1506.225</v>
      </c>
      <c r="AL33" s="12">
        <f t="shared" si="24"/>
        <v>401.66</v>
      </c>
      <c r="AM33" s="12">
        <f t="shared" si="25"/>
        <v>2008.3</v>
      </c>
      <c r="AN33" s="12">
        <f t="shared" si="26"/>
        <v>421.743</v>
      </c>
      <c r="AO33" s="12">
        <f t="shared" si="27"/>
        <v>4056.766</v>
      </c>
      <c r="AP33" s="12">
        <f t="shared" si="28"/>
        <v>2068.549</v>
      </c>
      <c r="AQ33" s="12">
        <f t="shared" si="29"/>
        <v>1506.225</v>
      </c>
      <c r="AR33" s="12">
        <f t="shared" si="30"/>
        <v>1506.225</v>
      </c>
      <c r="AS33" s="145">
        <f>B33*1.15</f>
        <v>2309.5449999999996</v>
      </c>
      <c r="AT33" s="50"/>
      <c r="AU33" s="273"/>
      <c r="AV33" s="51"/>
      <c r="AW33" s="51"/>
      <c r="AX33" s="51"/>
      <c r="AY33" s="51"/>
      <c r="AZ33" s="51"/>
      <c r="BA33" s="4"/>
      <c r="BB33" s="50"/>
      <c r="BC33" s="139">
        <f>SUM(AK33:BB33)</f>
        <v>15785.238</v>
      </c>
      <c r="BD33" s="82">
        <f>'[5]Т11'!$S$250</f>
        <v>28.5</v>
      </c>
      <c r="BE33" s="15">
        <f t="shared" si="31"/>
        <v>15813.738</v>
      </c>
      <c r="BF33" s="16">
        <f t="shared" si="32"/>
        <v>3318.822000000002</v>
      </c>
      <c r="BG33" s="16">
        <f t="shared" si="33"/>
        <v>-505.6499999999978</v>
      </c>
      <c r="BH33" s="20"/>
      <c r="BI33" s="20"/>
    </row>
    <row r="34" spans="1:61" ht="13.5" thickBot="1">
      <c r="A34" s="30" t="s">
        <v>106</v>
      </c>
      <c r="B34" s="279">
        <v>2008.3</v>
      </c>
      <c r="C34" s="5">
        <f t="shared" si="34"/>
        <v>19098.933</v>
      </c>
      <c r="D34" s="272"/>
      <c r="E34" s="55"/>
      <c r="F34" s="55"/>
      <c r="G34" s="55">
        <v>19524.21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60"/>
      <c r="T34" s="148"/>
      <c r="U34" s="143">
        <f t="shared" si="35"/>
        <v>19524.21</v>
      </c>
      <c r="V34" s="276">
        <f t="shared" si="35"/>
        <v>0</v>
      </c>
      <c r="W34" s="146"/>
      <c r="X34" s="55">
        <v>16089.97</v>
      </c>
      <c r="Y34" s="55"/>
      <c r="Z34" s="55"/>
      <c r="AA34" s="55">
        <v>1.97</v>
      </c>
      <c r="AB34" s="55">
        <v>51.36</v>
      </c>
      <c r="AC34" s="55"/>
      <c r="AD34" s="55"/>
      <c r="AE34" s="60"/>
      <c r="AF34" s="61">
        <f t="shared" si="36"/>
        <v>16143.3</v>
      </c>
      <c r="AG34" s="66">
        <f t="shared" si="21"/>
        <v>16143.3</v>
      </c>
      <c r="AH34" s="277">
        <v>0</v>
      </c>
      <c r="AI34" s="39">
        <f t="shared" si="22"/>
        <v>0</v>
      </c>
      <c r="AJ34" s="49">
        <f>'[5]Т12'!$J$253</f>
        <v>114</v>
      </c>
      <c r="AK34" s="12">
        <f t="shared" si="37"/>
        <v>1506.225</v>
      </c>
      <c r="AL34" s="12">
        <f t="shared" si="24"/>
        <v>401.66</v>
      </c>
      <c r="AM34" s="12">
        <f t="shared" si="25"/>
        <v>2008.3</v>
      </c>
      <c r="AN34" s="12">
        <f t="shared" si="26"/>
        <v>421.743</v>
      </c>
      <c r="AO34" s="12">
        <f t="shared" si="27"/>
        <v>4056.766</v>
      </c>
      <c r="AP34" s="12">
        <f t="shared" si="28"/>
        <v>2068.549</v>
      </c>
      <c r="AQ34" s="12">
        <f t="shared" si="29"/>
        <v>1506.225</v>
      </c>
      <c r="AR34" s="12">
        <f t="shared" si="30"/>
        <v>1506.225</v>
      </c>
      <c r="AS34" s="145">
        <f>B34*1.15</f>
        <v>2309.5449999999996</v>
      </c>
      <c r="AT34" s="50"/>
      <c r="AU34" s="273"/>
      <c r="AV34" s="51"/>
      <c r="AW34" s="51"/>
      <c r="AX34" s="51">
        <f>9</f>
        <v>9</v>
      </c>
      <c r="AY34" s="51"/>
      <c r="AZ34" s="51"/>
      <c r="BA34" s="4"/>
      <c r="BB34" s="50"/>
      <c r="BC34" s="139">
        <f>SUM(AK34:BB34)</f>
        <v>15794.238</v>
      </c>
      <c r="BD34" s="82">
        <f>'[5]Т12'!$S$253</f>
        <v>28.5</v>
      </c>
      <c r="BE34" s="15">
        <f t="shared" si="31"/>
        <v>15822.738</v>
      </c>
      <c r="BF34" s="16">
        <f t="shared" si="32"/>
        <v>434.5619999999999</v>
      </c>
      <c r="BG34" s="16">
        <f t="shared" si="33"/>
        <v>-3380.91</v>
      </c>
      <c r="BH34" s="20"/>
      <c r="BI34" s="20"/>
    </row>
    <row r="35" spans="1:59" s="2" customFormat="1" ht="13.5" thickBot="1">
      <c r="A35" s="68" t="s">
        <v>4</v>
      </c>
      <c r="B35" s="69"/>
      <c r="C35" s="70">
        <f aca="true" t="shared" si="38" ref="C35:BF35">SUM(C23:C34)</f>
        <v>217619.38799999995</v>
      </c>
      <c r="D35" s="70">
        <f t="shared" si="38"/>
        <v>3080.0775000000003</v>
      </c>
      <c r="E35" s="70">
        <f t="shared" si="38"/>
        <v>0</v>
      </c>
      <c r="F35" s="70">
        <f t="shared" si="38"/>
        <v>0</v>
      </c>
      <c r="G35" s="70">
        <f t="shared" si="38"/>
        <v>180683.80999999997</v>
      </c>
      <c r="H35" s="70">
        <f t="shared" si="38"/>
        <v>0</v>
      </c>
      <c r="I35" s="70">
        <f t="shared" si="38"/>
        <v>0</v>
      </c>
      <c r="J35" s="70">
        <f t="shared" si="38"/>
        <v>0</v>
      </c>
      <c r="K35" s="70">
        <f t="shared" si="38"/>
        <v>0</v>
      </c>
      <c r="L35" s="70">
        <f t="shared" si="38"/>
        <v>0</v>
      </c>
      <c r="M35" s="70">
        <f t="shared" si="38"/>
        <v>30875.3</v>
      </c>
      <c r="N35" s="70">
        <f t="shared" si="38"/>
        <v>0</v>
      </c>
      <c r="O35" s="70">
        <f t="shared" si="38"/>
        <v>10708.579999999998</v>
      </c>
      <c r="P35" s="70">
        <f t="shared" si="38"/>
        <v>0</v>
      </c>
      <c r="Q35" s="70">
        <f t="shared" si="38"/>
        <v>0</v>
      </c>
      <c r="R35" s="70">
        <f t="shared" si="38"/>
        <v>0</v>
      </c>
      <c r="S35" s="70">
        <f t="shared" si="38"/>
        <v>0</v>
      </c>
      <c r="T35" s="70">
        <f t="shared" si="38"/>
        <v>0</v>
      </c>
      <c r="U35" s="70">
        <f t="shared" si="38"/>
        <v>222267.68999999997</v>
      </c>
      <c r="V35" s="70">
        <f t="shared" si="38"/>
        <v>0</v>
      </c>
      <c r="W35" s="70">
        <f t="shared" si="38"/>
        <v>0</v>
      </c>
      <c r="X35" s="70">
        <f t="shared" si="38"/>
        <v>153371.71</v>
      </c>
      <c r="Y35" s="70">
        <f t="shared" si="38"/>
        <v>0</v>
      </c>
      <c r="Z35" s="70">
        <f t="shared" si="38"/>
        <v>0</v>
      </c>
      <c r="AA35" s="70">
        <f t="shared" si="38"/>
        <v>33911.45</v>
      </c>
      <c r="AB35" s="70">
        <f t="shared" si="38"/>
        <v>12328.11</v>
      </c>
      <c r="AC35" s="70">
        <f t="shared" si="38"/>
        <v>0</v>
      </c>
      <c r="AD35" s="70">
        <f t="shared" si="38"/>
        <v>0</v>
      </c>
      <c r="AE35" s="70">
        <f t="shared" si="38"/>
        <v>0</v>
      </c>
      <c r="AF35" s="70">
        <f t="shared" si="38"/>
        <v>199611.27</v>
      </c>
      <c r="AG35" s="70">
        <f t="shared" si="38"/>
        <v>202691.3475</v>
      </c>
      <c r="AH35" s="70">
        <f t="shared" si="38"/>
        <v>0</v>
      </c>
      <c r="AI35" s="70">
        <f t="shared" si="38"/>
        <v>0</v>
      </c>
      <c r="AJ35" s="70">
        <f t="shared" si="38"/>
        <v>1368</v>
      </c>
      <c r="AK35" s="70">
        <f t="shared" si="38"/>
        <v>17110.716</v>
      </c>
      <c r="AL35" s="70">
        <f t="shared" si="38"/>
        <v>4819.919999999999</v>
      </c>
      <c r="AM35" s="70">
        <f t="shared" si="38"/>
        <v>24099.599999999995</v>
      </c>
      <c r="AN35" s="70">
        <f t="shared" si="38"/>
        <v>5060.916000000001</v>
      </c>
      <c r="AO35" s="70">
        <f t="shared" si="38"/>
        <v>48681.19200000001</v>
      </c>
      <c r="AP35" s="70">
        <f t="shared" si="38"/>
        <v>24822.587999999992</v>
      </c>
      <c r="AQ35" s="70">
        <f t="shared" si="38"/>
        <v>18074.7</v>
      </c>
      <c r="AR35" s="70">
        <f t="shared" si="38"/>
        <v>18074.7</v>
      </c>
      <c r="AS35" s="70">
        <f t="shared" si="38"/>
        <v>13857.269999999999</v>
      </c>
      <c r="AT35" s="70">
        <f t="shared" si="38"/>
        <v>0</v>
      </c>
      <c r="AU35" s="70">
        <f t="shared" si="38"/>
        <v>3106</v>
      </c>
      <c r="AV35" s="70">
        <f t="shared" si="38"/>
        <v>0</v>
      </c>
      <c r="AW35" s="70">
        <f t="shared" si="38"/>
        <v>1127.47</v>
      </c>
      <c r="AX35" s="70">
        <f t="shared" si="38"/>
        <v>8012.6</v>
      </c>
      <c r="AY35" s="70">
        <f t="shared" si="38"/>
        <v>0</v>
      </c>
      <c r="AZ35" s="70">
        <f t="shared" si="38"/>
        <v>0</v>
      </c>
      <c r="BA35" s="70">
        <f t="shared" si="38"/>
        <v>0</v>
      </c>
      <c r="BB35" s="70">
        <f t="shared" si="38"/>
        <v>0</v>
      </c>
      <c r="BC35" s="70">
        <f t="shared" si="38"/>
        <v>186847.67200000002</v>
      </c>
      <c r="BD35" s="70">
        <f t="shared" si="38"/>
        <v>342</v>
      </c>
      <c r="BE35" s="70">
        <f t="shared" si="38"/>
        <v>187189.67200000002</v>
      </c>
      <c r="BF35" s="70">
        <f t="shared" si="38"/>
        <v>16869.675499999983</v>
      </c>
      <c r="BG35" s="70">
        <f>SUM(BG23:BG34)</f>
        <v>-22656.42</v>
      </c>
    </row>
    <row r="36" spans="1:59" s="2" customFormat="1" ht="13.5" thickBot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3"/>
      <c r="BF36" s="72"/>
      <c r="BG36" s="74"/>
    </row>
    <row r="37" spans="1:59" s="2" customFormat="1" ht="13.5" thickBot="1">
      <c r="A37" s="25" t="s">
        <v>86</v>
      </c>
      <c r="B37" s="72"/>
      <c r="C37" s="75">
        <f>C35+C21</f>
        <v>423670.96799999994</v>
      </c>
      <c r="D37" s="75">
        <f aca="true" t="shared" si="39" ref="D37:BG37">D35+D21</f>
        <v>8116.837500000001</v>
      </c>
      <c r="E37" s="75">
        <f t="shared" si="39"/>
        <v>0</v>
      </c>
      <c r="F37" s="75">
        <f t="shared" si="39"/>
        <v>0</v>
      </c>
      <c r="G37" s="75">
        <f t="shared" si="39"/>
        <v>306076.6</v>
      </c>
      <c r="H37" s="75">
        <f t="shared" si="39"/>
        <v>0</v>
      </c>
      <c r="I37" s="75">
        <f t="shared" si="39"/>
        <v>0</v>
      </c>
      <c r="J37" s="75">
        <f t="shared" si="39"/>
        <v>0</v>
      </c>
      <c r="K37" s="75">
        <f t="shared" si="39"/>
        <v>0</v>
      </c>
      <c r="L37" s="75">
        <f t="shared" si="39"/>
        <v>0</v>
      </c>
      <c r="M37" s="75">
        <f t="shared" si="39"/>
        <v>91776.06</v>
      </c>
      <c r="N37" s="75">
        <f t="shared" si="39"/>
        <v>0</v>
      </c>
      <c r="O37" s="75">
        <f t="shared" si="39"/>
        <v>31829.189999999995</v>
      </c>
      <c r="P37" s="75">
        <f t="shared" si="39"/>
        <v>0</v>
      </c>
      <c r="Q37" s="75">
        <f t="shared" si="39"/>
        <v>0</v>
      </c>
      <c r="R37" s="75">
        <f t="shared" si="39"/>
        <v>0</v>
      </c>
      <c r="S37" s="75">
        <f t="shared" si="39"/>
        <v>0</v>
      </c>
      <c r="T37" s="75">
        <f t="shared" si="39"/>
        <v>0</v>
      </c>
      <c r="U37" s="75">
        <f t="shared" si="39"/>
        <v>429681.85</v>
      </c>
      <c r="V37" s="75">
        <f t="shared" si="39"/>
        <v>0</v>
      </c>
      <c r="W37" s="75">
        <f t="shared" si="39"/>
        <v>1782.2100000000005</v>
      </c>
      <c r="X37" s="75">
        <f t="shared" si="39"/>
        <v>240350.87</v>
      </c>
      <c r="Y37" s="75">
        <f t="shared" si="39"/>
        <v>4674.2</v>
      </c>
      <c r="Z37" s="75">
        <f t="shared" si="39"/>
        <v>6187.43</v>
      </c>
      <c r="AA37" s="75">
        <f t="shared" si="39"/>
        <v>77562.84</v>
      </c>
      <c r="AB37" s="75">
        <f t="shared" si="39"/>
        <v>27013.010000000002</v>
      </c>
      <c r="AC37" s="75">
        <f t="shared" si="39"/>
        <v>0</v>
      </c>
      <c r="AD37" s="75">
        <f t="shared" si="39"/>
        <v>0</v>
      </c>
      <c r="AE37" s="75">
        <f t="shared" si="39"/>
        <v>0</v>
      </c>
      <c r="AF37" s="75">
        <f t="shared" si="39"/>
        <v>357570.56</v>
      </c>
      <c r="AG37" s="75">
        <f t="shared" si="39"/>
        <v>365687.39749999996</v>
      </c>
      <c r="AH37" s="75">
        <f t="shared" si="39"/>
        <v>0</v>
      </c>
      <c r="AI37" s="75">
        <f t="shared" si="39"/>
        <v>0</v>
      </c>
      <c r="AJ37" s="75">
        <f t="shared" si="39"/>
        <v>2736</v>
      </c>
      <c r="AK37" s="75">
        <f t="shared" si="39"/>
        <v>33257.448</v>
      </c>
      <c r="AL37" s="75">
        <f t="shared" si="39"/>
        <v>9639.839999999998</v>
      </c>
      <c r="AM37" s="75">
        <f t="shared" si="39"/>
        <v>48199.19999999999</v>
      </c>
      <c r="AN37" s="75">
        <f t="shared" si="39"/>
        <v>10121.832000000002</v>
      </c>
      <c r="AO37" s="75">
        <f t="shared" si="39"/>
        <v>97362.38400000002</v>
      </c>
      <c r="AP37" s="75">
        <f t="shared" si="39"/>
        <v>49645.175999999985</v>
      </c>
      <c r="AQ37" s="75">
        <f t="shared" si="39"/>
        <v>36149.4</v>
      </c>
      <c r="AR37" s="75">
        <f t="shared" si="39"/>
        <v>36149.4</v>
      </c>
      <c r="AS37" s="75">
        <f t="shared" si="39"/>
        <v>27714.539999999997</v>
      </c>
      <c r="AT37" s="75">
        <f t="shared" si="39"/>
        <v>0</v>
      </c>
      <c r="AU37" s="75">
        <f t="shared" si="39"/>
        <v>4247</v>
      </c>
      <c r="AV37" s="75">
        <f t="shared" si="39"/>
        <v>0</v>
      </c>
      <c r="AW37" s="75">
        <f t="shared" si="39"/>
        <v>1367.47</v>
      </c>
      <c r="AX37" s="75">
        <f t="shared" si="39"/>
        <v>8370.155</v>
      </c>
      <c r="AY37" s="75">
        <f t="shared" si="39"/>
        <v>0</v>
      </c>
      <c r="AZ37" s="75">
        <f t="shared" si="39"/>
        <v>0</v>
      </c>
      <c r="BA37" s="75">
        <f t="shared" si="39"/>
        <v>0</v>
      </c>
      <c r="BB37" s="75">
        <f t="shared" si="39"/>
        <v>0</v>
      </c>
      <c r="BC37" s="75">
        <f t="shared" si="39"/>
        <v>362223.84500000003</v>
      </c>
      <c r="BD37" s="75">
        <f t="shared" si="39"/>
        <v>684</v>
      </c>
      <c r="BE37" s="75">
        <f t="shared" si="39"/>
        <v>362907.84500000003</v>
      </c>
      <c r="BF37" s="75">
        <f t="shared" si="39"/>
        <v>5515.5524999999525</v>
      </c>
      <c r="BG37" s="75">
        <f t="shared" si="39"/>
        <v>-72111.29000000001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7">
      <selection activeCell="A31" sqref="A31"/>
    </sheetView>
  </sheetViews>
  <sheetFormatPr defaultColWidth="9.00390625" defaultRowHeight="12.75"/>
  <cols>
    <col min="1" max="1" width="10.00390625" style="84" customWidth="1"/>
    <col min="2" max="2" width="8.375" style="84" customWidth="1"/>
    <col min="3" max="3" width="11.875" style="84" customWidth="1"/>
    <col min="4" max="4" width="10.75390625" style="84" customWidth="1"/>
    <col min="5" max="5" width="11.625" style="84" customWidth="1"/>
    <col min="6" max="6" width="9.875" style="84" customWidth="1"/>
    <col min="7" max="7" width="10.00390625" style="84" customWidth="1"/>
    <col min="8" max="8" width="11.375" style="84" customWidth="1"/>
    <col min="9" max="9" width="9.25390625" style="84" customWidth="1"/>
    <col min="10" max="10" width="9.875" style="84" customWidth="1"/>
    <col min="11" max="11" width="10.875" style="84" customWidth="1"/>
    <col min="12" max="12" width="10.125" style="84" customWidth="1"/>
    <col min="13" max="13" width="9.375" style="84" hidden="1" customWidth="1"/>
    <col min="14" max="14" width="11.625" style="84" hidden="1" customWidth="1"/>
    <col min="15" max="15" width="11.375" style="84" customWidth="1"/>
    <col min="16" max="16" width="12.625" style="84" customWidth="1"/>
    <col min="17" max="17" width="10.375" style="84" customWidth="1"/>
    <col min="18" max="18" width="10.75390625" style="84" customWidth="1"/>
    <col min="19" max="16384" width="9.125" style="84" customWidth="1"/>
  </cols>
  <sheetData>
    <row r="1" spans="2:8" ht="20.25" customHeight="1">
      <c r="B1" s="268" t="s">
        <v>39</v>
      </c>
      <c r="C1" s="268"/>
      <c r="D1" s="268"/>
      <c r="E1" s="268"/>
      <c r="F1" s="268"/>
      <c r="G1" s="268"/>
      <c r="H1" s="268"/>
    </row>
    <row r="2" spans="2:11" ht="21" customHeight="1">
      <c r="B2" s="268" t="s">
        <v>40</v>
      </c>
      <c r="C2" s="268"/>
      <c r="D2" s="268"/>
      <c r="E2" s="268"/>
      <c r="F2" s="268"/>
      <c r="G2" s="268"/>
      <c r="H2" s="268"/>
      <c r="J2" s="85"/>
      <c r="K2" s="85"/>
    </row>
    <row r="5" spans="1:15" ht="12.75">
      <c r="A5" s="269" t="s">
        <v>102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12.75">
      <c r="A6" s="270" t="s">
        <v>95</v>
      </c>
      <c r="B6" s="270"/>
      <c r="C6" s="270"/>
      <c r="D6" s="270"/>
      <c r="E6" s="270"/>
      <c r="F6" s="270"/>
      <c r="G6" s="270"/>
      <c r="H6" s="86"/>
      <c r="I6" s="86"/>
      <c r="J6" s="86"/>
      <c r="K6" s="86"/>
      <c r="L6" s="86"/>
      <c r="M6" s="86"/>
      <c r="N6" s="86"/>
      <c r="O6" s="86"/>
    </row>
    <row r="7" spans="1:16" ht="13.5" thickBot="1">
      <c r="A7" s="271" t="s">
        <v>41</v>
      </c>
      <c r="B7" s="271"/>
      <c r="C7" s="271"/>
      <c r="D7" s="271"/>
      <c r="E7" s="271">
        <v>8.55</v>
      </c>
      <c r="F7" s="271"/>
      <c r="I7" s="87"/>
      <c r="J7" s="87"/>
      <c r="K7" s="87"/>
      <c r="L7" s="87"/>
      <c r="M7" s="87"/>
      <c r="N7" s="87"/>
      <c r="O7" s="87"/>
      <c r="P7" s="87"/>
    </row>
    <row r="8" spans="1:18" ht="12.75" customHeight="1">
      <c r="A8" s="239" t="s">
        <v>42</v>
      </c>
      <c r="B8" s="242" t="s">
        <v>1</v>
      </c>
      <c r="C8" s="245" t="s">
        <v>43</v>
      </c>
      <c r="D8" s="248" t="s">
        <v>3</v>
      </c>
      <c r="E8" s="260" t="s">
        <v>44</v>
      </c>
      <c r="F8" s="261"/>
      <c r="G8" s="264" t="s">
        <v>59</v>
      </c>
      <c r="H8" s="265"/>
      <c r="I8" s="233" t="s">
        <v>7</v>
      </c>
      <c r="J8" s="234"/>
      <c r="K8" s="234"/>
      <c r="L8" s="234"/>
      <c r="M8" s="234"/>
      <c r="N8" s="234"/>
      <c r="O8" s="234"/>
      <c r="P8" s="235"/>
      <c r="Q8" s="251" t="s">
        <v>45</v>
      </c>
      <c r="R8" s="251" t="s">
        <v>9</v>
      </c>
    </row>
    <row r="9" spans="1:18" ht="12.75">
      <c r="A9" s="240"/>
      <c r="B9" s="243"/>
      <c r="C9" s="246"/>
      <c r="D9" s="249"/>
      <c r="E9" s="262"/>
      <c r="F9" s="263"/>
      <c r="G9" s="266"/>
      <c r="H9" s="267"/>
      <c r="I9" s="236"/>
      <c r="J9" s="237"/>
      <c r="K9" s="237"/>
      <c r="L9" s="237"/>
      <c r="M9" s="237"/>
      <c r="N9" s="237"/>
      <c r="O9" s="237"/>
      <c r="P9" s="238"/>
      <c r="Q9" s="252"/>
      <c r="R9" s="252"/>
    </row>
    <row r="10" spans="1:18" ht="26.25" customHeight="1">
      <c r="A10" s="240"/>
      <c r="B10" s="243"/>
      <c r="C10" s="246"/>
      <c r="D10" s="249"/>
      <c r="E10" s="254" t="s">
        <v>46</v>
      </c>
      <c r="F10" s="255"/>
      <c r="G10" s="88" t="s">
        <v>88</v>
      </c>
      <c r="H10" s="256" t="s">
        <v>6</v>
      </c>
      <c r="I10" s="257" t="s">
        <v>47</v>
      </c>
      <c r="J10" s="259" t="s">
        <v>89</v>
      </c>
      <c r="K10" s="259" t="s">
        <v>48</v>
      </c>
      <c r="L10" s="259" t="s">
        <v>28</v>
      </c>
      <c r="M10" s="259" t="s">
        <v>49</v>
      </c>
      <c r="N10" s="227" t="s">
        <v>29</v>
      </c>
      <c r="O10" s="227" t="s">
        <v>90</v>
      </c>
      <c r="P10" s="229" t="s">
        <v>30</v>
      </c>
      <c r="Q10" s="252"/>
      <c r="R10" s="252"/>
    </row>
    <row r="11" spans="1:18" ht="66.75" customHeight="1" thickBot="1">
      <c r="A11" s="241"/>
      <c r="B11" s="244"/>
      <c r="C11" s="247"/>
      <c r="D11" s="250"/>
      <c r="E11" s="89" t="s">
        <v>50</v>
      </c>
      <c r="F11" s="90" t="s">
        <v>17</v>
      </c>
      <c r="G11" s="91" t="s">
        <v>91</v>
      </c>
      <c r="H11" s="229"/>
      <c r="I11" s="258"/>
      <c r="J11" s="227"/>
      <c r="K11" s="227"/>
      <c r="L11" s="227"/>
      <c r="M11" s="227"/>
      <c r="N11" s="228"/>
      <c r="O11" s="228"/>
      <c r="P11" s="230"/>
      <c r="Q11" s="253"/>
      <c r="R11" s="253"/>
    </row>
    <row r="12" spans="1:18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2">
        <v>7</v>
      </c>
      <c r="H12" s="93">
        <v>8</v>
      </c>
      <c r="I12" s="92">
        <v>9</v>
      </c>
      <c r="J12" s="93">
        <v>10</v>
      </c>
      <c r="K12" s="92">
        <v>11</v>
      </c>
      <c r="L12" s="93">
        <v>12</v>
      </c>
      <c r="M12" s="92">
        <v>13</v>
      </c>
      <c r="N12" s="93">
        <v>14</v>
      </c>
      <c r="O12" s="92">
        <v>15</v>
      </c>
      <c r="P12" s="93">
        <v>16</v>
      </c>
      <c r="Q12" s="92">
        <v>17</v>
      </c>
      <c r="R12" s="93">
        <v>18</v>
      </c>
    </row>
    <row r="13" spans="1:18" ht="13.5" thickBot="1">
      <c r="A13" s="231" t="s">
        <v>60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94"/>
      <c r="Q13" s="95"/>
      <c r="R13" s="95"/>
    </row>
    <row r="14" spans="1:20" s="101" customFormat="1" ht="12.75" hidden="1">
      <c r="A14" s="96" t="s">
        <v>86</v>
      </c>
      <c r="B14" s="97"/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9"/>
      <c r="T14" s="100"/>
    </row>
    <row r="15" spans="1:20" ht="13.5" thickBot="1">
      <c r="A15" s="92" t="s">
        <v>87</v>
      </c>
      <c r="B15" s="102"/>
      <c r="C15" s="103"/>
      <c r="D15" s="104"/>
      <c r="E15" s="105"/>
      <c r="F15" s="106"/>
      <c r="G15" s="107"/>
      <c r="H15" s="106"/>
      <c r="I15" s="107"/>
      <c r="J15" s="105"/>
      <c r="K15" s="105"/>
      <c r="L15" s="108"/>
      <c r="M15" s="109"/>
      <c r="N15" s="110"/>
      <c r="O15" s="110"/>
      <c r="P15" s="106"/>
      <c r="Q15" s="111"/>
      <c r="R15" s="111"/>
      <c r="S15" s="85"/>
      <c r="T15" s="85"/>
    </row>
    <row r="16" spans="1:20" ht="12.75">
      <c r="A16" s="112" t="s">
        <v>31</v>
      </c>
      <c r="B16" s="113">
        <f>'2012 полн'!B9</f>
        <v>2008.3</v>
      </c>
      <c r="C16" s="114">
        <f>'2012 полн'!C9</f>
        <v>17170.965</v>
      </c>
      <c r="D16" s="115">
        <f>'2012 полн'!D9</f>
        <v>419.73</v>
      </c>
      <c r="E16" s="116">
        <f>'2012 полн'!U9</f>
        <v>17373.41</v>
      </c>
      <c r="F16" s="116">
        <f>'2012 полн'!V9</f>
        <v>0</v>
      </c>
      <c r="G16" s="117">
        <f>'2012 полн'!AF9</f>
        <v>0</v>
      </c>
      <c r="H16" s="117">
        <f>'2012 полн'!AG9</f>
        <v>419.73</v>
      </c>
      <c r="I16" s="117">
        <f>'2012 полн'!AK9</f>
        <v>1345.5610000000001</v>
      </c>
      <c r="J16" s="116">
        <f>'2012 полн'!AL9</f>
        <v>401.66</v>
      </c>
      <c r="K16" s="116">
        <f>'2012 полн'!AM9+'2012 полн'!AN9+'2012 полн'!AO9+'2012 полн'!AP9+'2012 полн'!AQ9+'2012 полн'!AR9+'2012 полн'!AS9+'2012 полн'!AT9+'2012 полн'!AX9</f>
        <v>13877.353000000001</v>
      </c>
      <c r="L16" s="118">
        <f>'2012 полн'!AU9+'2012 полн'!AV9+'2012 полн'!AW9</f>
        <v>0</v>
      </c>
      <c r="M16" s="118">
        <f>'[3]2011 полн'!AX10</f>
        <v>0</v>
      </c>
      <c r="N16" s="119"/>
      <c r="O16" s="119">
        <f>'2012 полн'!BD9</f>
        <v>28.5</v>
      </c>
      <c r="P16" s="120">
        <f>'2012 полн'!BE9</f>
        <v>15653.074000000002</v>
      </c>
      <c r="Q16" s="121">
        <f>'2012 полн'!BF9</f>
        <v>-15119.344000000003</v>
      </c>
      <c r="R16" s="121">
        <f>'2012 полн'!BG9</f>
        <v>-17373.41</v>
      </c>
      <c r="S16" s="85"/>
      <c r="T16" s="85"/>
    </row>
    <row r="17" spans="1:20" ht="12.75">
      <c r="A17" s="122" t="s">
        <v>32</v>
      </c>
      <c r="B17" s="113">
        <f>'2012 полн'!B10</f>
        <v>2008.3</v>
      </c>
      <c r="C17" s="114">
        <f>'2012 полн'!C10</f>
        <v>17170.965</v>
      </c>
      <c r="D17" s="115">
        <f>'2012 полн'!D10</f>
        <v>419.73</v>
      </c>
      <c r="E17" s="116">
        <f>'2012 полн'!U10</f>
        <v>16954.04</v>
      </c>
      <c r="F17" s="116">
        <f>'2012 полн'!V10</f>
        <v>0</v>
      </c>
      <c r="G17" s="117">
        <f>'2012 полн'!AF10</f>
        <v>10852.57</v>
      </c>
      <c r="H17" s="117">
        <f>'2012 полн'!AG10</f>
        <v>11272.3</v>
      </c>
      <c r="I17" s="117">
        <f>'2012 полн'!AK10</f>
        <v>1345.5610000000001</v>
      </c>
      <c r="J17" s="116">
        <f>'2012 полн'!AL10</f>
        <v>401.66</v>
      </c>
      <c r="K17" s="116">
        <f>'2012 полн'!AM10+'2012 полн'!AN10+'2012 полн'!AO10+'2012 полн'!AP10+'2012 полн'!AQ10+'2012 полн'!AR10+'2012 полн'!AS10+'2012 полн'!AT10+'2012 полн'!AX10</f>
        <v>13965.353000000001</v>
      </c>
      <c r="L17" s="118">
        <f>'2012 полн'!AU10+'2012 полн'!AV10+'2012 полн'!AW10</f>
        <v>1141</v>
      </c>
      <c r="M17" s="118">
        <f>'[3]2011 полн'!AX11</f>
        <v>33.84</v>
      </c>
      <c r="N17" s="119"/>
      <c r="O17" s="119">
        <f>'2012 полн'!BD10</f>
        <v>28.5</v>
      </c>
      <c r="P17" s="120">
        <f>'2012 полн'!BE10</f>
        <v>16882.074</v>
      </c>
      <c r="Q17" s="121">
        <f>'2012 полн'!BF10</f>
        <v>-5495.774000000001</v>
      </c>
      <c r="R17" s="121">
        <f>'2012 полн'!BG10</f>
        <v>-6101.470000000001</v>
      </c>
      <c r="S17" s="85"/>
      <c r="T17" s="85"/>
    </row>
    <row r="18" spans="1:20" ht="12.75">
      <c r="A18" s="122" t="s">
        <v>33</v>
      </c>
      <c r="B18" s="113">
        <f>'2012 полн'!B11</f>
        <v>2008.3</v>
      </c>
      <c r="C18" s="114">
        <f>'2012 полн'!C11</f>
        <v>17170.965</v>
      </c>
      <c r="D18" s="115">
        <f>'2012 полн'!D11</f>
        <v>419.73</v>
      </c>
      <c r="E18" s="116">
        <f>'2012 полн'!U11</f>
        <v>17157.72</v>
      </c>
      <c r="F18" s="116">
        <f>'2012 полн'!V11</f>
        <v>0</v>
      </c>
      <c r="G18" s="117">
        <f>'2012 полн'!AF11</f>
        <v>15026.09</v>
      </c>
      <c r="H18" s="117">
        <f>'2012 полн'!AG11</f>
        <v>15445.82</v>
      </c>
      <c r="I18" s="117">
        <f>'2012 полн'!AK11</f>
        <v>1345.5610000000001</v>
      </c>
      <c r="J18" s="116">
        <f>'2012 полн'!AL11</f>
        <v>401.66</v>
      </c>
      <c r="K18" s="116">
        <f>'2012 полн'!AM11+'2012 полн'!AN11+'2012 полн'!AO11+'2012 полн'!AP11+'2012 полн'!AQ11+'2012 полн'!AR11+'2012 полн'!AS11+'2012 полн'!AT11+'2012 полн'!AX11</f>
        <v>13877.353000000001</v>
      </c>
      <c r="L18" s="118">
        <f>'2012 полн'!AU11+'2012 полн'!AV11+'2012 полн'!AW11</f>
        <v>0</v>
      </c>
      <c r="M18" s="118">
        <f>'[3]2011 полн'!AX12</f>
        <v>0</v>
      </c>
      <c r="N18" s="119"/>
      <c r="O18" s="119">
        <f>'2012 полн'!BD11</f>
        <v>28.5</v>
      </c>
      <c r="P18" s="120">
        <f>'2012 полн'!BE11</f>
        <v>15653.074000000002</v>
      </c>
      <c r="Q18" s="121">
        <f>'2012 полн'!BF11</f>
        <v>-93.25400000000263</v>
      </c>
      <c r="R18" s="121">
        <f>'2012 полн'!BG11</f>
        <v>-2131.630000000001</v>
      </c>
      <c r="S18" s="85"/>
      <c r="T18" s="85"/>
    </row>
    <row r="19" spans="1:20" ht="12.75">
      <c r="A19" s="122" t="s">
        <v>34</v>
      </c>
      <c r="B19" s="113">
        <f>'2012 полн'!B12</f>
        <v>2008.3</v>
      </c>
      <c r="C19" s="114">
        <f>'2012 полн'!C12</f>
        <v>17170.965</v>
      </c>
      <c r="D19" s="115">
        <f>'2012 полн'!D12</f>
        <v>419.73</v>
      </c>
      <c r="E19" s="116">
        <f>'2012 полн'!U12</f>
        <v>17157.72</v>
      </c>
      <c r="F19" s="116">
        <f>'2012 полн'!V12</f>
        <v>0</v>
      </c>
      <c r="G19" s="117">
        <f>'2012 полн'!AF12</f>
        <v>8277.050000000001</v>
      </c>
      <c r="H19" s="117">
        <f>'2012 полн'!AG12</f>
        <v>8696.78</v>
      </c>
      <c r="I19" s="117">
        <f>'2012 полн'!AK12</f>
        <v>1345.5610000000001</v>
      </c>
      <c r="J19" s="116">
        <f>'2012 полн'!AL12</f>
        <v>401.66</v>
      </c>
      <c r="K19" s="116">
        <f>'2012 полн'!AM12+'2012 полн'!AN12+'2012 полн'!AO12+'2012 полн'!AP12+'2012 полн'!AQ12+'2012 полн'!AR12+'2012 полн'!AS12+'2012 полн'!AT12+'2012 полн'!AX12</f>
        <v>11582.808</v>
      </c>
      <c r="L19" s="118">
        <f>'2012 полн'!AU12+'2012 полн'!AV12+'2012 полн'!AW12</f>
        <v>0</v>
      </c>
      <c r="M19" s="118">
        <f>'[3]2011 полн'!AX13</f>
        <v>25</v>
      </c>
      <c r="N19" s="119"/>
      <c r="O19" s="119">
        <f>'2012 полн'!BD12</f>
        <v>28.5</v>
      </c>
      <c r="P19" s="120">
        <f>'2012 полн'!BE12</f>
        <v>13358.529000000002</v>
      </c>
      <c r="Q19" s="121">
        <f>'2012 полн'!BF12</f>
        <v>-4547.749000000002</v>
      </c>
      <c r="R19" s="121">
        <f>'2012 полн'!BG12</f>
        <v>-8880.67</v>
      </c>
      <c r="S19" s="85"/>
      <c r="T19" s="85"/>
    </row>
    <row r="20" spans="1:20" ht="12.75">
      <c r="A20" s="122" t="s">
        <v>35</v>
      </c>
      <c r="B20" s="113">
        <f>'2012 полн'!B13</f>
        <v>2008.3</v>
      </c>
      <c r="C20" s="114">
        <f>'2012 полн'!C13</f>
        <v>17170.965</v>
      </c>
      <c r="D20" s="115">
        <f>'2012 полн'!D13</f>
        <v>419.73</v>
      </c>
      <c r="E20" s="116">
        <f>'2012 полн'!U13</f>
        <v>17157.72</v>
      </c>
      <c r="F20" s="116">
        <f>'2012 полн'!V13</f>
        <v>0</v>
      </c>
      <c r="G20" s="117">
        <f>'2012 полн'!AF13</f>
        <v>14946.400000000001</v>
      </c>
      <c r="H20" s="117">
        <f>'2012 полн'!AG13</f>
        <v>15366.130000000001</v>
      </c>
      <c r="I20" s="117">
        <f>'2012 полн'!AK13</f>
        <v>1345.5610000000001</v>
      </c>
      <c r="J20" s="116">
        <f>'2012 полн'!AL13</f>
        <v>401.66</v>
      </c>
      <c r="K20" s="116">
        <f>'2012 полн'!AM13+'2012 полн'!AN13+'2012 полн'!AO13+'2012 полн'!AP13+'2012 полн'!AQ13+'2012 полн'!AR13+'2012 полн'!AS13+'2012 полн'!AT13+'2012 полн'!AX13</f>
        <v>11567.808</v>
      </c>
      <c r="L20" s="118">
        <f>'2012 полн'!AU13+'2012 полн'!AV13+'2012 полн'!AW13</f>
        <v>0</v>
      </c>
      <c r="M20" s="118">
        <f>'[3]2011 полн'!AX14</f>
        <v>0</v>
      </c>
      <c r="N20" s="119"/>
      <c r="O20" s="119">
        <f>'2012 полн'!BD13</f>
        <v>28.5</v>
      </c>
      <c r="P20" s="120">
        <f>'2012 полн'!BE13</f>
        <v>13343.529000000002</v>
      </c>
      <c r="Q20" s="121">
        <f>'2012 полн'!BF13</f>
        <v>2136.6009999999987</v>
      </c>
      <c r="R20" s="121">
        <f>'2012 полн'!BG13</f>
        <v>-2211.3199999999997</v>
      </c>
      <c r="S20" s="85"/>
      <c r="T20" s="85"/>
    </row>
    <row r="21" spans="1:20" ht="12.75">
      <c r="A21" s="122" t="s">
        <v>36</v>
      </c>
      <c r="B21" s="113">
        <f>'2012 полн'!B14</f>
        <v>2008.3</v>
      </c>
      <c r="C21" s="114">
        <f>'2012 полн'!C14</f>
        <v>17170.965</v>
      </c>
      <c r="D21" s="115">
        <f>'2012 полн'!D14</f>
        <v>419.73</v>
      </c>
      <c r="E21" s="116">
        <f>'2012 полн'!U14</f>
        <v>17157.73</v>
      </c>
      <c r="F21" s="116">
        <f>'2012 полн'!V14</f>
        <v>0</v>
      </c>
      <c r="G21" s="117">
        <f>'2012 полн'!AF14</f>
        <v>17682.96</v>
      </c>
      <c r="H21" s="117">
        <f>'2012 полн'!AG14</f>
        <v>18102.69</v>
      </c>
      <c r="I21" s="117">
        <f>'2012 полн'!AK14</f>
        <v>1345.5610000000001</v>
      </c>
      <c r="J21" s="116">
        <f>'2012 полн'!AL14</f>
        <v>401.66</v>
      </c>
      <c r="K21" s="116">
        <f>'2012 полн'!AM14+'2012 полн'!AN14+'2012 полн'!AO14+'2012 полн'!AP14+'2012 полн'!AQ14+'2012 полн'!AR14+'2012 полн'!AS14+'2012 полн'!AT14+'2012 полн'!AX14</f>
        <v>11567.808</v>
      </c>
      <c r="L21" s="118">
        <f>'2012 полн'!AU14+'2012 полн'!AV14+'2012 полн'!AW14</f>
        <v>0</v>
      </c>
      <c r="M21" s="118">
        <f>'[3]2011 полн'!AX15</f>
        <v>0</v>
      </c>
      <c r="N21" s="119"/>
      <c r="O21" s="119">
        <f>'2012 полн'!BD14</f>
        <v>28.5</v>
      </c>
      <c r="P21" s="120">
        <f>'2012 полн'!BE14</f>
        <v>13343.529000000002</v>
      </c>
      <c r="Q21" s="121">
        <f>'2012 полн'!BF14</f>
        <v>4873.160999999996</v>
      </c>
      <c r="R21" s="121">
        <f>'2012 полн'!BG14</f>
        <v>525.2299999999996</v>
      </c>
      <c r="S21" s="85"/>
      <c r="T21" s="85"/>
    </row>
    <row r="22" spans="1:18" ht="12.75">
      <c r="A22" s="122" t="s">
        <v>37</v>
      </c>
      <c r="B22" s="113">
        <f>'2012 полн'!B15</f>
        <v>2008.3</v>
      </c>
      <c r="C22" s="114">
        <f>'2012 полн'!C15</f>
        <v>17170.965</v>
      </c>
      <c r="D22" s="115">
        <f>'2012 полн'!D15</f>
        <v>419.73</v>
      </c>
      <c r="E22" s="116">
        <f>'2012 полн'!U15</f>
        <v>17157.72</v>
      </c>
      <c r="F22" s="116">
        <f>'2012 полн'!V15</f>
        <v>0</v>
      </c>
      <c r="G22" s="117">
        <f>'2012 полн'!AF15</f>
        <v>10399.080000000002</v>
      </c>
      <c r="H22" s="117">
        <f>'2012 полн'!AG15</f>
        <v>10818.810000000001</v>
      </c>
      <c r="I22" s="117">
        <f>'2012 полн'!AK15</f>
        <v>1345.5610000000001</v>
      </c>
      <c r="J22" s="116">
        <f>'2012 полн'!AL15</f>
        <v>401.66</v>
      </c>
      <c r="K22" s="116">
        <f>'2012 полн'!AM15+'2012 полн'!AN15+'2012 полн'!AO15+'2012 полн'!AP15+'2012 полн'!AQ15+'2012 полн'!AR15+'2012 полн'!AS15+'2012 полн'!AT15+'2012 полн'!AX15</f>
        <v>11673.668000000001</v>
      </c>
      <c r="L22" s="118">
        <f>'2012 полн'!AU15+'2012 полн'!AV15+'2012 полн'!AW15</f>
        <v>0</v>
      </c>
      <c r="M22" s="118">
        <f>'[3]2011 полн'!AX16</f>
        <v>18.86</v>
      </c>
      <c r="N22" s="119"/>
      <c r="O22" s="119">
        <f>'2012 полн'!BD15</f>
        <v>28.5</v>
      </c>
      <c r="P22" s="120">
        <f>'2012 полн'!BE15</f>
        <v>13449.389000000003</v>
      </c>
      <c r="Q22" s="121">
        <f>'2012 полн'!BF15</f>
        <v>-2516.5790000000015</v>
      </c>
      <c r="R22" s="121">
        <f>'2012 полн'!BG15</f>
        <v>-6758.639999999999</v>
      </c>
    </row>
    <row r="23" spans="1:18" ht="12.75">
      <c r="A23" s="134" t="s">
        <v>38</v>
      </c>
      <c r="B23" s="113">
        <f>'2012 полн'!B16</f>
        <v>2008.3</v>
      </c>
      <c r="C23" s="114">
        <f>'2012 полн'!C16</f>
        <v>17170.965</v>
      </c>
      <c r="D23" s="115">
        <f>'2012 полн'!D16</f>
        <v>419.73</v>
      </c>
      <c r="E23" s="116">
        <f>'2012 полн'!U16</f>
        <v>17176.21</v>
      </c>
      <c r="F23" s="116">
        <f>'2012 полн'!V16</f>
        <v>0</v>
      </c>
      <c r="G23" s="117">
        <f>'2012 полн'!AF16</f>
        <v>14397.06</v>
      </c>
      <c r="H23" s="117">
        <f>'2012 полн'!AG16</f>
        <v>14816.789999999999</v>
      </c>
      <c r="I23" s="117">
        <f>'2012 полн'!AK16</f>
        <v>1345.5610000000001</v>
      </c>
      <c r="J23" s="116">
        <f>'2012 полн'!AL16</f>
        <v>401.66</v>
      </c>
      <c r="K23" s="116">
        <f>'2012 полн'!AM16+'2012 полн'!AN16+'2012 полн'!AO16+'2012 полн'!AP16+'2012 полн'!AQ16+'2012 полн'!AR16+'2012 полн'!AS16+'2012 полн'!AT16+'2012 полн'!AX16</f>
        <v>11567.808</v>
      </c>
      <c r="L23" s="118">
        <f>'2012 полн'!AU16+'2012 полн'!AV16+'2012 полн'!AW16</f>
        <v>0</v>
      </c>
      <c r="M23" s="118">
        <f>'[3]2011 полн'!AX17</f>
        <v>0</v>
      </c>
      <c r="N23" s="119"/>
      <c r="O23" s="119">
        <f>'2012 полн'!BD16</f>
        <v>28.5</v>
      </c>
      <c r="P23" s="120">
        <f>'2012 полн'!BE16</f>
        <v>13343.529000000002</v>
      </c>
      <c r="Q23" s="121">
        <f>'2012 полн'!BF16</f>
        <v>1587.2609999999968</v>
      </c>
      <c r="R23" s="121">
        <f>'2012 полн'!BG16</f>
        <v>-2779.1499999999996</v>
      </c>
    </row>
    <row r="24" spans="1:18" ht="12.75">
      <c r="A24" s="122" t="s">
        <v>103</v>
      </c>
      <c r="B24" s="113">
        <f>'2012 полн'!B17</f>
        <v>2008.3</v>
      </c>
      <c r="C24" s="114">
        <f>'2012 полн'!C17</f>
        <v>17170.965</v>
      </c>
      <c r="D24" s="115">
        <f>'2012 полн'!D17</f>
        <v>419.73</v>
      </c>
      <c r="E24" s="116">
        <f>'2012 полн'!U17</f>
        <v>17532.82</v>
      </c>
      <c r="F24" s="116">
        <f>'2012 полн'!V17</f>
        <v>0</v>
      </c>
      <c r="G24" s="117">
        <f>'2012 полн'!AF17</f>
        <v>26481.51</v>
      </c>
      <c r="H24" s="117">
        <f>'2012 полн'!AG17</f>
        <v>26901.239999999998</v>
      </c>
      <c r="I24" s="117">
        <f>'2012 полн'!AK17</f>
        <v>1345.5610000000001</v>
      </c>
      <c r="J24" s="116">
        <f>'2012 полн'!AL17</f>
        <v>401.66</v>
      </c>
      <c r="K24" s="116">
        <f>'2012 полн'!AM17+'2012 полн'!AN17+'2012 полн'!AO17+'2012 полн'!AP17+'2012 полн'!AQ17+'2012 полн'!AR17+'2012 полн'!AS17+'2012 полн'!AT17+'2012 полн'!AX17</f>
        <v>11567.808</v>
      </c>
      <c r="L24" s="118">
        <f>'2012 полн'!AU17+'2012 полн'!AV17+'2012 полн'!AW17</f>
        <v>240</v>
      </c>
      <c r="M24" s="118">
        <f>'[3]2011 полн'!AX18</f>
        <v>0</v>
      </c>
      <c r="N24" s="119"/>
      <c r="O24" s="119">
        <f>'2012 полн'!BD17</f>
        <v>28.5</v>
      </c>
      <c r="P24" s="120">
        <f>'2012 полн'!BE17</f>
        <v>13583.529000000002</v>
      </c>
      <c r="Q24" s="121">
        <f>'2012 полн'!BF17</f>
        <v>13431.710999999996</v>
      </c>
      <c r="R24" s="121">
        <f>'2012 полн'!BG17</f>
        <v>8948.689999999999</v>
      </c>
    </row>
    <row r="25" spans="1:18" ht="12.75">
      <c r="A25" s="122" t="s">
        <v>104</v>
      </c>
      <c r="B25" s="113">
        <f>'2012 полн'!B18</f>
        <v>2008.3</v>
      </c>
      <c r="C25" s="114">
        <f>'2012 полн'!C18</f>
        <v>17170.965</v>
      </c>
      <c r="D25" s="115">
        <f>'2012 полн'!D18</f>
        <v>419.73</v>
      </c>
      <c r="E25" s="116">
        <f>'2012 полн'!U18</f>
        <v>17532.21</v>
      </c>
      <c r="F25" s="116">
        <f>'2012 полн'!V18</f>
        <v>0</v>
      </c>
      <c r="G25" s="117">
        <f>'2012 полн'!AF18</f>
        <v>15767.43</v>
      </c>
      <c r="H25" s="117">
        <f>'2012 полн'!AG18</f>
        <v>16187.16</v>
      </c>
      <c r="I25" s="117">
        <f>'2012 полн'!AK18</f>
        <v>1345.5610000000001</v>
      </c>
      <c r="J25" s="116">
        <f>'2012 полн'!AL18</f>
        <v>401.66</v>
      </c>
      <c r="K25" s="116">
        <f>'2012 полн'!AM18+'2012 полн'!AN18+'2012 полн'!AO18+'2012 полн'!AP18+'2012 полн'!AQ18+'2012 полн'!AR18+'2012 полн'!AS18+'2012 полн'!AT18+'2012 полн'!AX18</f>
        <v>14026.048</v>
      </c>
      <c r="L25" s="118">
        <f>'2012 полн'!AU18+'2012 полн'!AV18+'2012 полн'!AW18</f>
        <v>0</v>
      </c>
      <c r="M25" s="118">
        <f>'[3]2011 полн'!AX19</f>
        <v>0</v>
      </c>
      <c r="N25" s="119"/>
      <c r="O25" s="119">
        <f>'2012 полн'!BD18</f>
        <v>28.5</v>
      </c>
      <c r="P25" s="120">
        <f>'2012 полн'!BE18</f>
        <v>15801.769000000002</v>
      </c>
      <c r="Q25" s="121">
        <f>'2012 полн'!BF18</f>
        <v>499.3909999999978</v>
      </c>
      <c r="R25" s="121">
        <f>'2012 полн'!BG18</f>
        <v>-1764.7799999999988</v>
      </c>
    </row>
    <row r="26" spans="1:18" ht="12.75">
      <c r="A26" s="122" t="s">
        <v>105</v>
      </c>
      <c r="B26" s="113">
        <f>'2012 полн'!B19</f>
        <v>2008.3</v>
      </c>
      <c r="C26" s="114">
        <f>'2012 полн'!C19</f>
        <v>17170.965</v>
      </c>
      <c r="D26" s="115">
        <f>'2012 полн'!D19</f>
        <v>419.73</v>
      </c>
      <c r="E26" s="116">
        <f>'2012 полн'!U19</f>
        <v>17528.43</v>
      </c>
      <c r="F26" s="116">
        <f>'2012 полн'!V19</f>
        <v>0</v>
      </c>
      <c r="G26" s="117">
        <f>'2012 полн'!AF19</f>
        <v>10346.42</v>
      </c>
      <c r="H26" s="117">
        <f>'2012 полн'!AG19</f>
        <v>10766.15</v>
      </c>
      <c r="I26" s="117">
        <f>'2012 полн'!AK19</f>
        <v>1345.5610000000001</v>
      </c>
      <c r="J26" s="116">
        <f>'2012 полн'!AL19</f>
        <v>401.66</v>
      </c>
      <c r="K26" s="116">
        <f>'2012 полн'!AM19+'2012 полн'!AN19+'2012 полн'!AO19+'2012 полн'!AP19+'2012 полн'!AQ19+'2012 полн'!AR19+'2012 полн'!AS19+'2012 полн'!AT19+'2012 полн'!AX19</f>
        <v>13877.353000000001</v>
      </c>
      <c r="L26" s="118">
        <f>'2012 полн'!AU19+'2012 полн'!AV19+'2012 полн'!AW19</f>
        <v>0</v>
      </c>
      <c r="M26" s="118">
        <f>'[3]2011 полн'!AX20</f>
        <v>0</v>
      </c>
      <c r="N26" s="119"/>
      <c r="O26" s="119">
        <f>'2012 полн'!BD19</f>
        <v>28.5</v>
      </c>
      <c r="P26" s="120">
        <f>'2012 полн'!BE19</f>
        <v>15653.074000000002</v>
      </c>
      <c r="Q26" s="121">
        <f>'2012 полн'!BF19</f>
        <v>-4772.924000000003</v>
      </c>
      <c r="R26" s="121">
        <f>'2012 полн'!BG19</f>
        <v>-7182.01</v>
      </c>
    </row>
    <row r="27" spans="1:18" ht="13.5" thickBot="1">
      <c r="A27" s="122" t="s">
        <v>106</v>
      </c>
      <c r="B27" s="113">
        <f>'2012 полн'!B20</f>
        <v>2008.3</v>
      </c>
      <c r="C27" s="114">
        <f>'2012 полн'!C20</f>
        <v>17170.965</v>
      </c>
      <c r="D27" s="115">
        <f>'2012 полн'!D20</f>
        <v>419.73</v>
      </c>
      <c r="E27" s="116">
        <f>'2012 полн'!U20</f>
        <v>17528.43</v>
      </c>
      <c r="F27" s="116">
        <f>'2012 полн'!V20</f>
        <v>0</v>
      </c>
      <c r="G27" s="117">
        <f>'2012 полн'!AF20</f>
        <v>13782.72</v>
      </c>
      <c r="H27" s="117">
        <f>'2012 полн'!AG20</f>
        <v>14202.449999999999</v>
      </c>
      <c r="I27" s="117">
        <f>'2012 полн'!AK20</f>
        <v>1345.5610000000001</v>
      </c>
      <c r="J27" s="116">
        <f>'2012 полн'!AL20</f>
        <v>401.66</v>
      </c>
      <c r="K27" s="116">
        <f>'2012 полн'!AM20+'2012 полн'!AN20+'2012 полн'!AO20+'2012 полн'!AP20+'2012 полн'!AQ20+'2012 полн'!AR20+'2012 полн'!AS20+'2012 полн'!AT20+'2012 полн'!AX20</f>
        <v>13877.353000000001</v>
      </c>
      <c r="L27" s="118">
        <f>'2012 полн'!AU20+'2012 полн'!AV20+'2012 полн'!AW20</f>
        <v>0</v>
      </c>
      <c r="M27" s="118">
        <f>'[3]2011 полн'!AX21</f>
        <v>0</v>
      </c>
      <c r="N27" s="119"/>
      <c r="O27" s="119">
        <f>'2012 полн'!BD20</f>
        <v>28.5</v>
      </c>
      <c r="P27" s="120">
        <f>'2012 полн'!BE20</f>
        <v>15653.074000000002</v>
      </c>
      <c r="Q27" s="121">
        <f>'2012 полн'!BF20</f>
        <v>-1336.6240000000034</v>
      </c>
      <c r="R27" s="121">
        <f>'2012 полн'!BG20</f>
        <v>-3745.710000000001</v>
      </c>
    </row>
    <row r="28" spans="1:20" s="101" customFormat="1" ht="13.5" thickBot="1">
      <c r="A28" s="124" t="s">
        <v>4</v>
      </c>
      <c r="B28" s="135"/>
      <c r="C28" s="136">
        <f aca="true" t="shared" si="0" ref="C28:Q28">SUM(C16:C27)</f>
        <v>206051.58</v>
      </c>
      <c r="D28" s="136">
        <f t="shared" si="0"/>
        <v>5036.76</v>
      </c>
      <c r="E28" s="136">
        <f t="shared" si="0"/>
        <v>207414.15999999997</v>
      </c>
      <c r="F28" s="136">
        <f t="shared" si="0"/>
        <v>0</v>
      </c>
      <c r="G28" s="136">
        <f t="shared" si="0"/>
        <v>157959.29</v>
      </c>
      <c r="H28" s="136">
        <f t="shared" si="0"/>
        <v>162996.05</v>
      </c>
      <c r="I28" s="136">
        <f t="shared" si="0"/>
        <v>16146.731999999998</v>
      </c>
      <c r="J28" s="136">
        <f t="shared" si="0"/>
        <v>4819.919999999999</v>
      </c>
      <c r="K28" s="136">
        <f t="shared" si="0"/>
        <v>153028.521</v>
      </c>
      <c r="L28" s="136">
        <f t="shared" si="0"/>
        <v>1381</v>
      </c>
      <c r="M28" s="136">
        <f t="shared" si="0"/>
        <v>77.7</v>
      </c>
      <c r="N28" s="136">
        <f t="shared" si="0"/>
        <v>0</v>
      </c>
      <c r="O28" s="136">
        <f t="shared" si="0"/>
        <v>342</v>
      </c>
      <c r="P28" s="136">
        <f t="shared" si="0"/>
        <v>175718.173</v>
      </c>
      <c r="Q28" s="136">
        <f t="shared" si="0"/>
        <v>-11354.12300000003</v>
      </c>
      <c r="R28" s="136">
        <f>SUM(R16:R27)</f>
        <v>-49454.87000000001</v>
      </c>
      <c r="S28" s="100"/>
      <c r="T28" s="100"/>
    </row>
    <row r="29" spans="1:18" ht="13.5" hidden="1" thickBot="1">
      <c r="A29" s="231" t="s">
        <v>61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94"/>
      <c r="Q29" s="95"/>
      <c r="R29" s="95"/>
    </row>
    <row r="30" spans="1:20" s="101" customFormat="1" ht="13.5" hidden="1" thickBot="1">
      <c r="A30" s="125" t="s">
        <v>86</v>
      </c>
      <c r="B30" s="126"/>
      <c r="C30" s="127">
        <f aca="true" t="shared" si="1" ref="C30:R30">C28+C14</f>
        <v>206051.58</v>
      </c>
      <c r="D30" s="127">
        <f t="shared" si="1"/>
        <v>5036.76</v>
      </c>
      <c r="E30" s="127">
        <f t="shared" si="1"/>
        <v>207414.15999999997</v>
      </c>
      <c r="F30" s="127">
        <f t="shared" si="1"/>
        <v>0</v>
      </c>
      <c r="G30" s="127">
        <f t="shared" si="1"/>
        <v>157959.29</v>
      </c>
      <c r="H30" s="127">
        <f t="shared" si="1"/>
        <v>162996.05</v>
      </c>
      <c r="I30" s="127">
        <f t="shared" si="1"/>
        <v>16146.731999999998</v>
      </c>
      <c r="J30" s="127">
        <f t="shared" si="1"/>
        <v>4819.919999999999</v>
      </c>
      <c r="K30" s="127">
        <f t="shared" si="1"/>
        <v>153028.521</v>
      </c>
      <c r="L30" s="127">
        <f t="shared" si="1"/>
        <v>1381</v>
      </c>
      <c r="M30" s="127">
        <f t="shared" si="1"/>
        <v>77.7</v>
      </c>
      <c r="N30" s="127">
        <f t="shared" si="1"/>
        <v>0</v>
      </c>
      <c r="O30" s="127">
        <f t="shared" si="1"/>
        <v>342</v>
      </c>
      <c r="P30" s="127">
        <f t="shared" si="1"/>
        <v>175718.173</v>
      </c>
      <c r="Q30" s="127">
        <f t="shared" si="1"/>
        <v>-11354.12300000003</v>
      </c>
      <c r="R30" s="127">
        <f t="shared" si="1"/>
        <v>-49454.87000000001</v>
      </c>
      <c r="S30" s="99"/>
      <c r="T30" s="100"/>
    </row>
    <row r="32" spans="1:4" ht="12.75">
      <c r="A32" s="101" t="s">
        <v>51</v>
      </c>
      <c r="D32" s="84" t="s">
        <v>92</v>
      </c>
    </row>
    <row r="33" spans="1:4" ht="12.75">
      <c r="A33" s="123" t="s">
        <v>52</v>
      </c>
      <c r="B33" s="123" t="s">
        <v>53</v>
      </c>
      <c r="C33" s="128" t="s">
        <v>54</v>
      </c>
      <c r="D33" s="128"/>
    </row>
    <row r="34" spans="1:4" ht="12.75">
      <c r="A34" s="129">
        <v>40880</v>
      </c>
      <c r="B34" s="130">
        <v>0</v>
      </c>
      <c r="C34" s="131">
        <f>A34-B34</f>
        <v>40880</v>
      </c>
      <c r="D34" s="132"/>
    </row>
    <row r="35" ht="12.75">
      <c r="A35" s="133"/>
    </row>
    <row r="36" s="101" customFormat="1" ht="12.75">
      <c r="A36" s="101" t="s">
        <v>100</v>
      </c>
    </row>
    <row r="37" s="101" customFormat="1" ht="12.75">
      <c r="A37" s="101" t="s">
        <v>101</v>
      </c>
    </row>
    <row r="38" ht="12.75">
      <c r="A38" s="84" t="s">
        <v>99</v>
      </c>
    </row>
    <row r="39" ht="12.75">
      <c r="A39" s="84" t="s">
        <v>96</v>
      </c>
    </row>
    <row r="40" ht="12.75">
      <c r="A40" s="84" t="s">
        <v>97</v>
      </c>
    </row>
    <row r="41" ht="12.75">
      <c r="A41" s="84" t="s">
        <v>98</v>
      </c>
    </row>
    <row r="43" spans="1:7" ht="12.75">
      <c r="A43" s="84" t="s">
        <v>55</v>
      </c>
      <c r="G43" s="84" t="s">
        <v>56</v>
      </c>
    </row>
    <row r="47" ht="12.75">
      <c r="A47" s="84" t="s">
        <v>93</v>
      </c>
    </row>
    <row r="48" ht="12.75">
      <c r="A48" s="84" t="s">
        <v>94</v>
      </c>
    </row>
  </sheetData>
  <sheetProtection/>
  <mergeCells count="27">
    <mergeCell ref="G8:H9"/>
    <mergeCell ref="B1:H1"/>
    <mergeCell ref="B2:H2"/>
    <mergeCell ref="A5:O5"/>
    <mergeCell ref="A6:G6"/>
    <mergeCell ref="A7:D7"/>
    <mergeCell ref="E7:F7"/>
    <mergeCell ref="Q8:Q11"/>
    <mergeCell ref="R8:R11"/>
    <mergeCell ref="E10:F10"/>
    <mergeCell ref="H10:H11"/>
    <mergeCell ref="I10:I11"/>
    <mergeCell ref="J10:J11"/>
    <mergeCell ref="K10:K11"/>
    <mergeCell ref="L10:L11"/>
    <mergeCell ref="M10:M11"/>
    <mergeCell ref="E8:F9"/>
    <mergeCell ref="N10:N11"/>
    <mergeCell ref="O10:O11"/>
    <mergeCell ref="P10:P11"/>
    <mergeCell ref="A13:O13"/>
    <mergeCell ref="A29:O29"/>
    <mergeCell ref="I8:P9"/>
    <mergeCell ref="A8:A11"/>
    <mergeCell ref="B8:B11"/>
    <mergeCell ref="C8:C11"/>
    <mergeCell ref="D8:D11"/>
  </mergeCells>
  <printOptions/>
  <pageMargins left="0.2362204724409449" right="0.11811023622047245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4">
      <selection activeCell="I46" sqref="I46:M46"/>
    </sheetView>
  </sheetViews>
  <sheetFormatPr defaultColWidth="9.00390625" defaultRowHeight="12.75"/>
  <cols>
    <col min="1" max="1" width="10.00390625" style="84" customWidth="1"/>
    <col min="2" max="2" width="8.375" style="84" customWidth="1"/>
    <col min="3" max="3" width="11.875" style="84" customWidth="1"/>
    <col min="4" max="4" width="10.75390625" style="84" customWidth="1"/>
    <col min="5" max="5" width="11.625" style="84" customWidth="1"/>
    <col min="6" max="6" width="9.875" style="84" customWidth="1"/>
    <col min="7" max="7" width="10.00390625" style="84" customWidth="1"/>
    <col min="8" max="8" width="11.375" style="84" customWidth="1"/>
    <col min="9" max="9" width="9.25390625" style="84" customWidth="1"/>
    <col min="10" max="10" width="9.875" style="84" customWidth="1"/>
    <col min="11" max="11" width="10.875" style="84" customWidth="1"/>
    <col min="12" max="12" width="10.125" style="84" customWidth="1"/>
    <col min="13" max="13" width="11.375" style="84" customWidth="1"/>
    <col min="14" max="14" width="12.625" style="84" customWidth="1"/>
    <col min="15" max="15" width="11.00390625" style="84" customWidth="1"/>
    <col min="16" max="16" width="10.75390625" style="84" customWidth="1"/>
    <col min="17" max="16384" width="9.125" style="84" customWidth="1"/>
  </cols>
  <sheetData>
    <row r="1" spans="2:8" ht="20.25" customHeight="1">
      <c r="B1" s="268" t="s">
        <v>39</v>
      </c>
      <c r="C1" s="268"/>
      <c r="D1" s="268"/>
      <c r="E1" s="268"/>
      <c r="F1" s="268"/>
      <c r="G1" s="268"/>
      <c r="H1" s="268"/>
    </row>
    <row r="2" spans="2:11" ht="21" customHeight="1">
      <c r="B2" s="268" t="s">
        <v>40</v>
      </c>
      <c r="C2" s="268"/>
      <c r="D2" s="268"/>
      <c r="E2" s="268"/>
      <c r="F2" s="268"/>
      <c r="G2" s="268"/>
      <c r="H2" s="268"/>
      <c r="J2" s="85"/>
      <c r="K2" s="85"/>
    </row>
    <row r="5" spans="1:13" ht="12.75">
      <c r="A5" s="269" t="s">
        <v>102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2.75">
      <c r="A6" s="270" t="s">
        <v>107</v>
      </c>
      <c r="B6" s="270"/>
      <c r="C6" s="270"/>
      <c r="D6" s="270"/>
      <c r="E6" s="270"/>
      <c r="F6" s="270"/>
      <c r="G6" s="270"/>
      <c r="H6" s="86"/>
      <c r="I6" s="86"/>
      <c r="J6" s="86"/>
      <c r="K6" s="86"/>
      <c r="L6" s="86"/>
      <c r="M6" s="86"/>
    </row>
    <row r="7" spans="1:14" ht="13.5" thickBot="1">
      <c r="A7" s="271" t="s">
        <v>110</v>
      </c>
      <c r="B7" s="271"/>
      <c r="C7" s="271"/>
      <c r="D7" s="271"/>
      <c r="E7" s="271">
        <v>9.51</v>
      </c>
      <c r="F7" s="271"/>
      <c r="I7" s="87"/>
      <c r="J7" s="87"/>
      <c r="K7" s="87"/>
      <c r="L7" s="87"/>
      <c r="M7" s="87"/>
      <c r="N7" s="87"/>
    </row>
    <row r="8" spans="1:16" ht="12.75" customHeight="1">
      <c r="A8" s="239" t="s">
        <v>42</v>
      </c>
      <c r="B8" s="242" t="s">
        <v>1</v>
      </c>
      <c r="C8" s="245" t="s">
        <v>111</v>
      </c>
      <c r="D8" s="248" t="s">
        <v>3</v>
      </c>
      <c r="E8" s="260" t="s">
        <v>44</v>
      </c>
      <c r="F8" s="261"/>
      <c r="G8" s="264" t="s">
        <v>59</v>
      </c>
      <c r="H8" s="265"/>
      <c r="I8" s="233" t="s">
        <v>7</v>
      </c>
      <c r="J8" s="234"/>
      <c r="K8" s="234"/>
      <c r="L8" s="234"/>
      <c r="M8" s="234"/>
      <c r="N8" s="235"/>
      <c r="O8" s="251" t="s">
        <v>45</v>
      </c>
      <c r="P8" s="251" t="s">
        <v>9</v>
      </c>
    </row>
    <row r="9" spans="1:16" ht="12.75">
      <c r="A9" s="240"/>
      <c r="B9" s="243"/>
      <c r="C9" s="246"/>
      <c r="D9" s="249"/>
      <c r="E9" s="262"/>
      <c r="F9" s="263"/>
      <c r="G9" s="266"/>
      <c r="H9" s="267"/>
      <c r="I9" s="236"/>
      <c r="J9" s="237"/>
      <c r="K9" s="237"/>
      <c r="L9" s="237"/>
      <c r="M9" s="237"/>
      <c r="N9" s="238"/>
      <c r="O9" s="252"/>
      <c r="P9" s="252"/>
    </row>
    <row r="10" spans="1:16" ht="26.25" customHeight="1">
      <c r="A10" s="240"/>
      <c r="B10" s="243"/>
      <c r="C10" s="246"/>
      <c r="D10" s="249"/>
      <c r="E10" s="254" t="s">
        <v>46</v>
      </c>
      <c r="F10" s="255"/>
      <c r="G10" s="88" t="s">
        <v>88</v>
      </c>
      <c r="H10" s="256" t="s">
        <v>6</v>
      </c>
      <c r="I10" s="257" t="s">
        <v>47</v>
      </c>
      <c r="J10" s="259" t="s">
        <v>89</v>
      </c>
      <c r="K10" s="259" t="s">
        <v>48</v>
      </c>
      <c r="L10" s="259" t="s">
        <v>28</v>
      </c>
      <c r="M10" s="227" t="s">
        <v>90</v>
      </c>
      <c r="N10" s="229" t="s">
        <v>30</v>
      </c>
      <c r="O10" s="252"/>
      <c r="P10" s="252"/>
    </row>
    <row r="11" spans="1:16" ht="66.75" customHeight="1" thickBot="1">
      <c r="A11" s="241"/>
      <c r="B11" s="244"/>
      <c r="C11" s="247"/>
      <c r="D11" s="250"/>
      <c r="E11" s="89" t="s">
        <v>50</v>
      </c>
      <c r="F11" s="90" t="s">
        <v>17</v>
      </c>
      <c r="G11" s="91" t="s">
        <v>91</v>
      </c>
      <c r="H11" s="229"/>
      <c r="I11" s="258"/>
      <c r="J11" s="227"/>
      <c r="K11" s="227"/>
      <c r="L11" s="227"/>
      <c r="M11" s="228"/>
      <c r="N11" s="230"/>
      <c r="O11" s="253"/>
      <c r="P11" s="253"/>
    </row>
    <row r="12" spans="1:16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2">
        <v>7</v>
      </c>
      <c r="H12" s="93">
        <v>8</v>
      </c>
      <c r="I12" s="92">
        <v>9</v>
      </c>
      <c r="J12" s="93">
        <v>10</v>
      </c>
      <c r="K12" s="92">
        <v>11</v>
      </c>
      <c r="L12" s="93">
        <v>12</v>
      </c>
      <c r="M12" s="92">
        <v>13</v>
      </c>
      <c r="N12" s="93">
        <v>14</v>
      </c>
      <c r="O12" s="92">
        <v>15</v>
      </c>
      <c r="P12" s="93">
        <v>16</v>
      </c>
    </row>
    <row r="13" spans="1:16" ht="13.5" hidden="1" thickBot="1">
      <c r="A13" s="231" t="s">
        <v>60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94"/>
      <c r="O13" s="95"/>
      <c r="P13" s="95"/>
    </row>
    <row r="14" spans="1:18" s="101" customFormat="1" ht="13.5" hidden="1" thickBot="1">
      <c r="A14" s="96" t="s">
        <v>86</v>
      </c>
      <c r="B14" s="97"/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9"/>
      <c r="R14" s="100"/>
    </row>
    <row r="15" spans="1:18" ht="13.5" hidden="1" thickBot="1">
      <c r="A15" s="92" t="s">
        <v>87</v>
      </c>
      <c r="B15" s="102"/>
      <c r="C15" s="103"/>
      <c r="D15" s="104"/>
      <c r="E15" s="105"/>
      <c r="F15" s="106"/>
      <c r="G15" s="107"/>
      <c r="H15" s="106"/>
      <c r="I15" s="107"/>
      <c r="J15" s="105"/>
      <c r="K15" s="105"/>
      <c r="L15" s="108"/>
      <c r="M15" s="110"/>
      <c r="N15" s="106"/>
      <c r="O15" s="111"/>
      <c r="P15" s="111"/>
      <c r="Q15" s="85"/>
      <c r="R15" s="85"/>
    </row>
    <row r="16" spans="1:18" ht="13.5" hidden="1" thickBot="1">
      <c r="A16" s="112" t="s">
        <v>31</v>
      </c>
      <c r="B16" s="113">
        <f>'2012 полн'!B9</f>
        <v>2008.3</v>
      </c>
      <c r="C16" s="114">
        <f>'2012 полн'!C9</f>
        <v>17170.965</v>
      </c>
      <c r="D16" s="115">
        <f>'2012 полн'!D9</f>
        <v>419.73</v>
      </c>
      <c r="E16" s="116">
        <f>'2012 полн'!U9</f>
        <v>17373.41</v>
      </c>
      <c r="F16" s="116">
        <f>'2012 полн'!V9</f>
        <v>0</v>
      </c>
      <c r="G16" s="117">
        <f>'2012 полн'!AF9</f>
        <v>0</v>
      </c>
      <c r="H16" s="117">
        <f>'2012 полн'!AG9</f>
        <v>419.73</v>
      </c>
      <c r="I16" s="117">
        <f>'2012 полн'!AK9</f>
        <v>1345.5610000000001</v>
      </c>
      <c r="J16" s="116">
        <f>'2012 полн'!AL9</f>
        <v>401.66</v>
      </c>
      <c r="K16" s="116">
        <f>'2012 полн'!AM9+'2012 полн'!AN9+'2012 полн'!AO9+'2012 полн'!AP9+'2012 полн'!AQ9+'2012 полн'!AR9+'2012 полн'!AS9+'2012 полн'!AT9+'2012 полн'!AX9</f>
        <v>13877.353000000001</v>
      </c>
      <c r="L16" s="118">
        <f>'2012 полн'!AU9+'2012 полн'!AV9+'2012 полн'!AW9</f>
        <v>0</v>
      </c>
      <c r="M16" s="119">
        <f>'2012 полн'!BD9</f>
        <v>28.5</v>
      </c>
      <c r="N16" s="120">
        <f>'2012 полн'!BE9</f>
        <v>15653.074000000002</v>
      </c>
      <c r="O16" s="121">
        <f>'2012 полн'!BF9</f>
        <v>-15119.344000000003</v>
      </c>
      <c r="P16" s="121">
        <f>'2012 полн'!BG9</f>
        <v>-17373.41</v>
      </c>
      <c r="Q16" s="85"/>
      <c r="R16" s="85"/>
    </row>
    <row r="17" spans="1:18" ht="13.5" hidden="1" thickBot="1">
      <c r="A17" s="122" t="s">
        <v>32</v>
      </c>
      <c r="B17" s="113">
        <f>'2012 полн'!B10</f>
        <v>2008.3</v>
      </c>
      <c r="C17" s="114">
        <f>'2012 полн'!C10</f>
        <v>17170.965</v>
      </c>
      <c r="D17" s="115">
        <f>'2012 полн'!D10</f>
        <v>419.73</v>
      </c>
      <c r="E17" s="116">
        <f>'2012 полн'!U10</f>
        <v>16954.04</v>
      </c>
      <c r="F17" s="116">
        <f>'2012 полн'!V10</f>
        <v>0</v>
      </c>
      <c r="G17" s="117">
        <f>'2012 полн'!AF10</f>
        <v>10852.57</v>
      </c>
      <c r="H17" s="117">
        <f>'2012 полн'!AG10</f>
        <v>11272.3</v>
      </c>
      <c r="I17" s="117">
        <f>'2012 полн'!AK10</f>
        <v>1345.5610000000001</v>
      </c>
      <c r="J17" s="116">
        <f>'2012 полн'!AL10</f>
        <v>401.66</v>
      </c>
      <c r="K17" s="116">
        <f>'2012 полн'!AM10+'2012 полн'!AN10+'2012 полн'!AO10+'2012 полн'!AP10+'2012 полн'!AQ10+'2012 полн'!AR10+'2012 полн'!AS10+'2012 полн'!AT10+'2012 полн'!AX10</f>
        <v>13965.353000000001</v>
      </c>
      <c r="L17" s="118">
        <f>'2012 полн'!AU10+'2012 полн'!AV10+'2012 полн'!AW10</f>
        <v>1141</v>
      </c>
      <c r="M17" s="119">
        <f>'2012 полн'!BD10</f>
        <v>28.5</v>
      </c>
      <c r="N17" s="120">
        <f>'2012 полн'!BE10</f>
        <v>16882.074</v>
      </c>
      <c r="O17" s="121">
        <f>'2012 полн'!BF10</f>
        <v>-5495.774000000001</v>
      </c>
      <c r="P17" s="121">
        <f>'2012 полн'!BG10</f>
        <v>-6101.470000000001</v>
      </c>
      <c r="Q17" s="85"/>
      <c r="R17" s="85"/>
    </row>
    <row r="18" spans="1:18" ht="13.5" hidden="1" thickBot="1">
      <c r="A18" s="122" t="s">
        <v>33</v>
      </c>
      <c r="B18" s="113">
        <f>'2012 полн'!B11</f>
        <v>2008.3</v>
      </c>
      <c r="C18" s="114">
        <f>'2012 полн'!C11</f>
        <v>17170.965</v>
      </c>
      <c r="D18" s="115">
        <f>'2012 полн'!D11</f>
        <v>419.73</v>
      </c>
      <c r="E18" s="116">
        <f>'2012 полн'!U11</f>
        <v>17157.72</v>
      </c>
      <c r="F18" s="116">
        <f>'2012 полн'!V11</f>
        <v>0</v>
      </c>
      <c r="G18" s="117">
        <f>'2012 полн'!AF11</f>
        <v>15026.09</v>
      </c>
      <c r="H18" s="117">
        <f>'2012 полн'!AG11</f>
        <v>15445.82</v>
      </c>
      <c r="I18" s="117">
        <f>'2012 полн'!AK11</f>
        <v>1345.5610000000001</v>
      </c>
      <c r="J18" s="116">
        <f>'2012 полн'!AL11</f>
        <v>401.66</v>
      </c>
      <c r="K18" s="116">
        <f>'2012 полн'!AM11+'2012 полн'!AN11+'2012 полн'!AO11+'2012 полн'!AP11+'2012 полн'!AQ11+'2012 полн'!AR11+'2012 полн'!AS11+'2012 полн'!AT11+'2012 полн'!AX11</f>
        <v>13877.353000000001</v>
      </c>
      <c r="L18" s="118">
        <f>'2012 полн'!AU11+'2012 полн'!AV11+'2012 полн'!AW11</f>
        <v>0</v>
      </c>
      <c r="M18" s="119">
        <f>'2012 полн'!BD11</f>
        <v>28.5</v>
      </c>
      <c r="N18" s="120">
        <f>'2012 полн'!BE11</f>
        <v>15653.074000000002</v>
      </c>
      <c r="O18" s="121">
        <f>'2012 полн'!BF11</f>
        <v>-93.25400000000263</v>
      </c>
      <c r="P18" s="121">
        <f>'2012 полн'!BG11</f>
        <v>-2131.630000000001</v>
      </c>
      <c r="Q18" s="85"/>
      <c r="R18" s="85"/>
    </row>
    <row r="19" spans="1:18" ht="13.5" hidden="1" thickBot="1">
      <c r="A19" s="122" t="s">
        <v>34</v>
      </c>
      <c r="B19" s="113">
        <f>'2012 полн'!B12</f>
        <v>2008.3</v>
      </c>
      <c r="C19" s="114">
        <f>'2012 полн'!C12</f>
        <v>17170.965</v>
      </c>
      <c r="D19" s="115">
        <f>'2012 полн'!D12</f>
        <v>419.73</v>
      </c>
      <c r="E19" s="116">
        <f>'2012 полн'!U12</f>
        <v>17157.72</v>
      </c>
      <c r="F19" s="116">
        <f>'2012 полн'!V12</f>
        <v>0</v>
      </c>
      <c r="G19" s="117">
        <f>'2012 полн'!AF12</f>
        <v>8277.050000000001</v>
      </c>
      <c r="H19" s="117">
        <f>'2012 полн'!AG12</f>
        <v>8696.78</v>
      </c>
      <c r="I19" s="117">
        <f>'2012 полн'!AK12</f>
        <v>1345.5610000000001</v>
      </c>
      <c r="J19" s="116">
        <f>'2012 полн'!AL12</f>
        <v>401.66</v>
      </c>
      <c r="K19" s="116">
        <f>'2012 полн'!AM12+'2012 полн'!AN12+'2012 полн'!AO12+'2012 полн'!AP12+'2012 полн'!AQ12+'2012 полн'!AR12+'2012 полн'!AS12+'2012 полн'!AT12+'2012 полн'!AX12</f>
        <v>11582.808</v>
      </c>
      <c r="L19" s="118">
        <f>'2012 полн'!AU12+'2012 полн'!AV12+'2012 полн'!AW12</f>
        <v>0</v>
      </c>
      <c r="M19" s="119">
        <f>'2012 полн'!BD12</f>
        <v>28.5</v>
      </c>
      <c r="N19" s="120">
        <f>'2012 полн'!BE12</f>
        <v>13358.529000000002</v>
      </c>
      <c r="O19" s="121">
        <f>'2012 полн'!BF12</f>
        <v>-4547.749000000002</v>
      </c>
      <c r="P19" s="121">
        <f>'2012 полн'!BG12</f>
        <v>-8880.67</v>
      </c>
      <c r="Q19" s="85"/>
      <c r="R19" s="85"/>
    </row>
    <row r="20" spans="1:18" ht="13.5" hidden="1" thickBot="1">
      <c r="A20" s="122" t="s">
        <v>35</v>
      </c>
      <c r="B20" s="113">
        <f>'2012 полн'!B13</f>
        <v>2008.3</v>
      </c>
      <c r="C20" s="114">
        <f>'2012 полн'!C13</f>
        <v>17170.965</v>
      </c>
      <c r="D20" s="115">
        <f>'2012 полн'!D13</f>
        <v>419.73</v>
      </c>
      <c r="E20" s="116">
        <f>'2012 полн'!U13</f>
        <v>17157.72</v>
      </c>
      <c r="F20" s="116">
        <f>'2012 полн'!V13</f>
        <v>0</v>
      </c>
      <c r="G20" s="117">
        <f>'2012 полн'!AF13</f>
        <v>14946.400000000001</v>
      </c>
      <c r="H20" s="117">
        <f>'2012 полн'!AG13</f>
        <v>15366.130000000001</v>
      </c>
      <c r="I20" s="117">
        <f>'2012 полн'!AK13</f>
        <v>1345.5610000000001</v>
      </c>
      <c r="J20" s="116">
        <f>'2012 полн'!AL13</f>
        <v>401.66</v>
      </c>
      <c r="K20" s="116">
        <f>'2012 полн'!AM13+'2012 полн'!AN13+'2012 полн'!AO13+'2012 полн'!AP13+'2012 полн'!AQ13+'2012 полн'!AR13+'2012 полн'!AS13+'2012 полн'!AT13+'2012 полн'!AX13</f>
        <v>11567.808</v>
      </c>
      <c r="L20" s="118">
        <f>'2012 полн'!AU13+'2012 полн'!AV13+'2012 полн'!AW13</f>
        <v>0</v>
      </c>
      <c r="M20" s="119">
        <f>'2012 полн'!BD13</f>
        <v>28.5</v>
      </c>
      <c r="N20" s="120">
        <f>'2012 полн'!BE13</f>
        <v>13343.529000000002</v>
      </c>
      <c r="O20" s="121">
        <f>'2012 полн'!BF13</f>
        <v>2136.6009999999987</v>
      </c>
      <c r="P20" s="121">
        <f>'2012 полн'!BG13</f>
        <v>-2211.3199999999997</v>
      </c>
      <c r="Q20" s="85"/>
      <c r="R20" s="85"/>
    </row>
    <row r="21" spans="1:18" ht="13.5" hidden="1" thickBot="1">
      <c r="A21" s="122" t="s">
        <v>36</v>
      </c>
      <c r="B21" s="113">
        <f>'2012 полн'!B14</f>
        <v>2008.3</v>
      </c>
      <c r="C21" s="114">
        <f>'2012 полн'!C14</f>
        <v>17170.965</v>
      </c>
      <c r="D21" s="115">
        <f>'2012 полн'!D14</f>
        <v>419.73</v>
      </c>
      <c r="E21" s="116">
        <f>'2012 полн'!U14</f>
        <v>17157.73</v>
      </c>
      <c r="F21" s="116">
        <f>'2012 полн'!V14</f>
        <v>0</v>
      </c>
      <c r="G21" s="117">
        <f>'2012 полн'!AF14</f>
        <v>17682.96</v>
      </c>
      <c r="H21" s="117">
        <f>'2012 полн'!AG14</f>
        <v>18102.69</v>
      </c>
      <c r="I21" s="117">
        <f>'2012 полн'!AK14</f>
        <v>1345.5610000000001</v>
      </c>
      <c r="J21" s="116">
        <f>'2012 полн'!AL14</f>
        <v>401.66</v>
      </c>
      <c r="K21" s="116">
        <f>'2012 полн'!AM14+'2012 полн'!AN14+'2012 полн'!AO14+'2012 полн'!AP14+'2012 полн'!AQ14+'2012 полн'!AR14+'2012 полн'!AS14+'2012 полн'!AT14+'2012 полн'!AX14</f>
        <v>11567.808</v>
      </c>
      <c r="L21" s="118">
        <f>'2012 полн'!AU14+'2012 полн'!AV14+'2012 полн'!AW14</f>
        <v>0</v>
      </c>
      <c r="M21" s="119">
        <f>'2012 полн'!BD14</f>
        <v>28.5</v>
      </c>
      <c r="N21" s="120">
        <f>'2012 полн'!BE14</f>
        <v>13343.529000000002</v>
      </c>
      <c r="O21" s="121">
        <f>'2012 полн'!BF14</f>
        <v>4873.160999999996</v>
      </c>
      <c r="P21" s="121">
        <f>'2012 полн'!BG14</f>
        <v>525.2299999999996</v>
      </c>
      <c r="Q21" s="85"/>
      <c r="R21" s="85"/>
    </row>
    <row r="22" spans="1:16" ht="13.5" hidden="1" thickBot="1">
      <c r="A22" s="122" t="s">
        <v>37</v>
      </c>
      <c r="B22" s="113">
        <f>'2012 полн'!B15</f>
        <v>2008.3</v>
      </c>
      <c r="C22" s="114">
        <f>'2012 полн'!C15</f>
        <v>17170.965</v>
      </c>
      <c r="D22" s="115">
        <f>'2012 полн'!D15</f>
        <v>419.73</v>
      </c>
      <c r="E22" s="116">
        <f>'2012 полн'!U15</f>
        <v>17157.72</v>
      </c>
      <c r="F22" s="116">
        <f>'2012 полн'!V15</f>
        <v>0</v>
      </c>
      <c r="G22" s="117">
        <f>'2012 полн'!AF15</f>
        <v>10399.080000000002</v>
      </c>
      <c r="H22" s="117">
        <f>'2012 полн'!AG15</f>
        <v>10818.810000000001</v>
      </c>
      <c r="I22" s="117">
        <f>'2012 полн'!AK15</f>
        <v>1345.5610000000001</v>
      </c>
      <c r="J22" s="116">
        <f>'2012 полн'!AL15</f>
        <v>401.66</v>
      </c>
      <c r="K22" s="116">
        <f>'2012 полн'!AM15+'2012 полн'!AN15+'2012 полн'!AO15+'2012 полн'!AP15+'2012 полн'!AQ15+'2012 полн'!AR15+'2012 полн'!AS15+'2012 полн'!AT15+'2012 полн'!AX15</f>
        <v>11673.668000000001</v>
      </c>
      <c r="L22" s="118">
        <f>'2012 полн'!AU15+'2012 полн'!AV15+'2012 полн'!AW15</f>
        <v>0</v>
      </c>
      <c r="M22" s="119">
        <f>'2012 полн'!BD15</f>
        <v>28.5</v>
      </c>
      <c r="N22" s="120">
        <f>'2012 полн'!BE15</f>
        <v>13449.389000000003</v>
      </c>
      <c r="O22" s="121">
        <f>'2012 полн'!BF15</f>
        <v>-2516.5790000000015</v>
      </c>
      <c r="P22" s="121">
        <f>'2012 полн'!BG15</f>
        <v>-6758.639999999999</v>
      </c>
    </row>
    <row r="23" spans="1:16" ht="13.5" hidden="1" thickBot="1">
      <c r="A23" s="134" t="s">
        <v>38</v>
      </c>
      <c r="B23" s="113">
        <f>'2012 полн'!B16</f>
        <v>2008.3</v>
      </c>
      <c r="C23" s="114">
        <f>'2012 полн'!C16</f>
        <v>17170.965</v>
      </c>
      <c r="D23" s="115">
        <f>'2012 полн'!D16</f>
        <v>419.73</v>
      </c>
      <c r="E23" s="116">
        <f>'2012 полн'!U16</f>
        <v>17176.21</v>
      </c>
      <c r="F23" s="116">
        <f>'2012 полн'!V16</f>
        <v>0</v>
      </c>
      <c r="G23" s="117">
        <f>'2012 полн'!AF16</f>
        <v>14397.06</v>
      </c>
      <c r="H23" s="117">
        <f>'2012 полн'!AG16</f>
        <v>14816.789999999999</v>
      </c>
      <c r="I23" s="117">
        <f>'2012 полн'!AK16</f>
        <v>1345.5610000000001</v>
      </c>
      <c r="J23" s="116">
        <f>'2012 полн'!AL16</f>
        <v>401.66</v>
      </c>
      <c r="K23" s="116">
        <f>'2012 полн'!AM16+'2012 полн'!AN16+'2012 полн'!AO16+'2012 полн'!AP16+'2012 полн'!AQ16+'2012 полн'!AR16+'2012 полн'!AS16+'2012 полн'!AT16+'2012 полн'!AX16</f>
        <v>11567.808</v>
      </c>
      <c r="L23" s="118">
        <f>'2012 полн'!AU16+'2012 полн'!AV16+'2012 полн'!AW16</f>
        <v>0</v>
      </c>
      <c r="M23" s="119">
        <f>'2012 полн'!BD16</f>
        <v>28.5</v>
      </c>
      <c r="N23" s="120">
        <f>'2012 полн'!BE16</f>
        <v>13343.529000000002</v>
      </c>
      <c r="O23" s="121">
        <f>'2012 полн'!BF16</f>
        <v>1587.2609999999968</v>
      </c>
      <c r="P23" s="121">
        <f>'2012 полн'!BG16</f>
        <v>-2779.1499999999996</v>
      </c>
    </row>
    <row r="24" spans="1:16" ht="13.5" hidden="1" thickBot="1">
      <c r="A24" s="122" t="s">
        <v>103</v>
      </c>
      <c r="B24" s="113">
        <f>'2012 полн'!B17</f>
        <v>2008.3</v>
      </c>
      <c r="C24" s="114">
        <f>'2012 полн'!C17</f>
        <v>17170.965</v>
      </c>
      <c r="D24" s="115">
        <f>'2012 полн'!D17</f>
        <v>419.73</v>
      </c>
      <c r="E24" s="116">
        <f>'2012 полн'!U17</f>
        <v>17532.82</v>
      </c>
      <c r="F24" s="116">
        <f>'2012 полн'!V17</f>
        <v>0</v>
      </c>
      <c r="G24" s="117">
        <f>'2012 полн'!AF17</f>
        <v>26481.51</v>
      </c>
      <c r="H24" s="117">
        <f>'2012 полн'!AG17</f>
        <v>26901.239999999998</v>
      </c>
      <c r="I24" s="117">
        <f>'2012 полн'!AK17</f>
        <v>1345.5610000000001</v>
      </c>
      <c r="J24" s="116">
        <f>'2012 полн'!AL17</f>
        <v>401.66</v>
      </c>
      <c r="K24" s="116">
        <f>'2012 полн'!AM17+'2012 полн'!AN17+'2012 полн'!AO17+'2012 полн'!AP17+'2012 полн'!AQ17+'2012 полн'!AR17+'2012 полн'!AS17+'2012 полн'!AT17+'2012 полн'!AX17</f>
        <v>11567.808</v>
      </c>
      <c r="L24" s="118">
        <f>'2012 полн'!AU17+'2012 полн'!AV17+'2012 полн'!AW17</f>
        <v>240</v>
      </c>
      <c r="M24" s="119">
        <f>'2012 полн'!BD17</f>
        <v>28.5</v>
      </c>
      <c r="N24" s="120">
        <f>'2012 полн'!BE17</f>
        <v>13583.529000000002</v>
      </c>
      <c r="O24" s="121">
        <f>'2012 полн'!BF17</f>
        <v>13431.710999999996</v>
      </c>
      <c r="P24" s="121">
        <f>'2012 полн'!BG17</f>
        <v>8948.689999999999</v>
      </c>
    </row>
    <row r="25" spans="1:16" ht="13.5" hidden="1" thickBot="1">
      <c r="A25" s="122" t="s">
        <v>104</v>
      </c>
      <c r="B25" s="113">
        <f>'2012 полн'!B18</f>
        <v>2008.3</v>
      </c>
      <c r="C25" s="114">
        <f>'2012 полн'!C18</f>
        <v>17170.965</v>
      </c>
      <c r="D25" s="115">
        <f>'2012 полн'!D18</f>
        <v>419.73</v>
      </c>
      <c r="E25" s="116">
        <f>'2012 полн'!U18</f>
        <v>17532.21</v>
      </c>
      <c r="F25" s="116">
        <f>'2012 полн'!V18</f>
        <v>0</v>
      </c>
      <c r="G25" s="117">
        <f>'2012 полн'!AF18</f>
        <v>15767.43</v>
      </c>
      <c r="H25" s="117">
        <f>'2012 полн'!AG18</f>
        <v>16187.16</v>
      </c>
      <c r="I25" s="117">
        <f>'2012 полн'!AK18</f>
        <v>1345.5610000000001</v>
      </c>
      <c r="J25" s="116">
        <f>'2012 полн'!AL18</f>
        <v>401.66</v>
      </c>
      <c r="K25" s="116">
        <f>'2012 полн'!AM18+'2012 полн'!AN18+'2012 полн'!AO18+'2012 полн'!AP18+'2012 полн'!AQ18+'2012 полн'!AR18+'2012 полн'!AS18+'2012 полн'!AT18+'2012 полн'!AX18</f>
        <v>14026.048</v>
      </c>
      <c r="L25" s="118">
        <f>'2012 полн'!AU18+'2012 полн'!AV18+'2012 полн'!AW18</f>
        <v>0</v>
      </c>
      <c r="M25" s="119">
        <f>'2012 полн'!BD18</f>
        <v>28.5</v>
      </c>
      <c r="N25" s="120">
        <f>'2012 полн'!BE18</f>
        <v>15801.769000000002</v>
      </c>
      <c r="O25" s="121">
        <f>'2012 полн'!BF18</f>
        <v>499.3909999999978</v>
      </c>
      <c r="P25" s="121">
        <f>'2012 полн'!BG18</f>
        <v>-1764.7799999999988</v>
      </c>
    </row>
    <row r="26" spans="1:16" ht="13.5" hidden="1" thickBot="1">
      <c r="A26" s="122" t="s">
        <v>105</v>
      </c>
      <c r="B26" s="113">
        <f>'2012 полн'!B19</f>
        <v>2008.3</v>
      </c>
      <c r="C26" s="114">
        <f>'2012 полн'!C19</f>
        <v>17170.965</v>
      </c>
      <c r="D26" s="115">
        <f>'2012 полн'!D19</f>
        <v>419.73</v>
      </c>
      <c r="E26" s="116">
        <f>'2012 полн'!U19</f>
        <v>17528.43</v>
      </c>
      <c r="F26" s="116">
        <f>'2012 полн'!V19</f>
        <v>0</v>
      </c>
      <c r="G26" s="117">
        <f>'2012 полн'!AF19</f>
        <v>10346.42</v>
      </c>
      <c r="H26" s="117">
        <f>'2012 полн'!AG19</f>
        <v>10766.15</v>
      </c>
      <c r="I26" s="117">
        <f>'2012 полн'!AK19</f>
        <v>1345.5610000000001</v>
      </c>
      <c r="J26" s="116">
        <f>'2012 полн'!AL19</f>
        <v>401.66</v>
      </c>
      <c r="K26" s="116">
        <f>'2012 полн'!AM19+'2012 полн'!AN19+'2012 полн'!AO19+'2012 полн'!AP19+'2012 полн'!AQ19+'2012 полн'!AR19+'2012 полн'!AS19+'2012 полн'!AT19+'2012 полн'!AX19</f>
        <v>13877.353000000001</v>
      </c>
      <c r="L26" s="118">
        <f>'2012 полн'!AU19+'2012 полн'!AV19+'2012 полн'!AW19</f>
        <v>0</v>
      </c>
      <c r="M26" s="119">
        <f>'2012 полн'!BD19</f>
        <v>28.5</v>
      </c>
      <c r="N26" s="120">
        <f>'2012 полн'!BE19</f>
        <v>15653.074000000002</v>
      </c>
      <c r="O26" s="121">
        <f>'2012 полн'!BF19</f>
        <v>-4772.924000000003</v>
      </c>
      <c r="P26" s="121">
        <f>'2012 полн'!BG19</f>
        <v>-7182.01</v>
      </c>
    </row>
    <row r="27" spans="1:16" ht="13.5" hidden="1" thickBot="1">
      <c r="A27" s="122" t="s">
        <v>106</v>
      </c>
      <c r="B27" s="113">
        <f>'2012 полн'!B20</f>
        <v>2008.3</v>
      </c>
      <c r="C27" s="114">
        <f>'2012 полн'!C20</f>
        <v>17170.965</v>
      </c>
      <c r="D27" s="115">
        <f>'2012 полн'!D20</f>
        <v>419.73</v>
      </c>
      <c r="E27" s="116">
        <f>'2012 полн'!U20</f>
        <v>17528.43</v>
      </c>
      <c r="F27" s="116">
        <f>'2012 полн'!V20</f>
        <v>0</v>
      </c>
      <c r="G27" s="117">
        <f>'2012 полн'!AF20</f>
        <v>13782.72</v>
      </c>
      <c r="H27" s="117">
        <f>'2012 полн'!AG20</f>
        <v>14202.449999999999</v>
      </c>
      <c r="I27" s="117">
        <f>'2012 полн'!AK20</f>
        <v>1345.5610000000001</v>
      </c>
      <c r="J27" s="116">
        <f>'2012 полн'!AL20</f>
        <v>401.66</v>
      </c>
      <c r="K27" s="116">
        <f>'2012 полн'!AM20+'2012 полн'!AN20+'2012 полн'!AO20+'2012 полн'!AP20+'2012 полн'!AQ20+'2012 полн'!AR20+'2012 полн'!AS20+'2012 полн'!AT20+'2012 полн'!AX20</f>
        <v>13877.353000000001</v>
      </c>
      <c r="L27" s="118">
        <f>'2012 полн'!AU20+'2012 полн'!AV20+'2012 полн'!AW20</f>
        <v>0</v>
      </c>
      <c r="M27" s="119">
        <f>'2012 полн'!BD20</f>
        <v>28.5</v>
      </c>
      <c r="N27" s="120">
        <f>'2012 полн'!BE20</f>
        <v>15653.074000000002</v>
      </c>
      <c r="O27" s="121">
        <f>'2012 полн'!BF20</f>
        <v>-1336.6240000000034</v>
      </c>
      <c r="P27" s="121">
        <f>'2012 полн'!BG20</f>
        <v>-3745.710000000001</v>
      </c>
    </row>
    <row r="28" spans="1:18" s="101" customFormat="1" ht="12.75" customHeight="1" hidden="1" thickBot="1">
      <c r="A28" s="124" t="s">
        <v>4</v>
      </c>
      <c r="B28" s="135"/>
      <c r="C28" s="136">
        <f aca="true" t="shared" si="0" ref="C28:O28">SUM(C16:C27)</f>
        <v>206051.58</v>
      </c>
      <c r="D28" s="136">
        <f t="shared" si="0"/>
        <v>5036.76</v>
      </c>
      <c r="E28" s="136">
        <f t="shared" si="0"/>
        <v>207414.15999999997</v>
      </c>
      <c r="F28" s="136">
        <f t="shared" si="0"/>
        <v>0</v>
      </c>
      <c r="G28" s="136">
        <f t="shared" si="0"/>
        <v>157959.29</v>
      </c>
      <c r="H28" s="136">
        <f t="shared" si="0"/>
        <v>162996.05</v>
      </c>
      <c r="I28" s="136">
        <f t="shared" si="0"/>
        <v>16146.731999999998</v>
      </c>
      <c r="J28" s="136">
        <f t="shared" si="0"/>
        <v>4819.919999999999</v>
      </c>
      <c r="K28" s="136">
        <f t="shared" si="0"/>
        <v>153028.521</v>
      </c>
      <c r="L28" s="136">
        <f t="shared" si="0"/>
        <v>1381</v>
      </c>
      <c r="M28" s="136">
        <f t="shared" si="0"/>
        <v>342</v>
      </c>
      <c r="N28" s="136">
        <f t="shared" si="0"/>
        <v>175718.173</v>
      </c>
      <c r="O28" s="136">
        <f t="shared" si="0"/>
        <v>-11354.12300000003</v>
      </c>
      <c r="P28" s="136">
        <f>SUM(P16:P27)</f>
        <v>-49454.87000000001</v>
      </c>
      <c r="Q28" s="100"/>
      <c r="R28" s="100"/>
    </row>
    <row r="29" spans="1:16" ht="13.5" thickBot="1">
      <c r="A29" s="231" t="s">
        <v>61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80"/>
      <c r="O29" s="95"/>
      <c r="P29" s="95"/>
    </row>
    <row r="30" spans="1:18" s="101" customFormat="1" ht="13.5" thickBot="1">
      <c r="A30" s="125" t="s">
        <v>86</v>
      </c>
      <c r="B30" s="126"/>
      <c r="C30" s="127">
        <f aca="true" t="shared" si="1" ref="C30:P30">C28+C14</f>
        <v>206051.58</v>
      </c>
      <c r="D30" s="127">
        <f t="shared" si="1"/>
        <v>5036.76</v>
      </c>
      <c r="E30" s="127">
        <f t="shared" si="1"/>
        <v>207414.15999999997</v>
      </c>
      <c r="F30" s="127">
        <f t="shared" si="1"/>
        <v>0</v>
      </c>
      <c r="G30" s="127">
        <f t="shared" si="1"/>
        <v>157959.29</v>
      </c>
      <c r="H30" s="127">
        <f t="shared" si="1"/>
        <v>162996.05</v>
      </c>
      <c r="I30" s="127">
        <f t="shared" si="1"/>
        <v>16146.731999999998</v>
      </c>
      <c r="J30" s="127">
        <f>'2012 полн'!AL21</f>
        <v>4819.919999999999</v>
      </c>
      <c r="K30" s="127">
        <f>'2012 полн'!AM21+'2012 полн'!AN21+'2012 полн'!AO21+'2012 полн'!AP21+'2012 полн'!AQ21+'2012 полн'!AR21+'2012 полн'!AS21</f>
        <v>152670.966</v>
      </c>
      <c r="L30" s="127">
        <f>'2012 полн'!AU21+'2012 полн'!AV21+'2012 полн'!AW21+'2012 полн'!AX21</f>
        <v>1738.555</v>
      </c>
      <c r="M30" s="127">
        <f>'2012 полн'!BD21</f>
        <v>342</v>
      </c>
      <c r="N30" s="127">
        <f>'2012 полн'!BE21</f>
        <v>175718.173</v>
      </c>
      <c r="O30" s="127">
        <f t="shared" si="1"/>
        <v>-11354.12300000003</v>
      </c>
      <c r="P30" s="127">
        <f t="shared" si="1"/>
        <v>-49454.87000000001</v>
      </c>
      <c r="Q30" s="99"/>
      <c r="R30" s="100"/>
    </row>
    <row r="31" spans="1:18" ht="13.5" thickBot="1">
      <c r="A31" s="92" t="s">
        <v>108</v>
      </c>
      <c r="B31" s="102"/>
      <c r="C31" s="103"/>
      <c r="D31" s="104"/>
      <c r="E31" s="105"/>
      <c r="F31" s="106"/>
      <c r="G31" s="107"/>
      <c r="H31" s="106"/>
      <c r="I31" s="107"/>
      <c r="J31" s="105"/>
      <c r="K31" s="105"/>
      <c r="L31" s="108"/>
      <c r="M31" s="110"/>
      <c r="N31" s="106"/>
      <c r="O31" s="111"/>
      <c r="P31" s="111"/>
      <c r="Q31" s="85"/>
      <c r="R31" s="85"/>
    </row>
    <row r="32" spans="1:18" ht="12.75">
      <c r="A32" s="112" t="s">
        <v>31</v>
      </c>
      <c r="B32" s="113">
        <f>'2012 полн'!B23</f>
        <v>2008.3</v>
      </c>
      <c r="C32" s="114">
        <f>'2012 полн'!C23</f>
        <v>17170.965</v>
      </c>
      <c r="D32" s="115">
        <f>'2012 полн'!D23</f>
        <v>419.73</v>
      </c>
      <c r="E32" s="116">
        <f>'2012 полн'!U23</f>
        <v>17528.43</v>
      </c>
      <c r="F32" s="116">
        <f>'2012 полн'!V23</f>
        <v>0</v>
      </c>
      <c r="G32" s="117">
        <f>'2012 полн'!AF23</f>
        <v>23119.339999999997</v>
      </c>
      <c r="H32" s="117">
        <f>'2012 полн'!AG23</f>
        <v>23539.069999999996</v>
      </c>
      <c r="I32" s="117">
        <f>'2012 полн'!AK23</f>
        <v>1345.5610000000001</v>
      </c>
      <c r="J32" s="116">
        <f>'2012 полн'!AL23</f>
        <v>401.66</v>
      </c>
      <c r="K32" s="116">
        <f>'2012 полн'!AM23+'2012 полн'!AN23+'2012 полн'!AO23+'2012 полн'!AP23+'2012 полн'!AQ23+'2012 полн'!AR23+'2012 полн'!AS23</f>
        <v>13877.353000000001</v>
      </c>
      <c r="L32" s="118">
        <f>'2012 полн'!AU23+'2012 полн'!AV23+'2012 полн'!AW23+'2012 полн'!AX23</f>
        <v>0</v>
      </c>
      <c r="M32" s="119">
        <f>'2012 полн'!BD23</f>
        <v>28.5</v>
      </c>
      <c r="N32" s="119">
        <f>'2012 полн'!BE23</f>
        <v>15653.074000000002</v>
      </c>
      <c r="O32" s="119">
        <f>'2012 полн'!BF23</f>
        <v>7999.995999999994</v>
      </c>
      <c r="P32" s="281">
        <f>'2012 полн'!BG23</f>
        <v>5590.909999999996</v>
      </c>
      <c r="Q32" s="85"/>
      <c r="R32" s="85"/>
    </row>
    <row r="33" spans="1:18" ht="12.75">
      <c r="A33" s="122" t="s">
        <v>32</v>
      </c>
      <c r="B33" s="113">
        <f>'2012 полн'!B24</f>
        <v>2008.3</v>
      </c>
      <c r="C33" s="114">
        <f>'2012 полн'!C24</f>
        <v>17170.965</v>
      </c>
      <c r="D33" s="115">
        <f>'2012 полн'!D24</f>
        <v>419.73</v>
      </c>
      <c r="E33" s="116">
        <f>'2012 полн'!U24</f>
        <v>17528.44</v>
      </c>
      <c r="F33" s="116">
        <f>'2012 полн'!V24</f>
        <v>0</v>
      </c>
      <c r="G33" s="117">
        <f>'2012 полн'!AF24</f>
        <v>14897.2</v>
      </c>
      <c r="H33" s="117">
        <f>'2012 полн'!AG24</f>
        <v>15316.93</v>
      </c>
      <c r="I33" s="117">
        <f>'2012 полн'!AK24</f>
        <v>1345.5610000000001</v>
      </c>
      <c r="J33" s="116">
        <f>'2012 полн'!AL24</f>
        <v>401.66</v>
      </c>
      <c r="K33" s="116">
        <f>'2012 полн'!AM24+'2012 полн'!AN24+'2012 полн'!AO24+'2012 полн'!AP24+'2012 полн'!AQ24+'2012 полн'!AR24+'2012 полн'!AS24</f>
        <v>13877.353000000001</v>
      </c>
      <c r="L33" s="118">
        <f>'2012 полн'!AU24+'2012 полн'!AV24+'2012 полн'!AW24+'2012 полн'!AX24</f>
        <v>0</v>
      </c>
      <c r="M33" s="119">
        <f>'2012 полн'!BD24</f>
        <v>28.5</v>
      </c>
      <c r="N33" s="119">
        <f>'2012 полн'!BE24</f>
        <v>15653.074000000002</v>
      </c>
      <c r="O33" s="119">
        <f>'2012 полн'!BF24</f>
        <v>-222.14400000000205</v>
      </c>
      <c r="P33" s="281">
        <f>'2012 полн'!BG24</f>
        <v>-2631.239999999998</v>
      </c>
      <c r="Q33" s="85"/>
      <c r="R33" s="85"/>
    </row>
    <row r="34" spans="1:18" ht="12.75">
      <c r="A34" s="122" t="s">
        <v>33</v>
      </c>
      <c r="B34" s="113">
        <f>'2012 полн'!B25</f>
        <v>2008.3</v>
      </c>
      <c r="C34" s="114">
        <f>'2012 полн'!C25</f>
        <v>17170.965</v>
      </c>
      <c r="D34" s="115">
        <f>'2012 полн'!D25</f>
        <v>419.73</v>
      </c>
      <c r="E34" s="116">
        <f>'2012 полн'!U25</f>
        <v>17528.43</v>
      </c>
      <c r="F34" s="116">
        <f>'2012 полн'!V25</f>
        <v>0</v>
      </c>
      <c r="G34" s="117">
        <f>'2012 полн'!AF25</f>
        <v>14221.61</v>
      </c>
      <c r="H34" s="117">
        <f>'2012 полн'!AG25</f>
        <v>14641.34</v>
      </c>
      <c r="I34" s="117">
        <f>'2012 полн'!AK25</f>
        <v>1345.5610000000001</v>
      </c>
      <c r="J34" s="116">
        <f>'2012 полн'!AL25</f>
        <v>401.66</v>
      </c>
      <c r="K34" s="116">
        <f>'2012 полн'!AM25+'2012 полн'!AN25+'2012 полн'!AO25+'2012 полн'!AP25+'2012 полн'!AQ25+'2012 полн'!AR25+'2012 полн'!AS25</f>
        <v>13877.353000000001</v>
      </c>
      <c r="L34" s="118">
        <f>'2012 полн'!AU25+'2012 полн'!AV25+'2012 полн'!AW25+'2012 полн'!AX25</f>
        <v>277.47</v>
      </c>
      <c r="M34" s="119">
        <f>'2012 полн'!BD25</f>
        <v>28.5</v>
      </c>
      <c r="N34" s="119">
        <f>'2012 полн'!BE25</f>
        <v>15930.544000000002</v>
      </c>
      <c r="O34" s="119">
        <f>'2012 полн'!BF25</f>
        <v>-1175.2040000000015</v>
      </c>
      <c r="P34" s="281">
        <f>'2012 полн'!BG25</f>
        <v>-3306.8199999999997</v>
      </c>
      <c r="Q34" s="85"/>
      <c r="R34" s="85"/>
    </row>
    <row r="35" spans="1:18" ht="12.75">
      <c r="A35" s="122" t="s">
        <v>34</v>
      </c>
      <c r="B35" s="113">
        <f>'2012 полн'!B26</f>
        <v>2008.3</v>
      </c>
      <c r="C35" s="114">
        <f>'2012 полн'!C26</f>
        <v>17170.965</v>
      </c>
      <c r="D35" s="115">
        <f>'2012 полн'!D26</f>
        <v>419.73</v>
      </c>
      <c r="E35" s="116">
        <f>'2012 полн'!U26</f>
        <v>17528.43</v>
      </c>
      <c r="F35" s="116">
        <f>'2012 полн'!V26</f>
        <v>0</v>
      </c>
      <c r="G35" s="117">
        <f>'2012 полн'!AF26</f>
        <v>13682.97</v>
      </c>
      <c r="H35" s="117">
        <f>'2012 полн'!AG26</f>
        <v>14102.699999999999</v>
      </c>
      <c r="I35" s="117">
        <f>'2012 полн'!AK26</f>
        <v>1345.5610000000001</v>
      </c>
      <c r="J35" s="116">
        <f>'2012 полн'!AL26</f>
        <v>401.66</v>
      </c>
      <c r="K35" s="116">
        <f>'2012 полн'!AM26+'2012 полн'!AN26+'2012 полн'!AO26+'2012 полн'!AP26+'2012 полн'!AQ26+'2012 полн'!AR26+'2012 полн'!AS26</f>
        <v>11567.808</v>
      </c>
      <c r="L35" s="118">
        <f>'2012 полн'!AU26+'2012 полн'!AV26+'2012 полн'!AW26+'2012 полн'!AX26</f>
        <v>457.8</v>
      </c>
      <c r="M35" s="119">
        <f>'2012 полн'!BD26</f>
        <v>28.5</v>
      </c>
      <c r="N35" s="119">
        <f>'2012 полн'!BE26</f>
        <v>13801.329000000002</v>
      </c>
      <c r="O35" s="119">
        <f>'2012 полн'!BF26</f>
        <v>415.37099999999737</v>
      </c>
      <c r="P35" s="281">
        <f>'2012 полн'!BG26</f>
        <v>-3845.460000000001</v>
      </c>
      <c r="Q35" s="85"/>
      <c r="R35" s="85"/>
    </row>
    <row r="36" spans="1:18" ht="12.75">
      <c r="A36" s="122" t="s">
        <v>35</v>
      </c>
      <c r="B36" s="113">
        <f>'2012 полн'!B27</f>
        <v>2008.3</v>
      </c>
      <c r="C36" s="114">
        <f>'2012 полн'!C27</f>
        <v>17170.965</v>
      </c>
      <c r="D36" s="115">
        <f>'2012 полн'!D27</f>
        <v>419.73</v>
      </c>
      <c r="E36" s="116">
        <f>'2012 полн'!U27</f>
        <v>17528.43</v>
      </c>
      <c r="F36" s="116">
        <f>'2012 полн'!V27</f>
        <v>0</v>
      </c>
      <c r="G36" s="117">
        <f>'2012 полн'!AF27</f>
        <v>17278.91</v>
      </c>
      <c r="H36" s="117">
        <f>'2012 полн'!AG27</f>
        <v>17698.64</v>
      </c>
      <c r="I36" s="117">
        <f>'2012 полн'!AK27</f>
        <v>1345.5610000000001</v>
      </c>
      <c r="J36" s="116">
        <f>'2012 полн'!AL27</f>
        <v>401.66</v>
      </c>
      <c r="K36" s="116">
        <f>'2012 полн'!AM27+'2012 полн'!AN27+'2012 полн'!AO27+'2012 полн'!AP27+'2012 полн'!AQ27+'2012 полн'!AR27+'2012 полн'!AS27</f>
        <v>11567.808</v>
      </c>
      <c r="L36" s="118">
        <f>'2012 полн'!AU27+'2012 полн'!AV27+'2012 полн'!AW27+'2012 полн'!AX27</f>
        <v>4568.13</v>
      </c>
      <c r="M36" s="119">
        <f>'2012 полн'!BD27</f>
        <v>28.5</v>
      </c>
      <c r="N36" s="119">
        <f>'2012 полн'!BE27</f>
        <v>17911.659000000003</v>
      </c>
      <c r="O36" s="119">
        <f>'2012 полн'!BF27</f>
        <v>-99.01900000000387</v>
      </c>
      <c r="P36" s="281">
        <f>'2012 полн'!BG27</f>
        <v>-249.52000000000044</v>
      </c>
      <c r="Q36" s="85"/>
      <c r="R36" s="85"/>
    </row>
    <row r="37" spans="1:18" ht="12.75">
      <c r="A37" s="122" t="s">
        <v>36</v>
      </c>
      <c r="B37" s="113">
        <f>'2012 полн'!B28</f>
        <v>2008.3</v>
      </c>
      <c r="C37" s="114">
        <f>'2012 полн'!C28</f>
        <v>17170.965</v>
      </c>
      <c r="D37" s="115">
        <f>'2012 полн'!D28</f>
        <v>419.73</v>
      </c>
      <c r="E37" s="116">
        <f>'2012 полн'!U28</f>
        <v>17522.35</v>
      </c>
      <c r="F37" s="116">
        <f>'2012 полн'!V28</f>
        <v>0</v>
      </c>
      <c r="G37" s="117">
        <f>'2012 полн'!AF28</f>
        <v>17004.079999999998</v>
      </c>
      <c r="H37" s="117">
        <f>'2012 полн'!AG28</f>
        <v>17423.809999999998</v>
      </c>
      <c r="I37" s="117">
        <f>'2012 полн'!AK28</f>
        <v>1345.5610000000001</v>
      </c>
      <c r="J37" s="116">
        <f>'2012 полн'!AL28</f>
        <v>401.66</v>
      </c>
      <c r="K37" s="116">
        <f>'2012 полн'!AM28+'2012 полн'!AN28+'2012 полн'!AO28+'2012 полн'!AP28+'2012 полн'!AQ28+'2012 полн'!AR28+'2012 полн'!AS28</f>
        <v>11567.808</v>
      </c>
      <c r="L37" s="118">
        <f>'2012 полн'!AU28+'2012 полн'!AV28+'2012 полн'!AW28+'2012 полн'!AX28</f>
        <v>0</v>
      </c>
      <c r="M37" s="119">
        <f>'2012 полн'!BD28</f>
        <v>28.5</v>
      </c>
      <c r="N37" s="119">
        <f>'2012 полн'!BE28</f>
        <v>13343.529000000002</v>
      </c>
      <c r="O37" s="119">
        <f>'2012 полн'!BF28</f>
        <v>4194.280999999995</v>
      </c>
      <c r="P37" s="281">
        <f>'2012 полн'!BG28</f>
        <v>-518.2700000000004</v>
      </c>
      <c r="Q37" s="85"/>
      <c r="R37" s="85"/>
    </row>
    <row r="38" spans="1:16" ht="12.75">
      <c r="A38" s="122" t="s">
        <v>37</v>
      </c>
      <c r="B38" s="113">
        <f>'2012 полн'!B29</f>
        <v>2008.3</v>
      </c>
      <c r="C38" s="114">
        <f>'2012 полн'!C29</f>
        <v>19098.933</v>
      </c>
      <c r="D38" s="115">
        <f>'2012 полн'!D29</f>
        <v>561.6975</v>
      </c>
      <c r="E38" s="116">
        <f>'2012 полн'!U29</f>
        <v>19482.13</v>
      </c>
      <c r="F38" s="116">
        <f>'2012 полн'!V29</f>
        <v>0</v>
      </c>
      <c r="G38" s="117">
        <f>'2012 полн'!AF29</f>
        <v>18100.64</v>
      </c>
      <c r="H38" s="117">
        <f>'2012 полн'!AG29</f>
        <v>18662.337499999998</v>
      </c>
      <c r="I38" s="117">
        <f>'2012 полн'!AK29</f>
        <v>1506.225</v>
      </c>
      <c r="J38" s="116">
        <f>'2012 полн'!AL29</f>
        <v>401.66</v>
      </c>
      <c r="K38" s="116">
        <f>'2012 полн'!AM29+'2012 полн'!AN29+'2012 полн'!AO29+'2012 полн'!AP29+'2012 полн'!AQ29+'2012 полн'!AR29+'2012 полн'!AS29</f>
        <v>11567.808</v>
      </c>
      <c r="L38" s="118">
        <f>'2012 полн'!AU29+'2012 полн'!AV29+'2012 полн'!AW29+'2012 полн'!AX29</f>
        <v>0</v>
      </c>
      <c r="M38" s="119">
        <f>'2012 полн'!BD29</f>
        <v>28.5</v>
      </c>
      <c r="N38" s="119">
        <f>'2012 полн'!BE29</f>
        <v>13504.193</v>
      </c>
      <c r="O38" s="119">
        <f>'2012 полн'!BF29</f>
        <v>5272.1444999999985</v>
      </c>
      <c r="P38" s="281">
        <f>'2012 полн'!BG29</f>
        <v>-1381.4900000000016</v>
      </c>
    </row>
    <row r="39" spans="1:16" ht="12.75">
      <c r="A39" s="134" t="s">
        <v>38</v>
      </c>
      <c r="B39" s="113">
        <f>'2012 полн'!B30</f>
        <v>2008.3</v>
      </c>
      <c r="C39" s="114">
        <f>'2012 полн'!C30</f>
        <v>19098.933</v>
      </c>
      <c r="D39" s="115">
        <f>'2012 полн'!D30</f>
        <v>0</v>
      </c>
      <c r="E39" s="116">
        <f>'2012 полн'!U30</f>
        <v>19524.21</v>
      </c>
      <c r="F39" s="116">
        <f>'2012 полн'!V30</f>
        <v>0</v>
      </c>
      <c r="G39" s="117">
        <f>'2012 полн'!AF30</f>
        <v>16162.04</v>
      </c>
      <c r="H39" s="117">
        <f>'2012 полн'!AG30</f>
        <v>16162.04</v>
      </c>
      <c r="I39" s="117">
        <f>'2012 полн'!AK30</f>
        <v>1506.225</v>
      </c>
      <c r="J39" s="116">
        <f>'2012 полн'!AL30</f>
        <v>401.66</v>
      </c>
      <c r="K39" s="116">
        <f>'2012 полн'!AM30+'2012 полн'!AN30+'2012 полн'!AO30+'2012 полн'!AP30+'2012 полн'!AQ30+'2012 полн'!AR30+'2012 полн'!AS30</f>
        <v>11567.808</v>
      </c>
      <c r="L39" s="118">
        <f>'2012 полн'!AU30+'2012 полн'!AV30+'2012 полн'!AW30+'2012 полн'!AX30</f>
        <v>958.67</v>
      </c>
      <c r="M39" s="119">
        <f>'2012 полн'!BD30</f>
        <v>28.5</v>
      </c>
      <c r="N39" s="119">
        <f>'2012 полн'!BE30</f>
        <v>14462.863</v>
      </c>
      <c r="O39" s="119">
        <f>'2012 полн'!BF30</f>
        <v>1813.1770000000015</v>
      </c>
      <c r="P39" s="281">
        <f>'2012 полн'!BG30</f>
        <v>-3362.1699999999983</v>
      </c>
    </row>
    <row r="40" spans="1:16" ht="12.75">
      <c r="A40" s="122" t="s">
        <v>103</v>
      </c>
      <c r="B40" s="113">
        <f>'2012 полн'!B31</f>
        <v>2008.3</v>
      </c>
      <c r="C40" s="114">
        <f>'2012 полн'!C31</f>
        <v>19098.933</v>
      </c>
      <c r="D40" s="115">
        <f>'2012 полн'!D31</f>
        <v>0</v>
      </c>
      <c r="E40" s="116">
        <f>'2012 полн'!U31</f>
        <v>19524.21</v>
      </c>
      <c r="F40" s="116">
        <f>'2012 полн'!V31</f>
        <v>0</v>
      </c>
      <c r="G40" s="117">
        <f>'2012 полн'!AF31</f>
        <v>15874.39</v>
      </c>
      <c r="H40" s="117">
        <f>'2012 полн'!AG31</f>
        <v>15874.39</v>
      </c>
      <c r="I40" s="117">
        <f>'2012 полн'!AK31</f>
        <v>1506.225</v>
      </c>
      <c r="J40" s="116">
        <f>'2012 полн'!AL31</f>
        <v>401.66</v>
      </c>
      <c r="K40" s="116">
        <f>'2012 полн'!AM31+'2012 полн'!AN31+'2012 полн'!AO31+'2012 полн'!AP31+'2012 полн'!AQ31+'2012 полн'!AR31+'2012 полн'!AS31</f>
        <v>11567.808</v>
      </c>
      <c r="L40" s="118">
        <f>'2012 полн'!AU31+'2012 полн'!AV31+'2012 полн'!AW31+'2012 полн'!AX31</f>
        <v>4626</v>
      </c>
      <c r="M40" s="119">
        <f>'2012 полн'!BD31</f>
        <v>28.5</v>
      </c>
      <c r="N40" s="119">
        <f>'2012 полн'!BE31</f>
        <v>18130.193</v>
      </c>
      <c r="O40" s="119">
        <f>'2012 полн'!BF31</f>
        <v>-2141.803</v>
      </c>
      <c r="P40" s="281">
        <f>'2012 полн'!BG31</f>
        <v>-3649.8199999999997</v>
      </c>
    </row>
    <row r="41" spans="1:16" ht="12.75">
      <c r="A41" s="122" t="s">
        <v>104</v>
      </c>
      <c r="B41" s="113">
        <f>'2012 полн'!B32</f>
        <v>2008.3</v>
      </c>
      <c r="C41" s="114">
        <f>'2012 полн'!C32</f>
        <v>19098.933</v>
      </c>
      <c r="D41" s="115">
        <f>'2012 полн'!D32</f>
        <v>0</v>
      </c>
      <c r="E41" s="116">
        <f>'2012 полн'!U32</f>
        <v>19524.21</v>
      </c>
      <c r="F41" s="116">
        <f>'2012 полн'!V32</f>
        <v>0</v>
      </c>
      <c r="G41" s="117">
        <f>'2012 полн'!AF32</f>
        <v>14108.230000000001</v>
      </c>
      <c r="H41" s="117">
        <f>'2012 полн'!AG32</f>
        <v>14108.230000000001</v>
      </c>
      <c r="I41" s="117">
        <f>'2012 полн'!AK32</f>
        <v>1506.225</v>
      </c>
      <c r="J41" s="116">
        <f>'2012 полн'!AL32</f>
        <v>401.66</v>
      </c>
      <c r="K41" s="116">
        <f>'2012 полн'!AM32+'2012 полн'!AN32+'2012 полн'!AO32+'2012 полн'!AP32+'2012 полн'!AQ32+'2012 полн'!AR32+'2012 полн'!AS32</f>
        <v>13877.353000000001</v>
      </c>
      <c r="L41" s="118">
        <f>'2012 полн'!AU32+'2012 полн'!AV32+'2012 полн'!AW32+'2012 полн'!AX32</f>
        <v>1349</v>
      </c>
      <c r="M41" s="119">
        <f>'2012 полн'!BD32</f>
        <v>28.5</v>
      </c>
      <c r="N41" s="119">
        <f>'2012 полн'!BE32</f>
        <v>17162.737999999998</v>
      </c>
      <c r="O41" s="119">
        <f>'2012 полн'!BF32</f>
        <v>-2940.507999999996</v>
      </c>
      <c r="P41" s="281">
        <f>'2012 полн'!BG32</f>
        <v>-5415.979999999998</v>
      </c>
    </row>
    <row r="42" spans="1:16" ht="12.75">
      <c r="A42" s="122" t="s">
        <v>105</v>
      </c>
      <c r="B42" s="113">
        <f>'2012 полн'!B33</f>
        <v>2008.3</v>
      </c>
      <c r="C42" s="114">
        <f>'2012 полн'!C33</f>
        <v>19098.933</v>
      </c>
      <c r="D42" s="115">
        <f>'2012 полн'!D33</f>
        <v>0</v>
      </c>
      <c r="E42" s="116">
        <f>'2012 полн'!U33</f>
        <v>19524.21</v>
      </c>
      <c r="F42" s="116">
        <f>'2012 полн'!V33</f>
        <v>0</v>
      </c>
      <c r="G42" s="117">
        <f>'2012 полн'!AF33</f>
        <v>19018.56</v>
      </c>
      <c r="H42" s="117">
        <f>'2012 полн'!AG33</f>
        <v>19018.56</v>
      </c>
      <c r="I42" s="117">
        <f>'2012 полн'!AK33</f>
        <v>1506.225</v>
      </c>
      <c r="J42" s="116">
        <f>'2012 полн'!AL33</f>
        <v>401.66</v>
      </c>
      <c r="K42" s="116">
        <f>'2012 полн'!AM33+'2012 полн'!AN33+'2012 полн'!AO33+'2012 полн'!AP33+'2012 полн'!AQ33+'2012 полн'!AR33+'2012 полн'!AS33</f>
        <v>13877.353000000001</v>
      </c>
      <c r="L42" s="118">
        <f>'2012 полн'!AU33+'2012 полн'!AV33+'2012 полн'!AW33+'2012 полн'!AX33</f>
        <v>0</v>
      </c>
      <c r="M42" s="119">
        <f>'2012 полн'!BD33</f>
        <v>28.5</v>
      </c>
      <c r="N42" s="119">
        <f>'2012 полн'!BE33</f>
        <v>15813.738</v>
      </c>
      <c r="O42" s="119">
        <f>'2012 полн'!BF33</f>
        <v>3318.822000000002</v>
      </c>
      <c r="P42" s="281">
        <f>'2012 полн'!BG33</f>
        <v>-505.6499999999978</v>
      </c>
    </row>
    <row r="43" spans="1:16" ht="13.5" thickBot="1">
      <c r="A43" s="122" t="s">
        <v>106</v>
      </c>
      <c r="B43" s="113">
        <f>'2012 полн'!B34</f>
        <v>2008.3</v>
      </c>
      <c r="C43" s="114">
        <f>'2012 полн'!C34</f>
        <v>19098.933</v>
      </c>
      <c r="D43" s="115">
        <f>'2012 полн'!D34</f>
        <v>0</v>
      </c>
      <c r="E43" s="116">
        <f>'2012 полн'!U34</f>
        <v>19524.21</v>
      </c>
      <c r="F43" s="116">
        <f>'2012 полн'!V34</f>
        <v>0</v>
      </c>
      <c r="G43" s="117">
        <f>'2012 полн'!AF34</f>
        <v>16143.3</v>
      </c>
      <c r="H43" s="117">
        <f>'2012 полн'!AG34</f>
        <v>16143.3</v>
      </c>
      <c r="I43" s="117">
        <f>'2012 полн'!AK34</f>
        <v>1506.225</v>
      </c>
      <c r="J43" s="116">
        <f>'2012 полн'!AL34</f>
        <v>401.66</v>
      </c>
      <c r="K43" s="116">
        <f>'2012 полн'!AM34+'2012 полн'!AN34+'2012 полн'!AO34+'2012 полн'!AP34+'2012 полн'!AQ34+'2012 полн'!AR34+'2012 полн'!AS34</f>
        <v>13877.353000000001</v>
      </c>
      <c r="L43" s="118">
        <f>'2012 полн'!AU34+'2012 полн'!AV34+'2012 полн'!AW34+'2012 полн'!AX34</f>
        <v>9</v>
      </c>
      <c r="M43" s="119">
        <f>'2012 полн'!BD34</f>
        <v>28.5</v>
      </c>
      <c r="N43" s="119">
        <f>'2012 полн'!BE34</f>
        <v>15822.738</v>
      </c>
      <c r="O43" s="119">
        <f>'2012 полн'!BF34</f>
        <v>434.5619999999999</v>
      </c>
      <c r="P43" s="281">
        <f>'2012 полн'!BG34</f>
        <v>-3380.91</v>
      </c>
    </row>
    <row r="44" spans="1:18" s="101" customFormat="1" ht="12.75" customHeight="1" thickBot="1">
      <c r="A44" s="124" t="s">
        <v>4</v>
      </c>
      <c r="B44" s="135"/>
      <c r="C44" s="136">
        <f aca="true" t="shared" si="2" ref="C44:O44">SUM(C32:C43)</f>
        <v>217619.38799999995</v>
      </c>
      <c r="D44" s="136">
        <f t="shared" si="2"/>
        <v>3080.0775000000003</v>
      </c>
      <c r="E44" s="136">
        <f t="shared" si="2"/>
        <v>222267.68999999997</v>
      </c>
      <c r="F44" s="136">
        <f t="shared" si="2"/>
        <v>0</v>
      </c>
      <c r="G44" s="136">
        <f t="shared" si="2"/>
        <v>199611.27</v>
      </c>
      <c r="H44" s="136">
        <f t="shared" si="2"/>
        <v>202691.3475</v>
      </c>
      <c r="I44" s="136">
        <f t="shared" si="2"/>
        <v>17110.716</v>
      </c>
      <c r="J44" s="136">
        <f t="shared" si="2"/>
        <v>4819.919999999999</v>
      </c>
      <c r="K44" s="136">
        <f t="shared" si="2"/>
        <v>152670.96600000001</v>
      </c>
      <c r="L44" s="136">
        <f t="shared" si="2"/>
        <v>12246.07</v>
      </c>
      <c r="M44" s="136">
        <f t="shared" si="2"/>
        <v>342</v>
      </c>
      <c r="N44" s="136">
        <f t="shared" si="2"/>
        <v>187189.67200000002</v>
      </c>
      <c r="O44" s="136">
        <f t="shared" si="2"/>
        <v>16869.675499999983</v>
      </c>
      <c r="P44" s="136">
        <f>SUM(P32:P43)</f>
        <v>-22656.42</v>
      </c>
      <c r="Q44" s="100"/>
      <c r="R44" s="100"/>
    </row>
    <row r="45" spans="1:16" ht="13.5" thickBot="1">
      <c r="A45" s="231" t="s">
        <v>61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94"/>
      <c r="O45" s="95"/>
      <c r="P45" s="95"/>
    </row>
    <row r="46" spans="1:18" s="101" customFormat="1" ht="13.5" thickBot="1">
      <c r="A46" s="125" t="s">
        <v>86</v>
      </c>
      <c r="B46" s="126"/>
      <c r="C46" s="127">
        <f aca="true" t="shared" si="3" ref="C46:P46">C44+C30</f>
        <v>423670.96799999994</v>
      </c>
      <c r="D46" s="127">
        <f t="shared" si="3"/>
        <v>8116.837500000001</v>
      </c>
      <c r="E46" s="127">
        <f t="shared" si="3"/>
        <v>429681.85</v>
      </c>
      <c r="F46" s="127">
        <f t="shared" si="3"/>
        <v>0</v>
      </c>
      <c r="G46" s="127">
        <f t="shared" si="3"/>
        <v>357570.56</v>
      </c>
      <c r="H46" s="127">
        <f t="shared" si="3"/>
        <v>365687.39749999996</v>
      </c>
      <c r="I46" s="127">
        <f t="shared" si="3"/>
        <v>33257.448</v>
      </c>
      <c r="J46" s="127">
        <f t="shared" si="3"/>
        <v>9639.839999999998</v>
      </c>
      <c r="K46" s="127">
        <f t="shared" si="3"/>
        <v>305341.93200000003</v>
      </c>
      <c r="L46" s="127">
        <f t="shared" si="3"/>
        <v>13984.625</v>
      </c>
      <c r="M46" s="127">
        <f t="shared" si="3"/>
        <v>684</v>
      </c>
      <c r="N46" s="127">
        <f t="shared" si="3"/>
        <v>362907.84500000003</v>
      </c>
      <c r="O46" s="127">
        <f t="shared" si="3"/>
        <v>5515.5524999999525</v>
      </c>
      <c r="P46" s="127">
        <f t="shared" si="3"/>
        <v>-72111.29000000001</v>
      </c>
      <c r="Q46" s="99"/>
      <c r="R46" s="100"/>
    </row>
    <row r="47" ht="5.25" customHeight="1"/>
    <row r="48" spans="1:18" ht="12.75">
      <c r="A48" s="101" t="s">
        <v>51</v>
      </c>
      <c r="D48" s="84" t="s">
        <v>112</v>
      </c>
      <c r="Q48" s="85"/>
      <c r="R48" s="85"/>
    </row>
    <row r="49" spans="1:18" ht="12.75">
      <c r="A49" s="123" t="s">
        <v>52</v>
      </c>
      <c r="B49" s="123" t="s">
        <v>53</v>
      </c>
      <c r="C49" s="282" t="s">
        <v>54</v>
      </c>
      <c r="D49" s="283"/>
      <c r="Q49" s="85"/>
      <c r="R49" s="85"/>
    </row>
    <row r="50" spans="1:18" s="285" customFormat="1" ht="12.75" customHeight="1">
      <c r="A50" s="284">
        <v>99523.53</v>
      </c>
      <c r="B50" s="129">
        <v>0</v>
      </c>
      <c r="C50" s="287">
        <f>A50-B50</f>
        <v>99523.53</v>
      </c>
      <c r="D50" s="288"/>
      <c r="Q50" s="286"/>
      <c r="R50" s="286"/>
    </row>
    <row r="51" spans="1:18" ht="9.75" customHeight="1">
      <c r="A51" s="133"/>
      <c r="Q51" s="85"/>
      <c r="R51" s="85"/>
    </row>
    <row r="52" spans="1:18" ht="12.75">
      <c r="A52" s="84" t="s">
        <v>55</v>
      </c>
      <c r="G52" s="84" t="s">
        <v>56</v>
      </c>
      <c r="Q52" s="85"/>
      <c r="R52" s="85"/>
    </row>
    <row r="53" ht="12.75">
      <c r="A53" s="85"/>
    </row>
    <row r="54" ht="5.25" customHeight="1">
      <c r="A54" s="85"/>
    </row>
    <row r="55" ht="12.75">
      <c r="A55" s="84" t="s">
        <v>93</v>
      </c>
    </row>
    <row r="56" ht="12.75">
      <c r="A56" s="84" t="s">
        <v>94</v>
      </c>
    </row>
  </sheetData>
  <sheetProtection/>
  <mergeCells count="27">
    <mergeCell ref="A45:M45"/>
    <mergeCell ref="C49:D49"/>
    <mergeCell ref="D8:D11"/>
    <mergeCell ref="E8:F9"/>
    <mergeCell ref="G8:H9"/>
    <mergeCell ref="B1:H1"/>
    <mergeCell ref="B2:H2"/>
    <mergeCell ref="A5:M5"/>
    <mergeCell ref="A6:G6"/>
    <mergeCell ref="A7:D7"/>
    <mergeCell ref="E7:F7"/>
    <mergeCell ref="I8:N9"/>
    <mergeCell ref="O8:O11"/>
    <mergeCell ref="P8:P11"/>
    <mergeCell ref="E10:F10"/>
    <mergeCell ref="H10:H11"/>
    <mergeCell ref="I10:I11"/>
    <mergeCell ref="J10:J11"/>
    <mergeCell ref="K10:K11"/>
    <mergeCell ref="L10:L11"/>
    <mergeCell ref="M10:M11"/>
    <mergeCell ref="N10:N11"/>
    <mergeCell ref="A13:M13"/>
    <mergeCell ref="A29:M29"/>
    <mergeCell ref="A8:A11"/>
    <mergeCell ref="B8:B11"/>
    <mergeCell ref="C8:C11"/>
  </mergeCells>
  <printOptions/>
  <pageMargins left="0.2362204724409449" right="0.11811023622047245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2013-03-28T07:05:08Z</cp:lastPrinted>
  <dcterms:created xsi:type="dcterms:W3CDTF">2010-04-03T04:08:20Z</dcterms:created>
  <dcterms:modified xsi:type="dcterms:W3CDTF">2013-03-28T08:38:53Z</dcterms:modified>
  <cp:category/>
  <cp:version/>
  <cp:contentType/>
  <cp:contentStatus/>
</cp:coreProperties>
</file>