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7380" tabRatio="601" activeTab="3"/>
  </bookViews>
  <sheets>
    <sheet name="Лист1" sheetId="1" r:id="rId1"/>
    <sheet name="Лист2" sheetId="2" r:id="rId2"/>
    <sheet name="2012 полн" sheetId="3" r:id="rId3"/>
    <sheet name="2012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<sst xmlns="http://schemas.openxmlformats.org/spreadsheetml/2006/main" count="332" uniqueCount="128">
  <si>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</si>
  <si>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</si>
  <si>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</si>
  <si>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</si>
  <si>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</si>
  <si>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</si>
  <si>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</si>
  <si>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</si>
  <si>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</si>
  <si>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</si>
  <si>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</si>
  <si>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</si>
  <si>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</si>
  <si>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</si>
  <si>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</si>
  <si>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</si>
  <si>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</si>
  <si>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</si>
  <si>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</si>
  <si>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</si>
  <si>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</si>
  <si>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</si>
  <si>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</si>
  <si>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</si>
  <si>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</si>
  <si>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</si>
  <si>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</si>
  <si>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</si>
  <si>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</si>
  <si>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</si>
  <si>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</si>
  <si>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</si>
  <si>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</si>
  <si>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</si>
  <si>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</si>
  <si>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</si>
  <si>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</si>
  <si>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</si>
  <si>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</si>
  <si>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</si>
  <si>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</si>
  <si>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</si>
  <si>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</si>
  <si>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</si>
  <si>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</si>
  <si>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</si>
  <si>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</si>
  <si>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</si>
  <si>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</si>
  <si>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</si>
  <si>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</si>
  <si>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</si>
  <si>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</si>
  <si>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</si>
  <si>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</si>
  <si>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</si>
  <si>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</si>
  <si>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</si>
  <si>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</si>
  <si>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</si>
  <si>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</si>
  <si>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</si>
  <si>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</si>
  <si>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</si>
  <si>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</si>
  <si>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</si>
  <si>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</si>
  <si>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</si>
  <si>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</si>
  <si>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</si>
  <si>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</si>
  <si>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</si>
  <si>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</si>
  <si>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</si>
  <si>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</si>
  <si>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тел. 3-48-80</t>
  </si>
  <si>
    <t xml:space="preserve">Собрано квартплаты </t>
  </si>
  <si>
    <t>содержанию и тек.рем.</t>
  </si>
  <si>
    <t>Доп. работы по содержанию ТУК</t>
  </si>
  <si>
    <t>Эл.энергия МОП</t>
  </si>
  <si>
    <t>норма часов горения</t>
  </si>
  <si>
    <t>кол-во кВт</t>
  </si>
  <si>
    <t>стоимость итого</t>
  </si>
  <si>
    <t>Тек. Ремонт ООО "ТУК"</t>
  </si>
  <si>
    <t>Тек. Ремонт ООО "УЖХ"</t>
  </si>
  <si>
    <t>Исп. Ю.С. Дмитриева</t>
  </si>
  <si>
    <t>2010 год</t>
  </si>
  <si>
    <t>Лицевой счет по адресу г. Таштагол, ул. Ноградская, д. 15</t>
  </si>
  <si>
    <t>Выписка по лицевому счету по адресу г. Таштагол, ул. Ноградская, д. 15</t>
  </si>
  <si>
    <t>Собрано квартплаты от населения</t>
  </si>
  <si>
    <t>Расходы по нежил. помещениям</t>
  </si>
  <si>
    <t>*по состоянию на 01.01.2011 г.</t>
  </si>
  <si>
    <t>на 01.01.2011г.</t>
  </si>
  <si>
    <t>Начислено населению</t>
  </si>
  <si>
    <t>Доходы по нежил.помещениям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</si>
  <si>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</si>
  <si>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</si>
  <si>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</si>
  <si>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</si>
  <si>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</si>
  <si>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Собрано всего по жил.услугам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</si>
  <si>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</si>
  <si>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</si>
  <si>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</si>
  <si>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</si>
  <si>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</si>
  <si>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</si>
  <si>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</si>
  <si>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</si>
  <si>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</si>
  <si>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</si>
  <si>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</si>
  <si>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</si>
  <si>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</si>
  <si>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</si>
  <si>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</si>
  <si>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2011 год</t>
  </si>
  <si>
    <t>Доходы по нежилым помещениям</t>
  </si>
  <si>
    <t>Услуга начисления</t>
  </si>
  <si>
    <t>Расходы по нежилым помещениям</t>
  </si>
  <si>
    <t>Собрано по содержанию и тек.рем.</t>
  </si>
  <si>
    <t>на начало отчетного периода</t>
  </si>
  <si>
    <t>Исп. В.В. Колмогорова</t>
  </si>
  <si>
    <t>Выписка по лицевому счету по адресу г. Таштагол ул. Ноградская, д. 15</t>
  </si>
  <si>
    <t>2012 год</t>
  </si>
  <si>
    <t>*по состоянию на 01.05.2013 г.</t>
  </si>
  <si>
    <t>Тариф по содержанию и тек.ремонту 100 % (9,51 руб.*площадь)</t>
  </si>
  <si>
    <t>на 01.01.2013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</si>
</sst>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51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0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6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34" borderId="11" xfId="0" applyFont="1" applyFill="1" applyBorder="1" applyAlignment="1">
      <alignment vertical="center" wrapText="1"/>
    </xf>
    <xf numFmtId="4" fontId="0" fillId="33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textRotation="90" wrapText="1"/>
    </xf>
    <xf numFmtId="0" fontId="1" fillId="0" borderId="22" xfId="0" applyFont="1" applyFill="1" applyBorder="1" applyAlignment="1">
      <alignment horizontal="center" textRotation="90"/>
    </xf>
    <xf numFmtId="2" fontId="1" fillId="0" borderId="23" xfId="0" applyNumberFormat="1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4" fontId="2" fillId="0" borderId="28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2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2" fillId="0" borderId="31" xfId="34" applyNumberFormat="1" applyFont="1" applyFill="1" applyBorder="1" applyAlignment="1">
      <alignment horizontal="right" vertical="center" wrapText="1"/>
      <protection/>
    </xf>
    <xf numFmtId="0" fontId="1" fillId="0" borderId="24" xfId="0" applyFont="1" applyFill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32" xfId="0" applyNumberFormat="1" applyFont="1" applyFill="1" applyBorder="1" applyAlignment="1">
      <alignment horizontal="right" wrapText="1"/>
    </xf>
    <xf numFmtId="4" fontId="1" fillId="0" borderId="33" xfId="0" applyNumberFormat="1" applyFont="1" applyFill="1" applyBorder="1" applyAlignment="1">
      <alignment horizontal="right" wrapText="1"/>
    </xf>
    <xf numFmtId="4" fontId="1" fillId="0" borderId="34" xfId="0" applyNumberFormat="1" applyFont="1" applyFill="1" applyBorder="1" applyAlignment="1">
      <alignment horizontal="right" wrapText="1"/>
    </xf>
    <xf numFmtId="4" fontId="1" fillId="0" borderId="35" xfId="0" applyNumberFormat="1" applyFont="1" applyFill="1" applyBorder="1" applyAlignment="1">
      <alignment horizontal="right" wrapText="1"/>
    </xf>
    <xf numFmtId="4" fontId="1" fillId="0" borderId="36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4" fontId="1" fillId="0" borderId="25" xfId="0" applyNumberFormat="1" applyFont="1" applyFill="1" applyBorder="1" applyAlignment="1">
      <alignment horizontal="right"/>
    </xf>
    <xf numFmtId="4" fontId="1" fillId="0" borderId="34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21" xfId="0" applyNumberFormat="1" applyFont="1" applyFill="1" applyBorder="1" applyAlignment="1">
      <alignment wrapText="1"/>
    </xf>
    <xf numFmtId="4" fontId="2" fillId="0" borderId="30" xfId="34" applyNumberFormat="1" applyFont="1" applyFill="1" applyBorder="1" applyAlignment="1">
      <alignment horizontal="right" vertical="center" wrapText="1"/>
      <protection/>
    </xf>
    <xf numFmtId="4" fontId="0" fillId="0" borderId="21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27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wrapText="1"/>
    </xf>
    <xf numFmtId="4" fontId="7" fillId="0" borderId="32" xfId="34" applyNumberFormat="1" applyFont="1" applyFill="1" applyBorder="1" applyAlignment="1">
      <alignment horizontal="right" vertical="center" wrapText="1"/>
      <protection/>
    </xf>
    <xf numFmtId="4" fontId="7" fillId="0" borderId="34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wrapText="1"/>
    </xf>
    <xf numFmtId="0" fontId="0" fillId="33" borderId="20" xfId="0" applyFont="1" applyFill="1" applyBorder="1" applyAlignment="1">
      <alignment horizontal="right" vertical="center" wrapText="1"/>
    </xf>
    <xf numFmtId="4" fontId="1" fillId="33" borderId="11" xfId="0" applyNumberFormat="1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right" vertical="center" wrapText="1"/>
    </xf>
    <xf numFmtId="4" fontId="7" fillId="0" borderId="35" xfId="34" applyNumberFormat="1" applyFont="1" applyFill="1" applyBorder="1" applyAlignment="1">
      <alignment horizontal="right" vertical="center" wrapText="1"/>
      <protection/>
    </xf>
    <xf numFmtId="4" fontId="7" fillId="0" borderId="33" xfId="34" applyNumberFormat="1" applyFont="1" applyFill="1" applyBorder="1" applyAlignment="1">
      <alignment horizontal="right" vertical="center" wrapText="1"/>
      <protection/>
    </xf>
    <xf numFmtId="0" fontId="0" fillId="0" borderId="11" xfId="0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4" fontId="0" fillId="33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34" borderId="38" xfId="0" applyNumberFormat="1" applyFont="1" applyFill="1" applyBorder="1" applyAlignment="1">
      <alignment horizontal="center" vertical="center" wrapText="1"/>
    </xf>
    <xf numFmtId="4" fontId="2" fillId="0" borderId="26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35" borderId="15" xfId="0" applyNumberFormat="1" applyFont="1" applyFill="1" applyBorder="1" applyAlignment="1">
      <alignment horizontal="center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34" borderId="28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1" fillId="0" borderId="39" xfId="0" applyNumberFormat="1" applyFont="1" applyFill="1" applyBorder="1" applyAlignment="1">
      <alignment horizontal="center" vertical="center" wrapText="1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9" fillId="0" borderId="28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2" fillId="0" borderId="20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ill="1" applyBorder="1" applyAlignment="1">
      <alignment horizontal="center"/>
    </xf>
    <xf numFmtId="4" fontId="0" fillId="34" borderId="29" xfId="0" applyNumberFormat="1" applyFont="1" applyFill="1" applyBorder="1" applyAlignment="1">
      <alignment/>
    </xf>
    <xf numFmtId="4" fontId="0" fillId="34" borderId="20" xfId="0" applyNumberFormat="1" applyFont="1" applyFill="1" applyBorder="1" applyAlignment="1">
      <alignment/>
    </xf>
    <xf numFmtId="4" fontId="10" fillId="34" borderId="11" xfId="34" applyNumberFormat="1" applyFont="1" applyFill="1" applyBorder="1" applyAlignment="1">
      <alignment horizontal="center" vertical="center" wrapText="1"/>
      <protection/>
    </xf>
    <xf numFmtId="4" fontId="2" fillId="0" borderId="11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166" fontId="0" fillId="0" borderId="11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1" xfId="0" applyNumberFormat="1" applyFont="1" applyFill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15" xfId="0" applyNumberFormat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29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4" fontId="0" fillId="37" borderId="28" xfId="0" applyNumberFormat="1" applyFont="1" applyFill="1" applyBorder="1" applyAlignment="1">
      <alignment/>
    </xf>
    <xf numFmtId="4" fontId="0" fillId="34" borderId="15" xfId="0" applyNumberFormat="1" applyFont="1" applyFill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 wrapText="1"/>
    </xf>
    <xf numFmtId="4" fontId="0" fillId="33" borderId="21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40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2" fontId="0" fillId="0" borderId="28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right"/>
    </xf>
    <xf numFmtId="4" fontId="1" fillId="0" borderId="42" xfId="0" applyNumberFormat="1" applyFont="1" applyFill="1" applyBorder="1" applyAlignment="1">
      <alignment horizontal="right"/>
    </xf>
    <xf numFmtId="4" fontId="1" fillId="0" borderId="43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28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4" fontId="2" fillId="34" borderId="28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37" borderId="28" xfId="0" applyNumberFormat="1" applyFont="1" applyFill="1" applyBorder="1" applyAlignment="1">
      <alignment/>
    </xf>
    <xf numFmtId="4" fontId="0" fillId="0" borderId="44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45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3" fontId="0" fillId="37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43" fontId="0" fillId="37" borderId="11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35" borderId="29" xfId="0" applyNumberFormat="1" applyFont="1" applyFill="1" applyBorder="1" applyAlignment="1">
      <alignment horizontal="center"/>
    </xf>
    <xf numFmtId="4" fontId="0" fillId="0" borderId="46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35" borderId="29" xfId="0" applyFont="1" applyFill="1" applyBorder="1" applyAlignment="1">
      <alignment horizontal="center"/>
    </xf>
    <xf numFmtId="0" fontId="2" fillId="0" borderId="20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7" xfId="0" applyFont="1" applyBorder="1" applyAlignment="1">
      <alignment wrapText="1"/>
    </xf>
    <xf numFmtId="4" fontId="0" fillId="0" borderId="13" xfId="0" applyNumberFormat="1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28" xfId="0" applyFont="1" applyBorder="1" applyAlignment="1">
      <alignment wrapText="1"/>
    </xf>
    <xf numFmtId="0" fontId="2" fillId="0" borderId="44" xfId="0" applyFont="1" applyBorder="1" applyAlignment="1">
      <alignment wrapText="1"/>
    </xf>
    <xf numFmtId="0" fontId="2" fillId="35" borderId="29" xfId="0" applyFont="1" applyFill="1" applyBorder="1" applyAlignment="1">
      <alignment/>
    </xf>
    <xf numFmtId="0" fontId="14" fillId="0" borderId="20" xfId="0" applyFont="1" applyBorder="1" applyAlignment="1">
      <alignment wrapText="1"/>
    </xf>
    <xf numFmtId="2" fontId="9" fillId="34" borderId="13" xfId="0" applyNumberFormat="1" applyFont="1" applyFill="1" applyBorder="1" applyAlignment="1">
      <alignment horizontal="center"/>
    </xf>
    <xf numFmtId="0" fontId="2" fillId="0" borderId="47" xfId="0" applyFont="1" applyBorder="1" applyAlignment="1">
      <alignment wrapText="1"/>
    </xf>
    <xf numFmtId="0" fontId="2" fillId="35" borderId="15" xfId="0" applyFont="1" applyFill="1" applyBorder="1" applyAlignment="1">
      <alignment/>
    </xf>
    <xf numFmtId="0" fontId="14" fillId="0" borderId="10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5" xfId="0" applyFont="1" applyFill="1" applyBorder="1" applyAlignment="1">
      <alignment wrapText="1"/>
    </xf>
    <xf numFmtId="4" fontId="9" fillId="0" borderId="13" xfId="0" applyNumberFormat="1" applyFont="1" applyFill="1" applyBorder="1" applyAlignment="1">
      <alignment/>
    </xf>
    <xf numFmtId="4" fontId="2" fillId="34" borderId="46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wrapText="1"/>
    </xf>
    <xf numFmtId="4" fontId="2" fillId="0" borderId="28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48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/>
    </xf>
    <xf numFmtId="4" fontId="1" fillId="0" borderId="34" xfId="0" applyNumberFormat="1" applyFont="1" applyFill="1" applyBorder="1" applyAlignment="1">
      <alignment/>
    </xf>
    <xf numFmtId="0" fontId="1" fillId="0" borderId="30" xfId="0" applyFont="1" applyFill="1" applyBorder="1" applyAlignment="1">
      <alignment horizontal="right"/>
    </xf>
    <xf numFmtId="0" fontId="1" fillId="0" borderId="40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4" fontId="1" fillId="0" borderId="40" xfId="0" applyNumberFormat="1" applyFont="1" applyFill="1" applyBorder="1" applyAlignment="1">
      <alignment/>
    </xf>
    <xf numFmtId="4" fontId="1" fillId="0" borderId="5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41" xfId="0" applyFont="1" applyFill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0" fillId="0" borderId="36" xfId="0" applyFont="1" applyFill="1" applyBorder="1" applyAlignment="1">
      <alignment/>
    </xf>
    <xf numFmtId="4" fontId="0" fillId="0" borderId="44" xfId="0" applyNumberFormat="1" applyFont="1" applyFill="1" applyBorder="1" applyAlignment="1">
      <alignment horizontal="right"/>
    </xf>
    <xf numFmtId="4" fontId="1" fillId="0" borderId="28" xfId="0" applyNumberFormat="1" applyFont="1" applyFill="1" applyBorder="1" applyAlignment="1">
      <alignment horizontal="right" vertical="center" wrapText="1"/>
    </xf>
    <xf numFmtId="4" fontId="0" fillId="0" borderId="28" xfId="0" applyNumberFormat="1" applyFont="1" applyFill="1" applyBorder="1" applyAlignment="1">
      <alignment horizontal="right" vertical="center" wrapText="1"/>
    </xf>
    <xf numFmtId="4" fontId="0" fillId="0" borderId="45" xfId="0" applyNumberFormat="1" applyFont="1" applyBorder="1" applyAlignment="1">
      <alignment horizontal="center"/>
    </xf>
    <xf numFmtId="4" fontId="0" fillId="34" borderId="15" xfId="0" applyNumberFormat="1" applyFont="1" applyFill="1" applyBorder="1" applyAlignment="1">
      <alignment horizontal="center" wrapText="1"/>
    </xf>
    <xf numFmtId="4" fontId="0" fillId="35" borderId="15" xfId="0" applyNumberFormat="1" applyFont="1" applyFill="1" applyBorder="1" applyAlignment="1">
      <alignment horizontal="center" wrapText="1"/>
    </xf>
    <xf numFmtId="0" fontId="0" fillId="38" borderId="0" xfId="0" applyFont="1" applyFill="1" applyAlignment="1">
      <alignment horizontal="center"/>
    </xf>
    <xf numFmtId="2" fontId="0" fillId="39" borderId="11" xfId="0" applyNumberFormat="1" applyFont="1" applyFill="1" applyBorder="1" applyAlignment="1">
      <alignment horizontal="center"/>
    </xf>
    <xf numFmtId="4" fontId="0" fillId="40" borderId="15" xfId="0" applyNumberFormat="1" applyFont="1" applyFill="1" applyBorder="1" applyAlignment="1">
      <alignment horizontal="center" wrapText="1"/>
    </xf>
    <xf numFmtId="4" fontId="0" fillId="37" borderId="15" xfId="0" applyNumberFormat="1" applyFont="1" applyFill="1" applyBorder="1" applyAlignment="1">
      <alignment horizontal="center" wrapText="1"/>
    </xf>
    <xf numFmtId="4" fontId="0" fillId="0" borderId="28" xfId="0" applyNumberFormat="1" applyFont="1" applyFill="1" applyBorder="1" applyAlignment="1">
      <alignment horizontal="right" vertical="center" wrapText="1"/>
    </xf>
    <xf numFmtId="4" fontId="0" fillId="0" borderId="31" xfId="0" applyNumberFormat="1" applyFont="1" applyFill="1" applyBorder="1" applyAlignment="1">
      <alignment horizontal="right" vertical="center" wrapText="1"/>
    </xf>
    <xf numFmtId="4" fontId="0" fillId="0" borderId="19" xfId="0" applyNumberFormat="1" applyFont="1" applyFill="1" applyBorder="1" applyAlignment="1">
      <alignment horizontal="right" vertical="center" wrapText="1"/>
    </xf>
    <xf numFmtId="0" fontId="1" fillId="0" borderId="44" xfId="0" applyFont="1" applyFill="1" applyBorder="1" applyAlignment="1">
      <alignment horizontal="center" vertical="center" wrapText="1"/>
    </xf>
    <xf numFmtId="2" fontId="1" fillId="37" borderId="41" xfId="0" applyNumberFormat="1" applyFont="1" applyFill="1" applyBorder="1" applyAlignment="1">
      <alignment horizontal="center" vertical="center" wrapText="1"/>
    </xf>
    <xf numFmtId="2" fontId="1" fillId="37" borderId="51" xfId="0" applyNumberFormat="1" applyFont="1" applyFill="1" applyBorder="1" applyAlignment="1">
      <alignment horizontal="center" vertical="center" wrapText="1"/>
    </xf>
    <xf numFmtId="2" fontId="1" fillId="37" borderId="3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0" fontId="1" fillId="0" borderId="3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38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36" borderId="21" xfId="0" applyNumberFormat="1" applyFont="1" applyFill="1" applyBorder="1" applyAlignment="1">
      <alignment horizontal="center" vertical="center" wrapText="1"/>
    </xf>
    <xf numFmtId="2" fontId="1" fillId="36" borderId="40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33" borderId="55" xfId="0" applyNumberFormat="1" applyFont="1" applyFill="1" applyBorder="1" applyAlignment="1">
      <alignment horizontal="center" vertical="center" wrapText="1"/>
    </xf>
    <xf numFmtId="2" fontId="1" fillId="33" borderId="56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6" borderId="41" xfId="0" applyNumberFormat="1" applyFont="1" applyFill="1" applyBorder="1" applyAlignment="1">
      <alignment horizontal="center" vertical="center" wrapText="1"/>
    </xf>
    <xf numFmtId="2" fontId="1" fillId="36" borderId="3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4" fontId="1" fillId="0" borderId="57" xfId="0" applyNumberFormat="1" applyFont="1" applyFill="1" applyBorder="1" applyAlignment="1">
      <alignment horizontal="center" vertical="center" textRotation="90" wrapText="1"/>
    </xf>
    <xf numFmtId="4" fontId="1" fillId="0" borderId="28" xfId="0" applyNumberFormat="1" applyFont="1" applyFill="1" applyBorder="1" applyAlignment="1">
      <alignment horizontal="center" vertical="center" textRotation="90" wrapText="1"/>
    </xf>
    <xf numFmtId="4" fontId="1" fillId="0" borderId="31" xfId="0" applyNumberFormat="1" applyFont="1" applyFill="1" applyBorder="1" applyAlignment="1">
      <alignment horizontal="center" vertical="center" textRotation="90" wrapText="1"/>
    </xf>
    <xf numFmtId="4" fontId="1" fillId="0" borderId="48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30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43" fontId="0" fillId="0" borderId="28" xfId="61" applyFont="1" applyFill="1" applyBorder="1" applyAlignment="1">
      <alignment horizontal="center"/>
    </xf>
    <xf numFmtId="43" fontId="0" fillId="0" borderId="20" xfId="61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31" xfId="0" applyNumberFormat="1" applyFont="1" applyFill="1" applyBorder="1" applyAlignment="1">
      <alignment horizontal="center" vertical="center" textRotation="90" wrapText="1"/>
    </xf>
    <xf numFmtId="2" fontId="1" fillId="0" borderId="20" xfId="0" applyNumberFormat="1" applyFont="1" applyFill="1" applyBorder="1" applyAlignment="1">
      <alignment horizontal="center" vertical="center" textRotation="90" wrapText="1"/>
    </xf>
    <xf numFmtId="2" fontId="1" fillId="0" borderId="23" xfId="0" applyNumberFormat="1" applyFont="1" applyFill="1" applyBorder="1" applyAlignment="1">
      <alignment horizontal="center" vertical="center" textRotation="90" wrapText="1"/>
    </xf>
    <xf numFmtId="0" fontId="1" fillId="0" borderId="60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1" fillId="0" borderId="54" xfId="0" applyFont="1" applyFill="1" applyBorder="1" applyAlignment="1">
      <alignment horizontal="left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2" xfId="0" applyNumberFormat="1" applyFont="1" applyFill="1" applyBorder="1" applyAlignment="1">
      <alignment horizontal="center" vertical="center" textRotation="90" wrapText="1"/>
    </xf>
    <xf numFmtId="0" fontId="0" fillId="0" borderId="2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/>
    </xf>
    <xf numFmtId="0" fontId="1" fillId="0" borderId="6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textRotation="90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center" vertical="center" wrapText="1"/>
    </xf>
    <xf numFmtId="4" fontId="1" fillId="0" borderId="51" xfId="0" applyNumberFormat="1" applyFont="1" applyFill="1" applyBorder="1" applyAlignment="1">
      <alignment horizontal="center" vertical="center" wrapText="1"/>
    </xf>
    <xf numFmtId="4" fontId="1" fillId="0" borderId="63" xfId="0" applyNumberFormat="1" applyFont="1" applyFill="1" applyBorder="1" applyAlignment="1">
      <alignment horizontal="center" vertical="center" wrapText="1"/>
    </xf>
    <xf numFmtId="4" fontId="1" fillId="0" borderId="59" xfId="0" applyNumberFormat="1" applyFont="1" applyFill="1" applyBorder="1" applyAlignment="1">
      <alignment horizontal="center" vertical="center" wrapText="1"/>
    </xf>
    <xf numFmtId="4" fontId="1" fillId="34" borderId="41" xfId="0" applyNumberFormat="1" applyFont="1" applyFill="1" applyBorder="1" applyAlignment="1">
      <alignment horizontal="center" vertical="center" wrapText="1"/>
    </xf>
    <xf numFmtId="4" fontId="1" fillId="34" borderId="51" xfId="0" applyNumberFormat="1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40" borderId="65" xfId="0" applyFont="1" applyFill="1" applyBorder="1" applyAlignment="1">
      <alignment horizontal="center" vertical="center" wrapText="1"/>
    </xf>
    <xf numFmtId="0" fontId="1" fillId="40" borderId="66" xfId="0" applyFont="1" applyFill="1" applyBorder="1" applyAlignment="1">
      <alignment horizontal="center" vertical="center" wrapText="1"/>
    </xf>
    <xf numFmtId="0" fontId="1" fillId="40" borderId="67" xfId="0" applyFont="1" applyFill="1" applyBorder="1" applyAlignment="1">
      <alignment horizontal="center" vertical="center" wrapText="1"/>
    </xf>
    <xf numFmtId="2" fontId="1" fillId="0" borderId="68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textRotation="90"/>
    </xf>
    <xf numFmtId="0" fontId="1" fillId="0" borderId="39" xfId="0" applyFont="1" applyFill="1" applyBorder="1" applyAlignment="1">
      <alignment horizontal="center" textRotation="90"/>
    </xf>
    <xf numFmtId="0" fontId="1" fillId="0" borderId="6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35" borderId="41" xfId="0" applyFont="1" applyFill="1" applyBorder="1" applyAlignment="1">
      <alignment horizontal="center" textRotation="90"/>
    </xf>
    <xf numFmtId="0" fontId="1" fillId="35" borderId="39" xfId="0" applyFont="1" applyFill="1" applyBorder="1" applyAlignment="1">
      <alignment horizontal="center" textRotation="90"/>
    </xf>
    <xf numFmtId="0" fontId="1" fillId="0" borderId="65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40" borderId="60" xfId="0" applyFont="1" applyFill="1" applyBorder="1" applyAlignment="1">
      <alignment horizontal="center" vertical="center" wrapText="1"/>
    </xf>
    <xf numFmtId="0" fontId="1" fillId="40" borderId="0" xfId="0" applyFont="1" applyFill="1" applyBorder="1" applyAlignment="1">
      <alignment horizontal="center" vertical="center" wrapText="1"/>
    </xf>
    <xf numFmtId="0" fontId="1" fillId="40" borderId="18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2" fontId="1" fillId="34" borderId="65" xfId="0" applyNumberFormat="1" applyFont="1" applyFill="1" applyBorder="1" applyAlignment="1">
      <alignment horizontal="center" vertical="center" wrapText="1"/>
    </xf>
    <xf numFmtId="2" fontId="1" fillId="34" borderId="67" xfId="0" applyNumberFormat="1" applyFont="1" applyFill="1" applyBorder="1" applyAlignment="1">
      <alignment horizontal="center" vertical="center" wrapText="1"/>
    </xf>
    <xf numFmtId="2" fontId="1" fillId="34" borderId="58" xfId="0" applyNumberFormat="1" applyFont="1" applyFill="1" applyBorder="1" applyAlignment="1">
      <alignment horizontal="center" vertical="center" wrapText="1"/>
    </xf>
    <xf numFmtId="2" fontId="1" fillId="34" borderId="70" xfId="0" applyNumberFormat="1" applyFont="1" applyFill="1" applyBorder="1" applyAlignment="1">
      <alignment horizontal="center" vertical="center" wrapText="1"/>
    </xf>
    <xf numFmtId="2" fontId="1" fillId="34" borderId="55" xfId="0" applyNumberFormat="1" applyFont="1" applyFill="1" applyBorder="1" applyAlignment="1">
      <alignment horizontal="center" vertical="center" wrapText="1"/>
    </xf>
    <xf numFmtId="2" fontId="1" fillId="34" borderId="56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2" fontId="12" fillId="0" borderId="41" xfId="0" applyNumberFormat="1" applyFont="1" applyFill="1" applyBorder="1" applyAlignment="1">
      <alignment horizontal="center" vertical="center" wrapText="1"/>
    </xf>
    <xf numFmtId="2" fontId="12" fillId="0" borderId="51" xfId="0" applyNumberFormat="1" applyFont="1" applyFill="1" applyBorder="1" applyAlignment="1">
      <alignment horizontal="center" vertical="center" wrapText="1"/>
    </xf>
    <xf numFmtId="2" fontId="12" fillId="0" borderId="39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0" borderId="67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69" xfId="0" applyNumberFormat="1" applyFont="1" applyBorder="1" applyAlignment="1">
      <alignment horizontal="center" vertical="center" wrapText="1"/>
    </xf>
    <xf numFmtId="2" fontId="13" fillId="0" borderId="41" xfId="0" applyNumberFormat="1" applyFont="1" applyFill="1" applyBorder="1" applyAlignment="1">
      <alignment horizontal="center" vertical="center" wrapText="1"/>
    </xf>
    <xf numFmtId="2" fontId="13" fillId="0" borderId="39" xfId="0" applyNumberFormat="1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wrapText="1"/>
    </xf>
    <xf numFmtId="2" fontId="1" fillId="0" borderId="72" xfId="0" applyNumberFormat="1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wrapText="1"/>
    </xf>
    <xf numFmtId="0" fontId="1" fillId="0" borderId="63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59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textRotation="90" wrapText="1"/>
    </xf>
    <xf numFmtId="2" fontId="1" fillId="0" borderId="39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2" fontId="1" fillId="0" borderId="50" xfId="0" applyNumberFormat="1" applyFont="1" applyFill="1" applyBorder="1" applyAlignment="1">
      <alignment horizontal="center" vertical="center" textRotation="90" wrapText="1"/>
    </xf>
    <xf numFmtId="0" fontId="1" fillId="0" borderId="65" xfId="0" applyFont="1" applyFill="1" applyBorder="1" applyAlignment="1">
      <alignment horizontal="left"/>
    </xf>
    <xf numFmtId="0" fontId="1" fillId="0" borderId="60" xfId="0" applyFont="1" applyFill="1" applyBorder="1" applyAlignment="1">
      <alignment horizontal="left"/>
    </xf>
    <xf numFmtId="164" fontId="2" fillId="33" borderId="11" xfId="0" applyNumberFormat="1" applyFont="1" applyFill="1" applyBorder="1" applyAlignment="1">
      <alignment/>
    </xf>
    <xf numFmtId="0" fontId="32" fillId="0" borderId="11" xfId="0" applyFont="1" applyBorder="1" applyAlignment="1">
      <alignment wrapText="1"/>
    </xf>
    <xf numFmtId="0" fontId="32" fillId="0" borderId="28" xfId="0" applyFont="1" applyBorder="1" applyAlignment="1">
      <alignment wrapText="1"/>
    </xf>
    <xf numFmtId="4" fontId="33" fillId="0" borderId="20" xfId="34" applyNumberFormat="1" applyFont="1" applyFill="1" applyBorder="1" applyAlignment="1">
      <alignment horizontal="center" vertical="center" wrapText="1"/>
      <protection/>
    </xf>
    <xf numFmtId="4" fontId="2" fillId="35" borderId="15" xfId="0" applyNumberFormat="1" applyFont="1" applyFill="1" applyBorder="1" applyAlignment="1">
      <alignment wrapText="1"/>
    </xf>
    <xf numFmtId="4" fontId="0" fillId="34" borderId="13" xfId="0" applyNumberFormat="1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right"/>
    </xf>
    <xf numFmtId="2" fontId="0" fillId="33" borderId="11" xfId="0" applyNumberFormat="1" applyFont="1" applyFill="1" applyBorder="1" applyAlignment="1">
      <alignment horizontal="center"/>
    </xf>
    <xf numFmtId="4" fontId="0" fillId="41" borderId="15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51;&#1048;&#1062;%20&#1057;&#1063;&#1045;&#1058;&#1040;%204%20&#1082;&#1074;%2020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AppData\Roaming\Microsoft\Excel\&#1083;&#1080;&#1094;.&#1089;&#1095;&#1077;&#1090;&#1072;%20&#1085;&#1077;&#1078;&#1080;&#1083;.%20&#1087;&#1086;&#1084;%20(version%201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2011%20&#1075;&#1086;&#1076;\&#1057;&#1087;&#1088;&#1072;&#1074;&#1082;&#1080;%20&#1082;%20&#1083;&#1080;&#1094;&#1077;&#1074;&#1099;&#1084;%20&#1089;&#1095;&#1077;&#1090;&#1072;&#1084;%2020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&#1083;&#1080;&#1094;.&#1089;&#1095;&#1077;&#1090;&#1072;%20&#1085;&#1077;&#1078;&#1080;&#1083;.%20&#1087;&#1086;&#1084;.%20201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&#1051;&#1048;&#1062;%20&#1057;&#1063;&#1045;&#1058;&#1040;%201%20&#1082;&#1074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51;&#1048;&#1062;%20&#1057;&#1063;&#1045;&#1058;&#1040;%203%20&#1082;&#1074;%2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51;&#1048;&#1062;%20&#1057;&#1063;&#1045;&#1058;&#1040;%202%20&#1082;&#1074;%20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5;&#1086;&#1089;&#1087;&#1077;&#1083;&#1086;&#1074;&#1072;,%2013%20&#1089;%20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2;&#1072;&#1082;&#1072;&#1088;&#1077;&#1085;&#1082;&#1086;,%202%20&#1089;%202011%20&#1075;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2;&#1072;&#1082;&#1072;&#1088;&#1077;&#1085;&#1082;&#1086;,%2014%20%20&#1089;%20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2011%20&#1075;&#1086;&#1076;\&#1083;&#1080;&#1094;.&#1089;&#1095;&#1077;&#1090;&#1072;%20&#1085;&#1077;&#1078;&#1080;&#1083;.%20&#1087;&#1086;&#1084;.%202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Таштагол 10"/>
      <sheetName val="Таштагол 11"/>
      <sheetName val="Таштагол 12"/>
      <sheetName val="Шалым 10"/>
      <sheetName val="Шалым 11"/>
      <sheetName val="Шалым 12"/>
    </sheetNames>
    <sheetDataSet>
      <sheetData sheetId="2">
        <row r="78">
          <cell r="BA78">
            <v>9791.289575676376</v>
          </cell>
        </row>
      </sheetData>
      <sheetData sheetId="3">
        <row r="78">
          <cell r="AZ78">
            <v>9790.618355827875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</sheetNames>
    <sheetDataSet>
      <sheetData sheetId="9">
        <row r="183">
          <cell r="J183">
            <v>114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9">
        <row r="183">
          <cell r="S183">
            <v>28.5</v>
          </cell>
        </row>
      </sheetData>
      <sheetData sheetId="10">
        <row r="183">
          <cell r="J183">
            <v>114</v>
          </cell>
          <cell r="S183">
            <v>28.5</v>
          </cell>
        </row>
      </sheetData>
      <sheetData sheetId="11">
        <row r="207">
          <cell r="J207">
            <v>114</v>
          </cell>
          <cell r="S207">
            <v>28.5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1"/>
      <sheetName val="февраль 2011"/>
      <sheetName val="март 2011"/>
      <sheetName val="апрель 2011"/>
      <sheetName val="май 2011"/>
      <sheetName val="июнь 2011"/>
      <sheetName val="июль 2011 "/>
      <sheetName val="август"/>
      <sheetName val="сентябрь "/>
      <sheetName val="октябрь"/>
      <sheetName val="ноябрь"/>
      <sheetName val="декабрь"/>
      <sheetName val="Собств.нужды"/>
      <sheetName val="ноябрь (с рсу)"/>
      <sheetName val="декабрь (с рсу)"/>
    </sheetNames>
    <sheetDataSet>
      <sheetData sheetId="2">
        <row r="35">
          <cell r="F35">
            <v>81</v>
          </cell>
        </row>
        <row r="47">
          <cell r="F47">
            <v>14</v>
          </cell>
        </row>
        <row r="49">
          <cell r="F49">
            <v>75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</sheetNames>
    <sheetDataSet>
      <sheetData sheetId="0">
        <row r="205">
          <cell r="J205">
            <v>114</v>
          </cell>
          <cell r="S205">
            <v>28.5</v>
          </cell>
        </row>
      </sheetData>
      <sheetData sheetId="4">
        <row r="212">
          <cell r="J212">
            <v>114</v>
          </cell>
          <cell r="S212">
            <v>28.5</v>
          </cell>
        </row>
      </sheetData>
      <sheetData sheetId="5">
        <row r="177">
          <cell r="J177">
            <v>100</v>
          </cell>
          <cell r="S177">
            <v>25</v>
          </cell>
        </row>
        <row r="243">
          <cell r="J243">
            <v>114</v>
          </cell>
          <cell r="S243">
            <v>28.5</v>
          </cell>
        </row>
      </sheetData>
      <sheetData sheetId="6">
        <row r="179">
          <cell r="J179">
            <v>100</v>
          </cell>
          <cell r="S179">
            <v>25</v>
          </cell>
        </row>
        <row r="245">
          <cell r="J245">
            <v>114</v>
          </cell>
          <cell r="S245">
            <v>28.5</v>
          </cell>
        </row>
      </sheetData>
      <sheetData sheetId="7">
        <row r="179">
          <cell r="J179">
            <v>100</v>
          </cell>
          <cell r="S179">
            <v>25</v>
          </cell>
        </row>
        <row r="245">
          <cell r="J245">
            <v>114</v>
          </cell>
          <cell r="S245">
            <v>28.5</v>
          </cell>
        </row>
        <row r="304">
          <cell r="J304">
            <v>900</v>
          </cell>
          <cell r="S304">
            <v>225</v>
          </cell>
        </row>
      </sheetData>
      <sheetData sheetId="8">
        <row r="182">
          <cell r="J182">
            <v>100</v>
          </cell>
          <cell r="S182">
            <v>25</v>
          </cell>
        </row>
        <row r="245">
          <cell r="J245">
            <v>114</v>
          </cell>
          <cell r="S245">
            <v>28.5</v>
          </cell>
        </row>
        <row r="304">
          <cell r="J304">
            <v>300</v>
          </cell>
          <cell r="S304">
            <v>75</v>
          </cell>
        </row>
      </sheetData>
      <sheetData sheetId="9">
        <row r="181">
          <cell r="J181">
            <v>100</v>
          </cell>
          <cell r="S181">
            <v>25</v>
          </cell>
        </row>
        <row r="244">
          <cell r="J244">
            <v>114</v>
          </cell>
          <cell r="S244">
            <v>28.5</v>
          </cell>
        </row>
        <row r="303">
          <cell r="J303">
            <v>300</v>
          </cell>
          <cell r="S303">
            <v>75</v>
          </cell>
        </row>
      </sheetData>
      <sheetData sheetId="10">
        <row r="183">
          <cell r="J183">
            <v>100</v>
          </cell>
          <cell r="S183">
            <v>25</v>
          </cell>
        </row>
        <row r="246">
          <cell r="J246">
            <v>114</v>
          </cell>
          <cell r="S246">
            <v>28.5</v>
          </cell>
        </row>
        <row r="305">
          <cell r="J305">
            <v>300</v>
          </cell>
          <cell r="S305">
            <v>75</v>
          </cell>
        </row>
      </sheetData>
      <sheetData sheetId="11">
        <row r="185">
          <cell r="S185">
            <v>25</v>
          </cell>
        </row>
        <row r="186">
          <cell r="J186">
            <v>200</v>
          </cell>
        </row>
        <row r="248">
          <cell r="S248">
            <v>28.5</v>
          </cell>
        </row>
        <row r="249">
          <cell r="J249">
            <v>114</v>
          </cell>
        </row>
        <row r="307">
          <cell r="S307">
            <v>75</v>
          </cell>
        </row>
        <row r="308">
          <cell r="J308">
            <v>600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"/>
      <sheetName val="Расчет для сч-фактур"/>
      <sheetName val="Таштагол 01"/>
      <sheetName val="Таштагол 02"/>
      <sheetName val="Таштагол 03"/>
      <sheetName val="Шалым 01"/>
      <sheetName val="Шалым 02"/>
      <sheetName val="Шалым 03"/>
      <sheetName val="Работы подрядные "/>
    </sheetNames>
    <sheetDataSet>
      <sheetData sheetId="2">
        <row r="107">
          <cell r="BA107">
            <v>20392.99676390332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Таштагол 07"/>
      <sheetName val="Таштагол 08"/>
      <sheetName val="Таштагол 09"/>
      <sheetName val="Шалым 07"/>
      <sheetName val="Шалым 08"/>
      <sheetName val="Шалым 09"/>
    </sheetNames>
    <sheetDataSet>
      <sheetData sheetId="2">
        <row r="77">
          <cell r="BA77">
            <v>10291.047735974096</v>
          </cell>
        </row>
      </sheetData>
      <sheetData sheetId="3">
        <row r="77">
          <cell r="AZ77">
            <v>10291.047735974096</v>
          </cell>
        </row>
      </sheetData>
      <sheetData sheetId="4">
        <row r="77">
          <cell r="AZ77">
            <v>10291.047735974096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Таштагол 04"/>
      <sheetName val="Таштагол 05"/>
      <sheetName val="Таштагол 06"/>
      <sheetName val="Шерегеш 04"/>
      <sheetName val="Шерегеш 05"/>
      <sheetName val="Шалым 04"/>
      <sheetName val="Шалым 05"/>
      <sheetName val="Шалым 06"/>
    </sheetNames>
    <sheetDataSet>
      <sheetData sheetId="3">
        <row r="77">
          <cell r="AZ77">
            <v>9794.216781685034</v>
          </cell>
        </row>
      </sheetData>
      <sheetData sheetId="4">
        <row r="77">
          <cell r="AZ77">
            <v>9790.995311629695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Q44">
            <v>0</v>
          </cell>
          <cell r="R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2">
          <cell r="Z4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AA44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Лист2 (2)"/>
      <sheetName val="2011 полн"/>
      <sheetName val="2011 печать"/>
    </sheetNames>
    <sheetDataSet>
      <sheetData sheetId="0">
        <row r="44">
          <cell r="AD44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173">
          <cell r="I173">
            <v>114</v>
          </cell>
          <cell r="R173">
            <v>28.5</v>
          </cell>
        </row>
      </sheetData>
      <sheetData sheetId="1">
        <row r="174">
          <cell r="S174">
            <v>28.5</v>
          </cell>
        </row>
        <row r="175">
          <cell r="G175">
            <v>114</v>
          </cell>
        </row>
      </sheetData>
      <sheetData sheetId="2">
        <row r="175">
          <cell r="J175">
            <v>114</v>
          </cell>
          <cell r="S175">
            <v>28.5</v>
          </cell>
        </row>
      </sheetData>
      <sheetData sheetId="3">
        <row r="177">
          <cell r="S177">
            <v>28.5</v>
          </cell>
        </row>
      </sheetData>
      <sheetData sheetId="4">
        <row r="175">
          <cell r="J175">
            <v>114</v>
          </cell>
          <cell r="S175">
            <v>28.5</v>
          </cell>
        </row>
      </sheetData>
      <sheetData sheetId="5">
        <row r="175">
          <cell r="J175">
            <v>114</v>
          </cell>
          <cell r="S175">
            <v>28.5</v>
          </cell>
        </row>
      </sheetData>
      <sheetData sheetId="6">
        <row r="179">
          <cell r="J179">
            <v>114</v>
          </cell>
          <cell r="S179">
            <v>28.5</v>
          </cell>
        </row>
      </sheetData>
      <sheetData sheetId="7">
        <row r="183">
          <cell r="J183">
            <v>114</v>
          </cell>
          <cell r="S183">
            <v>28.5</v>
          </cell>
        </row>
      </sheetData>
      <sheetData sheetId="8">
        <row r="183">
          <cell r="J183">
            <v>114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177">
          <cell r="J177">
            <v>114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2"/>
  <sheetViews>
    <sheetView zoomScalePageLayoutView="0" workbookViewId="0" topLeftCell="A1">
      <pane xSplit="1" ySplit="1" topLeftCell="AK2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S38" sqref="AS38"/>
    </sheetView>
  </sheetViews>
  <sheetFormatPr defaultColWidth="9.00390625" defaultRowHeight="12.75"/>
  <cols>
    <col min="1" max="1" width="10.875" style="2" customWidth="1"/>
    <col min="2" max="2" width="9.375" style="2" bestFit="1" customWidth="1"/>
    <col min="3" max="3" width="12.125" style="2" customWidth="1"/>
    <col min="4" max="4" width="10.375" style="2" customWidth="1"/>
    <col min="5" max="5" width="10.125" style="2" customWidth="1"/>
    <col min="6" max="6" width="9.00390625" style="2" customWidth="1"/>
    <col min="7" max="7" width="10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5" width="7.00390625" style="2" customWidth="1"/>
    <col min="16" max="16" width="6.375" style="2" customWidth="1"/>
    <col min="17" max="17" width="10.00390625" style="2" customWidth="1"/>
    <col min="18" max="18" width="9.125" style="2" customWidth="1"/>
    <col min="19" max="19" width="11.375" style="2" customWidth="1"/>
    <col min="20" max="21" width="10.125" style="2" customWidth="1"/>
    <col min="22" max="22" width="10.25390625" style="2" customWidth="1"/>
    <col min="23" max="23" width="10.00390625" style="2" customWidth="1"/>
    <col min="24" max="24" width="10.125" style="2" customWidth="1"/>
    <col min="25" max="26" width="9.125" style="2" customWidth="1"/>
    <col min="27" max="27" width="10.00390625" style="2" customWidth="1"/>
    <col min="28" max="29" width="11.375" style="2" customWidth="1"/>
    <col min="30" max="30" width="9.25390625" style="2" bestFit="1" customWidth="1"/>
    <col min="31" max="31" width="10.00390625" style="2" customWidth="1"/>
    <col min="32" max="32" width="9.25390625" style="2" customWidth="1"/>
    <col min="33" max="33" width="10.25390625" style="2" customWidth="1"/>
    <col min="34" max="34" width="9.25390625" style="2" bestFit="1" customWidth="1"/>
    <col min="35" max="35" width="10.375" style="2" customWidth="1"/>
    <col min="36" max="36" width="9.25390625" style="2" bestFit="1" customWidth="1"/>
    <col min="37" max="37" width="10.00390625" style="2" customWidth="1"/>
    <col min="38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875" style="2" customWidth="1"/>
    <col min="52" max="52" width="6.625" style="2" customWidth="1"/>
    <col min="53" max="53" width="6.875" style="2" customWidth="1"/>
    <col min="54" max="55" width="11.8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.75" customHeight="1">
      <c r="A1" s="284" t="s">
        <v>87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285" t="s">
        <v>0</v>
      </c>
      <c r="B3" s="288" t="s">
        <v>1</v>
      </c>
      <c r="C3" s="288" t="s">
        <v>2</v>
      </c>
      <c r="D3" s="288" t="s">
        <v>3</v>
      </c>
      <c r="E3" s="291" t="s">
        <v>4</v>
      </c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303" t="s">
        <v>5</v>
      </c>
      <c r="T3" s="303"/>
      <c r="U3" s="304" t="s">
        <v>6</v>
      </c>
      <c r="V3" s="304"/>
      <c r="W3" s="304"/>
      <c r="X3" s="304"/>
      <c r="Y3" s="304"/>
      <c r="Z3" s="304"/>
      <c r="AA3" s="304"/>
      <c r="AB3" s="304"/>
      <c r="AC3" s="306" t="s">
        <v>7</v>
      </c>
      <c r="AD3" s="306" t="s">
        <v>8</v>
      </c>
      <c r="AE3" s="306" t="s">
        <v>9</v>
      </c>
      <c r="AF3" s="113"/>
      <c r="AG3" s="316" t="s">
        <v>10</v>
      </c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  <c r="AZ3" s="316"/>
      <c r="BA3" s="316"/>
      <c r="BB3" s="316"/>
      <c r="BC3" s="173"/>
      <c r="BD3" s="300" t="s">
        <v>11</v>
      </c>
      <c r="BE3" s="293" t="s">
        <v>12</v>
      </c>
    </row>
    <row r="4" spans="1:57" ht="36" customHeight="1" thickBot="1">
      <c r="A4" s="286"/>
      <c r="B4" s="289"/>
      <c r="C4" s="289"/>
      <c r="D4" s="289"/>
      <c r="E4" s="292" t="s">
        <v>13</v>
      </c>
      <c r="F4" s="292"/>
      <c r="G4" s="292" t="s">
        <v>14</v>
      </c>
      <c r="H4" s="292"/>
      <c r="I4" s="292" t="s">
        <v>15</v>
      </c>
      <c r="J4" s="292"/>
      <c r="K4" s="292" t="s">
        <v>16</v>
      </c>
      <c r="L4" s="292"/>
      <c r="M4" s="292" t="s">
        <v>17</v>
      </c>
      <c r="N4" s="292"/>
      <c r="O4" s="292" t="s">
        <v>18</v>
      </c>
      <c r="P4" s="292"/>
      <c r="Q4" s="292" t="s">
        <v>19</v>
      </c>
      <c r="R4" s="292"/>
      <c r="S4" s="292"/>
      <c r="T4" s="292"/>
      <c r="U4" s="305"/>
      <c r="V4" s="305"/>
      <c r="W4" s="305"/>
      <c r="X4" s="305"/>
      <c r="Y4" s="305"/>
      <c r="Z4" s="305"/>
      <c r="AA4" s="305"/>
      <c r="AB4" s="305"/>
      <c r="AC4" s="307"/>
      <c r="AD4" s="307"/>
      <c r="AE4" s="307"/>
      <c r="AF4" s="111"/>
      <c r="AG4" s="296"/>
      <c r="AH4" s="296"/>
      <c r="AI4" s="296"/>
      <c r="AJ4" s="296"/>
      <c r="AK4" s="296"/>
      <c r="AL4" s="296"/>
      <c r="AM4" s="296"/>
      <c r="AN4" s="296"/>
      <c r="AO4" s="296"/>
      <c r="AP4" s="296"/>
      <c r="AQ4" s="296"/>
      <c r="AR4" s="296"/>
      <c r="AS4" s="296"/>
      <c r="AT4" s="296"/>
      <c r="AU4" s="296"/>
      <c r="AV4" s="296"/>
      <c r="AW4" s="296"/>
      <c r="AX4" s="296"/>
      <c r="AY4" s="296"/>
      <c r="AZ4" s="296"/>
      <c r="BA4" s="296"/>
      <c r="BB4" s="296"/>
      <c r="BC4" s="172"/>
      <c r="BD4" s="301"/>
      <c r="BE4" s="294"/>
    </row>
    <row r="5" spans="1:57" ht="29.25" customHeight="1" thickBot="1">
      <c r="A5" s="286"/>
      <c r="B5" s="289"/>
      <c r="C5" s="289"/>
      <c r="D5" s="289"/>
      <c r="E5" s="298" t="s">
        <v>20</v>
      </c>
      <c r="F5" s="298" t="s">
        <v>21</v>
      </c>
      <c r="G5" s="298" t="s">
        <v>20</v>
      </c>
      <c r="H5" s="298" t="s">
        <v>21</v>
      </c>
      <c r="I5" s="298" t="s">
        <v>20</v>
      </c>
      <c r="J5" s="298" t="s">
        <v>21</v>
      </c>
      <c r="K5" s="298" t="s">
        <v>20</v>
      </c>
      <c r="L5" s="298" t="s">
        <v>21</v>
      </c>
      <c r="M5" s="298" t="s">
        <v>20</v>
      </c>
      <c r="N5" s="298" t="s">
        <v>21</v>
      </c>
      <c r="O5" s="298" t="s">
        <v>20</v>
      </c>
      <c r="P5" s="298" t="s">
        <v>21</v>
      </c>
      <c r="Q5" s="298" t="s">
        <v>20</v>
      </c>
      <c r="R5" s="298" t="s">
        <v>21</v>
      </c>
      <c r="S5" s="298" t="s">
        <v>20</v>
      </c>
      <c r="T5" s="298" t="s">
        <v>21</v>
      </c>
      <c r="U5" s="307" t="s">
        <v>22</v>
      </c>
      <c r="V5" s="307" t="s">
        <v>23</v>
      </c>
      <c r="W5" s="307" t="s">
        <v>24</v>
      </c>
      <c r="X5" s="307" t="s">
        <v>25</v>
      </c>
      <c r="Y5" s="307" t="s">
        <v>26</v>
      </c>
      <c r="Z5" s="307" t="s">
        <v>27</v>
      </c>
      <c r="AA5" s="307" t="s">
        <v>28</v>
      </c>
      <c r="AB5" s="307" t="s">
        <v>29</v>
      </c>
      <c r="AC5" s="307"/>
      <c r="AD5" s="307"/>
      <c r="AE5" s="307"/>
      <c r="AF5" s="111"/>
      <c r="AG5" s="296" t="s">
        <v>30</v>
      </c>
      <c r="AH5" s="296" t="s">
        <v>31</v>
      </c>
      <c r="AI5" s="296" t="s">
        <v>32</v>
      </c>
      <c r="AJ5" s="296" t="s">
        <v>33</v>
      </c>
      <c r="AK5" s="296" t="s">
        <v>34</v>
      </c>
      <c r="AL5" s="296" t="s">
        <v>33</v>
      </c>
      <c r="AM5" s="296" t="s">
        <v>35</v>
      </c>
      <c r="AN5" s="296" t="s">
        <v>33</v>
      </c>
      <c r="AO5" s="296" t="s">
        <v>36</v>
      </c>
      <c r="AP5" s="296" t="s">
        <v>33</v>
      </c>
      <c r="AQ5" s="309" t="s">
        <v>78</v>
      </c>
      <c r="AR5" s="319" t="s">
        <v>33</v>
      </c>
      <c r="AS5" s="314" t="s">
        <v>84</v>
      </c>
      <c r="AT5" s="317" t="s">
        <v>83</v>
      </c>
      <c r="AU5" s="317" t="s">
        <v>33</v>
      </c>
      <c r="AV5" s="311" t="s">
        <v>79</v>
      </c>
      <c r="AW5" s="312"/>
      <c r="AX5" s="313"/>
      <c r="AY5" s="296" t="s">
        <v>19</v>
      </c>
      <c r="AZ5" s="296" t="s">
        <v>38</v>
      </c>
      <c r="BA5" s="296" t="s">
        <v>33</v>
      </c>
      <c r="BB5" s="296" t="s">
        <v>39</v>
      </c>
      <c r="BC5" s="281" t="s">
        <v>90</v>
      </c>
      <c r="BD5" s="301"/>
      <c r="BE5" s="294"/>
    </row>
    <row r="6" spans="1:57" ht="54" customHeight="1" thickBot="1">
      <c r="A6" s="287"/>
      <c r="B6" s="290"/>
      <c r="C6" s="290"/>
      <c r="D6" s="290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112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310"/>
      <c r="AR6" s="320"/>
      <c r="AS6" s="315"/>
      <c r="AT6" s="318"/>
      <c r="AU6" s="318"/>
      <c r="AV6" s="124" t="s">
        <v>80</v>
      </c>
      <c r="AW6" s="124" t="s">
        <v>81</v>
      </c>
      <c r="AX6" s="124" t="s">
        <v>82</v>
      </c>
      <c r="AY6" s="297"/>
      <c r="AZ6" s="297"/>
      <c r="BA6" s="297"/>
      <c r="BB6" s="297"/>
      <c r="BC6" s="282"/>
      <c r="BD6" s="302"/>
      <c r="BE6" s="295"/>
    </row>
    <row r="7" spans="1:57" ht="13.5" thickBot="1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  <c r="AC7" s="8">
        <v>29</v>
      </c>
      <c r="AD7" s="9">
        <v>30</v>
      </c>
      <c r="AE7" s="8">
        <v>31</v>
      </c>
      <c r="AF7" s="9">
        <v>32</v>
      </c>
      <c r="AG7" s="8">
        <v>33</v>
      </c>
      <c r="AH7" s="9">
        <v>34</v>
      </c>
      <c r="AI7" s="8">
        <v>35</v>
      </c>
      <c r="AJ7" s="9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8">
        <v>43</v>
      </c>
      <c r="AR7" s="9">
        <v>44</v>
      </c>
      <c r="AS7" s="8">
        <v>45</v>
      </c>
      <c r="AT7" s="9">
        <v>46</v>
      </c>
      <c r="AU7" s="8">
        <v>47</v>
      </c>
      <c r="AV7" s="9">
        <v>48</v>
      </c>
      <c r="AW7" s="8">
        <v>49</v>
      </c>
      <c r="AX7" s="9">
        <v>50</v>
      </c>
      <c r="AY7" s="8">
        <v>51</v>
      </c>
      <c r="AZ7" s="9">
        <v>52</v>
      </c>
      <c r="BA7" s="8">
        <v>53</v>
      </c>
      <c r="BB7" s="9">
        <v>54</v>
      </c>
      <c r="BC7" s="283"/>
      <c r="BD7" s="8">
        <v>55</v>
      </c>
      <c r="BE7" s="9">
        <v>56</v>
      </c>
    </row>
    <row r="8" spans="1:57" ht="12.75">
      <c r="A8" s="5" t="s">
        <v>40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6"/>
      <c r="AT8" s="6"/>
      <c r="AU8" s="6"/>
      <c r="AV8" s="7"/>
      <c r="AW8" s="7"/>
      <c r="AX8" s="7"/>
      <c r="AY8" s="7"/>
      <c r="AZ8" s="7"/>
      <c r="BA8" s="7"/>
      <c r="BB8" s="7"/>
      <c r="BC8" s="7"/>
      <c r="BD8" s="7"/>
      <c r="BE8" s="12"/>
    </row>
    <row r="9" spans="1:57" ht="12.75">
      <c r="A9" s="13" t="s">
        <v>41</v>
      </c>
      <c r="B9" s="97">
        <v>5870.2</v>
      </c>
      <c r="C9" s="114">
        <f>B9*8.65</f>
        <v>50777.23</v>
      </c>
      <c r="D9" s="115">
        <f>C9*0.24088</f>
        <v>12231.2191624</v>
      </c>
      <c r="E9" s="139">
        <v>4053.27</v>
      </c>
      <c r="F9" s="139">
        <v>771.61</v>
      </c>
      <c r="G9" s="139">
        <v>5472.02</v>
      </c>
      <c r="H9" s="139">
        <v>1041.65</v>
      </c>
      <c r="I9" s="139">
        <v>13173.26</v>
      </c>
      <c r="J9" s="139">
        <v>2507.72</v>
      </c>
      <c r="K9" s="139">
        <v>9120.02</v>
      </c>
      <c r="L9" s="139">
        <v>1736.1</v>
      </c>
      <c r="M9" s="139">
        <v>3242.61</v>
      </c>
      <c r="N9" s="139">
        <v>617.27</v>
      </c>
      <c r="O9" s="139">
        <v>0</v>
      </c>
      <c r="P9" s="139">
        <v>0</v>
      </c>
      <c r="Q9" s="139">
        <v>0</v>
      </c>
      <c r="R9" s="139">
        <v>0</v>
      </c>
      <c r="S9" s="98">
        <f>E9+G9+I9+K9+M9+O9+Q9</f>
        <v>35061.18</v>
      </c>
      <c r="T9" s="116">
        <f>P9+N9+L9+J9+H9+F9+R9</f>
        <v>6674.349999999999</v>
      </c>
      <c r="U9" s="98">
        <v>0</v>
      </c>
      <c r="V9" s="98">
        <v>0</v>
      </c>
      <c r="W9" s="98">
        <v>0</v>
      </c>
      <c r="X9" s="98">
        <v>0</v>
      </c>
      <c r="Y9" s="98">
        <v>0</v>
      </c>
      <c r="Z9" s="104">
        <v>0</v>
      </c>
      <c r="AA9" s="104">
        <v>0</v>
      </c>
      <c r="AB9" s="104">
        <f>SUM(U9:AA9)</f>
        <v>0</v>
      </c>
      <c r="AC9" s="134">
        <f>D9+T9+AB9</f>
        <v>18905.5691624</v>
      </c>
      <c r="AD9" s="135">
        <f>P9+Z9</f>
        <v>0</v>
      </c>
      <c r="AE9" s="120">
        <f>R9+AA9</f>
        <v>0</v>
      </c>
      <c r="AF9" s="120"/>
      <c r="AG9" s="31">
        <f>0.6*B9</f>
        <v>3522.12</v>
      </c>
      <c r="AH9" s="31">
        <f>B9*0.2*1.05826</f>
        <v>1242.4395703999999</v>
      </c>
      <c r="AI9" s="31">
        <f>0.8518*B9-0.01</f>
        <v>5000.22636</v>
      </c>
      <c r="AJ9" s="31">
        <f>AI9*0.18</f>
        <v>900.0407447999999</v>
      </c>
      <c r="AK9" s="31">
        <f>1.04*B9*0.9531</f>
        <v>5818.6831248</v>
      </c>
      <c r="AL9" s="31">
        <f>AK9*0.18</f>
        <v>1047.362962464</v>
      </c>
      <c r="AM9" s="31">
        <f>(1.91)*B9*0.9531</f>
        <v>10686.235354199998</v>
      </c>
      <c r="AN9" s="31">
        <f>AM9*0.18</f>
        <v>1923.5223637559995</v>
      </c>
      <c r="AO9" s="31"/>
      <c r="AP9" s="31">
        <f>AO9*0.18</f>
        <v>0</v>
      </c>
      <c r="AQ9" s="31"/>
      <c r="AR9" s="31"/>
      <c r="AS9" s="102">
        <v>12429.85</v>
      </c>
      <c r="AT9" s="102"/>
      <c r="AU9" s="30">
        <f>AS9*0.18</f>
        <v>2237.373</v>
      </c>
      <c r="AV9" s="19"/>
      <c r="AW9" s="19"/>
      <c r="AX9" s="20">
        <v>0</v>
      </c>
      <c r="AY9" s="20">
        <v>0</v>
      </c>
      <c r="AZ9" s="20">
        <v>0</v>
      </c>
      <c r="BA9" s="19">
        <f>AZ9*0.18</f>
        <v>0</v>
      </c>
      <c r="BB9" s="19">
        <f>SUM(AG9:BA9)</f>
        <v>44807.85348042</v>
      </c>
      <c r="BC9" s="19"/>
      <c r="BD9" s="19">
        <f>AC9-BB9</f>
        <v>-25902.284318020003</v>
      </c>
      <c r="BE9" s="21">
        <f>AB9-S9</f>
        <v>-35061.18</v>
      </c>
    </row>
    <row r="10" spans="1:57" ht="12.75">
      <c r="A10" s="13" t="s">
        <v>42</v>
      </c>
      <c r="B10" s="97">
        <v>5870.2</v>
      </c>
      <c r="C10" s="114">
        <f>B10*8.65</f>
        <v>50777.23</v>
      </c>
      <c r="D10" s="115">
        <f>C10*0.24088</f>
        <v>12231.2191624</v>
      </c>
      <c r="E10" s="139">
        <v>3857.69</v>
      </c>
      <c r="F10" s="139">
        <v>775.46</v>
      </c>
      <c r="G10" s="139">
        <v>5207.77</v>
      </c>
      <c r="H10" s="139">
        <v>1046.94</v>
      </c>
      <c r="I10" s="139">
        <v>12537.27</v>
      </c>
      <c r="J10" s="139">
        <v>2520.33</v>
      </c>
      <c r="K10" s="139">
        <v>8679.73</v>
      </c>
      <c r="L10" s="139">
        <v>1744.84</v>
      </c>
      <c r="M10" s="139">
        <v>3086.03</v>
      </c>
      <c r="N10" s="139">
        <v>620.41</v>
      </c>
      <c r="O10" s="139">
        <v>0</v>
      </c>
      <c r="P10" s="139">
        <v>0</v>
      </c>
      <c r="Q10" s="98">
        <v>0</v>
      </c>
      <c r="R10" s="98">
        <v>0</v>
      </c>
      <c r="S10" s="98">
        <f>E10+G10+I10+K10+M10+O10+Q10</f>
        <v>33368.490000000005</v>
      </c>
      <c r="T10" s="116">
        <f>P10+N10+L10+J10+H10+F10+R10</f>
        <v>6707.9800000000005</v>
      </c>
      <c r="U10" s="98">
        <v>2938.94</v>
      </c>
      <c r="V10" s="98">
        <v>3967.7</v>
      </c>
      <c r="W10" s="98">
        <v>9588.61</v>
      </c>
      <c r="X10" s="98">
        <v>6612.72</v>
      </c>
      <c r="Y10" s="98">
        <v>2351.05</v>
      </c>
      <c r="Z10" s="104">
        <v>0</v>
      </c>
      <c r="AA10" s="104">
        <v>0</v>
      </c>
      <c r="AB10" s="121">
        <f>SUM(U10:AA10)</f>
        <v>25459.02</v>
      </c>
      <c r="AC10" s="119">
        <f>D10+T10+AB10</f>
        <v>44398.2191624</v>
      </c>
      <c r="AD10" s="120">
        <f>P10+Z10</f>
        <v>0</v>
      </c>
      <c r="AE10" s="120">
        <f>R10+AA10</f>
        <v>0</v>
      </c>
      <c r="AF10" s="120"/>
      <c r="AG10" s="31">
        <f>0.6*B10</f>
        <v>3522.12</v>
      </c>
      <c r="AH10" s="31">
        <f>B10*0.201</f>
        <v>1179.9102</v>
      </c>
      <c r="AI10" s="31">
        <f>0.8518*B10-0.01</f>
        <v>5000.22636</v>
      </c>
      <c r="AJ10" s="31">
        <f>AI10*0.18</f>
        <v>900.0407447999999</v>
      </c>
      <c r="AK10" s="31">
        <f>1.04*B10*0.9531</f>
        <v>5818.6831248</v>
      </c>
      <c r="AL10" s="31">
        <f>AK10*0.18</f>
        <v>1047.362962464</v>
      </c>
      <c r="AM10" s="31">
        <f>(1.91)*B10*0.9531</f>
        <v>10686.235354199998</v>
      </c>
      <c r="AN10" s="31">
        <f>AM10*0.18</f>
        <v>1923.5223637559995</v>
      </c>
      <c r="AO10" s="31"/>
      <c r="AP10" s="31">
        <f>AO10*0.18</f>
        <v>0</v>
      </c>
      <c r="AQ10" s="31"/>
      <c r="AR10" s="31"/>
      <c r="AS10" s="102">
        <v>44732</v>
      </c>
      <c r="AT10" s="102"/>
      <c r="AU10" s="30">
        <f>AS10*0.18</f>
        <v>8051.759999999999</v>
      </c>
      <c r="AV10" s="19"/>
      <c r="AW10" s="19"/>
      <c r="AX10" s="20">
        <v>0</v>
      </c>
      <c r="AY10" s="20">
        <v>0</v>
      </c>
      <c r="AZ10" s="20">
        <v>0</v>
      </c>
      <c r="BA10" s="19">
        <f>AZ10*0.18</f>
        <v>0</v>
      </c>
      <c r="BB10" s="19">
        <f>SUM(AG10:BA10)</f>
        <v>82861.86111001999</v>
      </c>
      <c r="BC10" s="19"/>
      <c r="BD10" s="19">
        <f aca="true" t="shared" si="0" ref="BD10:BD25">AC10-BB10</f>
        <v>-38463.641947619995</v>
      </c>
      <c r="BE10" s="21">
        <f>AB10-S10</f>
        <v>-7909.470000000005</v>
      </c>
    </row>
    <row r="11" spans="1:57" ht="12.75">
      <c r="A11" s="13" t="s">
        <v>43</v>
      </c>
      <c r="B11" s="97">
        <v>5870.2</v>
      </c>
      <c r="C11" s="114">
        <f>B11*8.65</f>
        <v>50777.23</v>
      </c>
      <c r="D11" s="115">
        <f>C11*0.24035</f>
        <v>12204.3072305</v>
      </c>
      <c r="E11" s="139">
        <v>3978.97</v>
      </c>
      <c r="F11" s="139">
        <v>786.85</v>
      </c>
      <c r="G11" s="139">
        <v>5371.59</v>
      </c>
      <c r="H11" s="139">
        <v>1062.28</v>
      </c>
      <c r="I11" s="139">
        <v>12931.59</v>
      </c>
      <c r="J11" s="139">
        <v>2557.3</v>
      </c>
      <c r="K11" s="139">
        <v>8952.69</v>
      </c>
      <c r="L11" s="139">
        <v>1770.43</v>
      </c>
      <c r="M11" s="139">
        <v>3183.09</v>
      </c>
      <c r="N11" s="139">
        <v>629.5</v>
      </c>
      <c r="O11" s="139">
        <v>0</v>
      </c>
      <c r="P11" s="140">
        <v>0</v>
      </c>
      <c r="Q11" s="139">
        <v>0</v>
      </c>
      <c r="R11" s="140">
        <v>0</v>
      </c>
      <c r="S11" s="98">
        <f>E11+G11+I11+K11+M11+O11+Q11</f>
        <v>34417.93000000001</v>
      </c>
      <c r="T11" s="116">
        <f>P11+N11+L11+J11+H11+F11+R11</f>
        <v>6806.360000000001</v>
      </c>
      <c r="U11" s="98">
        <v>4086.88</v>
      </c>
      <c r="V11" s="98">
        <v>5517.17</v>
      </c>
      <c r="W11" s="98">
        <v>13282.11</v>
      </c>
      <c r="X11" s="98">
        <v>9195.45</v>
      </c>
      <c r="Y11" s="98">
        <v>3269.46</v>
      </c>
      <c r="Z11" s="104">
        <v>0</v>
      </c>
      <c r="AA11" s="104">
        <v>0</v>
      </c>
      <c r="AB11" s="121">
        <f>SUM(U11:AA11)</f>
        <v>35351.07</v>
      </c>
      <c r="AC11" s="119">
        <f>D11+T11+AB11</f>
        <v>54361.7372305</v>
      </c>
      <c r="AD11" s="120">
        <f>P11+Z11</f>
        <v>0</v>
      </c>
      <c r="AE11" s="120">
        <f>R11+AA11</f>
        <v>0</v>
      </c>
      <c r="AF11" s="120"/>
      <c r="AG11" s="31">
        <f>0.6*B11</f>
        <v>3522.12</v>
      </c>
      <c r="AH11" s="31">
        <f>B11*0.2*1.02524-0.01</f>
        <v>1203.6627695999998</v>
      </c>
      <c r="AI11" s="31">
        <f>0.84932*B11</f>
        <v>4985.678263999999</v>
      </c>
      <c r="AJ11" s="31">
        <f>AI11*0.18</f>
        <v>897.4220875199999</v>
      </c>
      <c r="AK11" s="31">
        <f>1.04*B11*0.95033</f>
        <v>5801.77225264</v>
      </c>
      <c r="AL11" s="31">
        <f>AK11*0.18</f>
        <v>1044.3190054752</v>
      </c>
      <c r="AM11" s="31">
        <f>(1.91)*B11*0.95033-0.1</f>
        <v>10655.077887059999</v>
      </c>
      <c r="AN11" s="31">
        <f>AM11*0.18</f>
        <v>1917.9140196707997</v>
      </c>
      <c r="AO11" s="31"/>
      <c r="AP11" s="31">
        <f>AO11*0.18</f>
        <v>0</v>
      </c>
      <c r="AQ11" s="31"/>
      <c r="AR11" s="31"/>
      <c r="AS11" s="102">
        <v>12615</v>
      </c>
      <c r="AT11" s="102"/>
      <c r="AU11" s="30">
        <f>AS11*0.18</f>
        <v>2270.7</v>
      </c>
      <c r="AV11" s="19"/>
      <c r="AW11" s="19"/>
      <c r="AX11" s="20">
        <v>0</v>
      </c>
      <c r="AY11" s="20">
        <v>0</v>
      </c>
      <c r="AZ11" s="20">
        <v>0</v>
      </c>
      <c r="BA11" s="19">
        <f>AZ11*0.18</f>
        <v>0</v>
      </c>
      <c r="BB11" s="19">
        <f>SUM(AG11:BA11)</f>
        <v>44913.666285966</v>
      </c>
      <c r="BC11" s="19"/>
      <c r="BD11" s="19">
        <f t="shared" si="0"/>
        <v>9448.070944534004</v>
      </c>
      <c r="BE11" s="21">
        <f>AB11-S11</f>
        <v>933.1399999999921</v>
      </c>
    </row>
    <row r="12" spans="1:57" s="28" customFormat="1" ht="15" customHeight="1">
      <c r="A12" s="22" t="s">
        <v>5</v>
      </c>
      <c r="B12" s="23"/>
      <c r="C12" s="23">
        <f aca="true" t="shared" si="1" ref="C12:BE12">SUM(C9:C11)</f>
        <v>152331.69</v>
      </c>
      <c r="D12" s="23">
        <f t="shared" si="1"/>
        <v>36666.7455553</v>
      </c>
      <c r="E12" s="23">
        <f aca="true" t="shared" si="2" ref="E12:R12">SUM(E9:E11)</f>
        <v>11889.93</v>
      </c>
      <c r="F12" s="23">
        <f t="shared" si="2"/>
        <v>2333.92</v>
      </c>
      <c r="G12" s="23">
        <f t="shared" si="2"/>
        <v>16051.380000000001</v>
      </c>
      <c r="H12" s="23">
        <f t="shared" si="2"/>
        <v>3150.87</v>
      </c>
      <c r="I12" s="23">
        <f t="shared" si="2"/>
        <v>38642.119999999995</v>
      </c>
      <c r="J12" s="23">
        <f t="shared" si="2"/>
        <v>7585.349999999999</v>
      </c>
      <c r="K12" s="23">
        <f t="shared" si="2"/>
        <v>26752.440000000002</v>
      </c>
      <c r="L12" s="23">
        <f t="shared" si="2"/>
        <v>5251.37</v>
      </c>
      <c r="M12" s="23">
        <f t="shared" si="2"/>
        <v>9511.73</v>
      </c>
      <c r="N12" s="23">
        <f t="shared" si="2"/>
        <v>1867.1799999999998</v>
      </c>
      <c r="O12" s="23">
        <f t="shared" si="2"/>
        <v>0</v>
      </c>
      <c r="P12" s="23">
        <f t="shared" si="2"/>
        <v>0</v>
      </c>
      <c r="Q12" s="23">
        <f t="shared" si="2"/>
        <v>0</v>
      </c>
      <c r="R12" s="23">
        <f t="shared" si="2"/>
        <v>0</v>
      </c>
      <c r="S12" s="24">
        <f t="shared" si="1"/>
        <v>102847.60000000002</v>
      </c>
      <c r="T12" s="24">
        <f t="shared" si="1"/>
        <v>20188.690000000002</v>
      </c>
      <c r="U12" s="25">
        <f t="shared" si="1"/>
        <v>7025.82</v>
      </c>
      <c r="V12" s="25">
        <f t="shared" si="1"/>
        <v>9484.869999999999</v>
      </c>
      <c r="W12" s="25">
        <f t="shared" si="1"/>
        <v>22870.72</v>
      </c>
      <c r="X12" s="25">
        <f t="shared" si="1"/>
        <v>15808.170000000002</v>
      </c>
      <c r="Y12" s="25">
        <f t="shared" si="1"/>
        <v>5620.51</v>
      </c>
      <c r="Z12" s="25">
        <f t="shared" si="1"/>
        <v>0</v>
      </c>
      <c r="AA12" s="25">
        <f t="shared" si="1"/>
        <v>0</v>
      </c>
      <c r="AB12" s="25">
        <f t="shared" si="1"/>
        <v>60810.09</v>
      </c>
      <c r="AC12" s="25">
        <f t="shared" si="1"/>
        <v>117665.5255553</v>
      </c>
      <c r="AD12" s="109">
        <f t="shared" si="1"/>
        <v>0</v>
      </c>
      <c r="AE12" s="109">
        <f t="shared" si="1"/>
        <v>0</v>
      </c>
      <c r="AF12" s="109"/>
      <c r="AG12" s="26">
        <f t="shared" si="1"/>
        <v>10566.36</v>
      </c>
      <c r="AH12" s="26">
        <f t="shared" si="1"/>
        <v>3626.0125399999997</v>
      </c>
      <c r="AI12" s="26">
        <f t="shared" si="1"/>
        <v>14986.130984</v>
      </c>
      <c r="AJ12" s="26">
        <f t="shared" si="1"/>
        <v>2697.5035771199996</v>
      </c>
      <c r="AK12" s="26">
        <f t="shared" si="1"/>
        <v>17439.13850224</v>
      </c>
      <c r="AL12" s="26">
        <f t="shared" si="1"/>
        <v>3139.0449304032</v>
      </c>
      <c r="AM12" s="26">
        <f>SUM(AM9:AM11)</f>
        <v>32027.548595459994</v>
      </c>
      <c r="AN12" s="26">
        <f>SUM(AN9:AN11)</f>
        <v>5764.958747182799</v>
      </c>
      <c r="AO12" s="26">
        <f t="shared" si="1"/>
        <v>0</v>
      </c>
      <c r="AP12" s="26">
        <f t="shared" si="1"/>
        <v>0</v>
      </c>
      <c r="AQ12" s="26"/>
      <c r="AR12" s="26"/>
      <c r="AS12" s="92">
        <f t="shared" si="1"/>
        <v>69776.85</v>
      </c>
      <c r="AT12" s="92">
        <f t="shared" si="1"/>
        <v>0</v>
      </c>
      <c r="AU12" s="92">
        <f t="shared" si="1"/>
        <v>12559.832999999999</v>
      </c>
      <c r="AV12" s="26"/>
      <c r="AW12" s="26"/>
      <c r="AX12" s="26">
        <f t="shared" si="1"/>
        <v>0</v>
      </c>
      <c r="AY12" s="26">
        <f t="shared" si="1"/>
        <v>0</v>
      </c>
      <c r="AZ12" s="26">
        <f t="shared" si="1"/>
        <v>0</v>
      </c>
      <c r="BA12" s="26">
        <f t="shared" si="1"/>
        <v>0</v>
      </c>
      <c r="BB12" s="26">
        <f t="shared" si="1"/>
        <v>172583.38087640598</v>
      </c>
      <c r="BC12" s="26"/>
      <c r="BD12" s="26">
        <f t="shared" si="1"/>
        <v>-54917.85532110599</v>
      </c>
      <c r="BE12" s="27">
        <f t="shared" si="1"/>
        <v>-42037.51000000002</v>
      </c>
    </row>
    <row r="13" spans="1:57" ht="15" customHeight="1">
      <c r="A13" s="5" t="s">
        <v>44</v>
      </c>
      <c r="B13" s="90"/>
      <c r="C13" s="15"/>
      <c r="D13" s="15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1"/>
      <c r="P13" s="17"/>
      <c r="Q13" s="16"/>
      <c r="R13" s="16"/>
      <c r="S13" s="16"/>
      <c r="T13" s="16"/>
      <c r="U13" s="29"/>
      <c r="V13" s="29"/>
      <c r="W13" s="29"/>
      <c r="X13" s="29"/>
      <c r="Y13" s="29"/>
      <c r="Z13" s="29"/>
      <c r="AA13" s="18"/>
      <c r="AB13" s="18"/>
      <c r="AC13" s="107"/>
      <c r="AD13" s="108"/>
      <c r="AE13" s="108"/>
      <c r="AF13" s="108"/>
      <c r="AG13" s="19"/>
      <c r="AH13" s="19"/>
      <c r="AI13" s="19"/>
      <c r="AJ13" s="19"/>
      <c r="AK13" s="19"/>
      <c r="AL13" s="19"/>
      <c r="AM13" s="19"/>
      <c r="AN13" s="19"/>
      <c r="AO13" s="20"/>
      <c r="AP13" s="20"/>
      <c r="AQ13" s="20"/>
      <c r="AR13" s="20"/>
      <c r="AS13" s="101"/>
      <c r="AT13" s="101"/>
      <c r="AU13" s="30"/>
      <c r="AV13" s="19"/>
      <c r="AW13" s="19"/>
      <c r="AX13" s="20"/>
      <c r="AY13" s="20"/>
      <c r="AZ13" s="20"/>
      <c r="BA13" s="19"/>
      <c r="BB13" s="19"/>
      <c r="BC13" s="19"/>
      <c r="BD13" s="19"/>
      <c r="BE13" s="21"/>
    </row>
    <row r="14" spans="1:57" ht="12.75">
      <c r="A14" s="13" t="s">
        <v>45</v>
      </c>
      <c r="B14" s="117">
        <v>5866.3</v>
      </c>
      <c r="C14" s="114">
        <f aca="true" t="shared" si="3" ref="C14:C19">B14*8.65</f>
        <v>50743.495</v>
      </c>
      <c r="D14" s="115">
        <f>C14*0.125</f>
        <v>6342.936875</v>
      </c>
      <c r="E14" s="139">
        <v>3949.89</v>
      </c>
      <c r="F14" s="139">
        <v>786.96</v>
      </c>
      <c r="G14" s="139">
        <v>5332.37</v>
      </c>
      <c r="H14" s="139">
        <v>1062.43</v>
      </c>
      <c r="I14" s="139">
        <v>12837.09</v>
      </c>
      <c r="J14" s="139">
        <v>2557.66</v>
      </c>
      <c r="K14" s="139">
        <v>8887.31</v>
      </c>
      <c r="L14" s="139">
        <v>1770.68</v>
      </c>
      <c r="M14" s="139">
        <v>3159.81</v>
      </c>
      <c r="N14" s="139">
        <v>629.58</v>
      </c>
      <c r="O14" s="139">
        <v>0</v>
      </c>
      <c r="P14" s="140">
        <v>0</v>
      </c>
      <c r="Q14" s="140">
        <v>7284.22</v>
      </c>
      <c r="R14" s="140">
        <v>633.14</v>
      </c>
      <c r="S14" s="98">
        <f aca="true" t="shared" si="4" ref="S14:S19">E14+G14+I14+K14+M14+O14+Q14</f>
        <v>41450.689999999995</v>
      </c>
      <c r="T14" s="116">
        <f aca="true" t="shared" si="5" ref="T14:T19">P14+N14+L14+J14+H14+F14+R14</f>
        <v>7440.450000000001</v>
      </c>
      <c r="U14" s="98">
        <v>3264.14</v>
      </c>
      <c r="V14" s="98">
        <v>4406.48</v>
      </c>
      <c r="W14" s="98">
        <v>10608.2</v>
      </c>
      <c r="X14" s="98">
        <v>7344.27</v>
      </c>
      <c r="Y14" s="98">
        <v>2611.07</v>
      </c>
      <c r="Z14" s="104">
        <v>0</v>
      </c>
      <c r="AA14" s="104">
        <v>6709.74</v>
      </c>
      <c r="AB14" s="118">
        <f aca="true" t="shared" si="6" ref="AB14:AB19">SUM(U14:AA14)</f>
        <v>34943.9</v>
      </c>
      <c r="AC14" s="119">
        <f aca="true" t="shared" si="7" ref="AC14:AC19">D14+T14+AB14</f>
        <v>48727.286875000005</v>
      </c>
      <c r="AD14" s="120">
        <f aca="true" t="shared" si="8" ref="AD14:AD19">P14+Z14</f>
        <v>0</v>
      </c>
      <c r="AE14" s="120">
        <f aca="true" t="shared" si="9" ref="AE14:AE19">R14+AA14</f>
        <v>7342.88</v>
      </c>
      <c r="AF14" s="120"/>
      <c r="AG14" s="31">
        <f>0.6*B14*0.9</f>
        <v>3167.802</v>
      </c>
      <c r="AH14" s="31">
        <f>B14*0.2*0.891</f>
        <v>1045.37466</v>
      </c>
      <c r="AI14" s="31">
        <f>0.85*B14*0.867-0.02</f>
        <v>4323.149785</v>
      </c>
      <c r="AJ14" s="31">
        <f aca="true" t="shared" si="10" ref="AJ14:AJ19">AI14*0.18</f>
        <v>778.1669612999999</v>
      </c>
      <c r="AK14" s="31">
        <f>0.83*B14*0.8685</f>
        <v>4228.7516865</v>
      </c>
      <c r="AL14" s="31">
        <f aca="true" t="shared" si="11" ref="AL14:AL19">AK14*0.18</f>
        <v>761.17530357</v>
      </c>
      <c r="AM14" s="31">
        <f>1.91*B14*0.8686</f>
        <v>9732.3442238</v>
      </c>
      <c r="AN14" s="31">
        <f aca="true" t="shared" si="12" ref="AN14:AN19">AM14*0.18</f>
        <v>1751.8219602840002</v>
      </c>
      <c r="AO14" s="31"/>
      <c r="AP14" s="31">
        <f aca="true" t="shared" si="13" ref="AP14:AR19">AO14*0.18</f>
        <v>0</v>
      </c>
      <c r="AQ14" s="125"/>
      <c r="AR14" s="125">
        <f>AQ14*0.18</f>
        <v>0</v>
      </c>
      <c r="AS14" s="102">
        <v>16394</v>
      </c>
      <c r="AT14" s="102"/>
      <c r="AU14" s="102">
        <f>(AS14+AT14)*0.18+0.01</f>
        <v>2950.9300000000003</v>
      </c>
      <c r="AV14" s="126"/>
      <c r="AW14" s="141">
        <v>4725</v>
      </c>
      <c r="AX14" s="31">
        <f aca="true" t="shared" si="14" ref="AX14:AX19">AW14*1.12*1.18</f>
        <v>6244.56</v>
      </c>
      <c r="AY14" s="128">
        <v>9806.808354869087</v>
      </c>
      <c r="AZ14" s="129"/>
      <c r="BA14" s="130"/>
      <c r="BB14" s="130">
        <f>SUM(AG14:AU14)+AY14</f>
        <v>54940.32493532308</v>
      </c>
      <c r="BC14" s="130"/>
      <c r="BD14" s="19">
        <f t="shared" si="0"/>
        <v>-6213.038060323073</v>
      </c>
      <c r="BE14" s="21">
        <f aca="true" t="shared" si="15" ref="BE14:BE25">AB14-S14</f>
        <v>-6506.789999999994</v>
      </c>
    </row>
    <row r="15" spans="1:57" ht="12.75">
      <c r="A15" s="13" t="s">
        <v>46</v>
      </c>
      <c r="B15" s="117">
        <v>5866.3</v>
      </c>
      <c r="C15" s="114">
        <f t="shared" si="3"/>
        <v>50743.495</v>
      </c>
      <c r="D15" s="115">
        <f>C15*0.125</f>
        <v>6342.936875</v>
      </c>
      <c r="E15" s="139">
        <v>3951.36</v>
      </c>
      <c r="F15" s="139">
        <v>788.34</v>
      </c>
      <c r="G15" s="139">
        <v>5334.36</v>
      </c>
      <c r="H15" s="139">
        <v>1064.29</v>
      </c>
      <c r="I15" s="139">
        <v>12841.88</v>
      </c>
      <c r="J15" s="139">
        <v>2562.15</v>
      </c>
      <c r="K15" s="139">
        <v>8890.61</v>
      </c>
      <c r="L15" s="139">
        <v>1773.79</v>
      </c>
      <c r="M15" s="139">
        <v>3161.04</v>
      </c>
      <c r="N15" s="139">
        <v>630.68</v>
      </c>
      <c r="O15" s="139">
        <v>0</v>
      </c>
      <c r="P15" s="140">
        <v>0</v>
      </c>
      <c r="Q15" s="140">
        <v>7523.28</v>
      </c>
      <c r="R15" s="140">
        <v>704.11</v>
      </c>
      <c r="S15" s="98">
        <f t="shared" si="4"/>
        <v>41702.53</v>
      </c>
      <c r="T15" s="116">
        <f t="shared" si="5"/>
        <v>7523.36</v>
      </c>
      <c r="U15" s="98">
        <v>3446.55</v>
      </c>
      <c r="V15" s="98">
        <v>4653.27</v>
      </c>
      <c r="W15" s="98">
        <v>11202.6</v>
      </c>
      <c r="X15" s="98">
        <v>7756.08</v>
      </c>
      <c r="Y15" s="98">
        <v>2757.04</v>
      </c>
      <c r="Z15" s="104">
        <v>0</v>
      </c>
      <c r="AA15" s="104">
        <v>5878.27</v>
      </c>
      <c r="AB15" s="121">
        <f t="shared" si="6"/>
        <v>35693.81</v>
      </c>
      <c r="AC15" s="119">
        <f t="shared" si="7"/>
        <v>49560.106875</v>
      </c>
      <c r="AD15" s="120">
        <f t="shared" si="8"/>
        <v>0</v>
      </c>
      <c r="AE15" s="120">
        <f t="shared" si="9"/>
        <v>6582.38</v>
      </c>
      <c r="AF15" s="120"/>
      <c r="AG15" s="31">
        <f>0.6*B15*0.9</f>
        <v>3167.802</v>
      </c>
      <c r="AH15" s="31">
        <f>B15*0.2*0.9153</f>
        <v>1073.884878</v>
      </c>
      <c r="AI15" s="31">
        <f>0.85*B15*0.867</f>
        <v>4323.169785</v>
      </c>
      <c r="AJ15" s="31">
        <f t="shared" si="10"/>
        <v>778.1705613</v>
      </c>
      <c r="AK15" s="31">
        <f>0.83*B15*0.8684</f>
        <v>4228.2647836</v>
      </c>
      <c r="AL15" s="31">
        <f t="shared" si="11"/>
        <v>761.0876610479999</v>
      </c>
      <c r="AM15" s="31">
        <f>(1.91)*B15*0.8684</f>
        <v>9730.1032972</v>
      </c>
      <c r="AN15" s="31">
        <f t="shared" si="12"/>
        <v>1751.4185934959999</v>
      </c>
      <c r="AO15" s="31"/>
      <c r="AP15" s="31">
        <f t="shared" si="13"/>
        <v>0</v>
      </c>
      <c r="AQ15" s="125"/>
      <c r="AR15" s="125">
        <f>AQ15*0.18</f>
        <v>0</v>
      </c>
      <c r="AS15" s="102">
        <v>11570</v>
      </c>
      <c r="AT15" s="102"/>
      <c r="AU15" s="102">
        <f>(AS15+AT15)*0.18</f>
        <v>2082.6</v>
      </c>
      <c r="AV15" s="126"/>
      <c r="AW15" s="141">
        <v>3812</v>
      </c>
      <c r="AX15" s="31">
        <f t="shared" si="14"/>
        <v>5037.939200000001</v>
      </c>
      <c r="AY15" s="128">
        <v>9806.808354869087</v>
      </c>
      <c r="AZ15" s="130"/>
      <c r="BA15" s="130"/>
      <c r="BB15" s="130">
        <f>SUM(AG15:AU15)+AY15</f>
        <v>49273.309914513084</v>
      </c>
      <c r="BC15" s="130"/>
      <c r="BD15" s="19">
        <f t="shared" si="0"/>
        <v>286.79696048691403</v>
      </c>
      <c r="BE15" s="21">
        <f t="shared" si="15"/>
        <v>-6008.720000000001</v>
      </c>
    </row>
    <row r="16" spans="1:57" ht="12.75">
      <c r="A16" s="13" t="s">
        <v>47</v>
      </c>
      <c r="B16" s="142">
        <v>5864.6</v>
      </c>
      <c r="C16" s="114">
        <f t="shared" si="3"/>
        <v>50728.79000000001</v>
      </c>
      <c r="D16" s="115">
        <f>C16*0.125</f>
        <v>6341.098750000001</v>
      </c>
      <c r="E16" s="139">
        <v>3687.99</v>
      </c>
      <c r="F16" s="139">
        <v>801.54</v>
      </c>
      <c r="G16" s="139">
        <v>4978.87</v>
      </c>
      <c r="H16" s="139">
        <v>1082.11</v>
      </c>
      <c r="I16" s="139">
        <v>11985.9</v>
      </c>
      <c r="J16" s="139">
        <v>2605.06</v>
      </c>
      <c r="K16" s="139">
        <v>8297.99</v>
      </c>
      <c r="L16" s="139">
        <v>1803.5</v>
      </c>
      <c r="M16" s="139">
        <v>2950.35</v>
      </c>
      <c r="N16" s="139">
        <v>641.23</v>
      </c>
      <c r="O16" s="139">
        <v>0</v>
      </c>
      <c r="P16" s="140">
        <v>0</v>
      </c>
      <c r="Q16" s="140">
        <v>6687.23</v>
      </c>
      <c r="R16" s="140">
        <v>686.6</v>
      </c>
      <c r="S16" s="98">
        <f t="shared" si="4"/>
        <v>38588.33</v>
      </c>
      <c r="T16" s="116">
        <f t="shared" si="5"/>
        <v>7620.04</v>
      </c>
      <c r="U16" s="99">
        <v>4380.17</v>
      </c>
      <c r="V16" s="99">
        <v>5912.74</v>
      </c>
      <c r="W16" s="99">
        <v>14206.36</v>
      </c>
      <c r="X16" s="99">
        <v>9853.96</v>
      </c>
      <c r="Y16" s="99">
        <v>3504.1</v>
      </c>
      <c r="Z16" s="122">
        <v>0</v>
      </c>
      <c r="AA16" s="122">
        <v>8445.49</v>
      </c>
      <c r="AB16" s="118">
        <f t="shared" si="6"/>
        <v>46302.81999999999</v>
      </c>
      <c r="AC16" s="119">
        <f t="shared" si="7"/>
        <v>60263.95874999999</v>
      </c>
      <c r="AD16" s="120">
        <f t="shared" si="8"/>
        <v>0</v>
      </c>
      <c r="AE16" s="120">
        <f t="shared" si="9"/>
        <v>9132.09</v>
      </c>
      <c r="AF16" s="120"/>
      <c r="AG16" s="31">
        <f>0.6*B16*0.9</f>
        <v>3166.8840000000005</v>
      </c>
      <c r="AH16" s="123">
        <f>B16*0.2*0.9082-0.01</f>
        <v>1065.235944</v>
      </c>
      <c r="AI16" s="31">
        <f>0.85*B16*0.8675</f>
        <v>4324.409425</v>
      </c>
      <c r="AJ16" s="31">
        <f t="shared" si="10"/>
        <v>778.3936964999999</v>
      </c>
      <c r="AK16" s="123">
        <f>0.83*B16*0.838</f>
        <v>4079.063884</v>
      </c>
      <c r="AL16" s="31">
        <f t="shared" si="11"/>
        <v>734.23149912</v>
      </c>
      <c r="AM16" s="31">
        <f>1.91*B16*0.8381</f>
        <v>9387.8816066</v>
      </c>
      <c r="AN16" s="31">
        <f t="shared" si="12"/>
        <v>1689.818689188</v>
      </c>
      <c r="AO16" s="31"/>
      <c r="AP16" s="31">
        <f t="shared" si="13"/>
        <v>0</v>
      </c>
      <c r="AQ16" s="125"/>
      <c r="AR16" s="125">
        <f>AQ16*0.18</f>
        <v>0</v>
      </c>
      <c r="AS16" s="102">
        <v>10643</v>
      </c>
      <c r="AT16" s="102"/>
      <c r="AU16" s="102">
        <f>(AS16+AT16)*0.18</f>
        <v>1915.74</v>
      </c>
      <c r="AV16" s="126"/>
      <c r="AW16" s="143">
        <v>3907</v>
      </c>
      <c r="AX16" s="31">
        <f t="shared" si="14"/>
        <v>5163.4911999999995</v>
      </c>
      <c r="AY16" s="128">
        <v>9805.428863551988</v>
      </c>
      <c r="AZ16" s="130"/>
      <c r="BA16" s="130"/>
      <c r="BB16" s="130">
        <f>SUM(AG16:AU16)+AY16</f>
        <v>47590.087607959984</v>
      </c>
      <c r="BC16" s="130"/>
      <c r="BD16" s="19">
        <f t="shared" si="0"/>
        <v>12673.871142040007</v>
      </c>
      <c r="BE16" s="21">
        <f t="shared" si="15"/>
        <v>7714.489999999991</v>
      </c>
    </row>
    <row r="17" spans="1:57" ht="12.75">
      <c r="A17" s="13" t="s">
        <v>48</v>
      </c>
      <c r="B17" s="144">
        <v>5863.4</v>
      </c>
      <c r="C17" s="114">
        <f t="shared" si="3"/>
        <v>50718.409999999996</v>
      </c>
      <c r="D17" s="115">
        <f>C17*0.125</f>
        <v>6339.8012499999995</v>
      </c>
      <c r="E17" s="145">
        <v>4270.21</v>
      </c>
      <c r="F17" s="145">
        <v>814.84</v>
      </c>
      <c r="G17" s="145">
        <v>5764.63</v>
      </c>
      <c r="H17" s="145">
        <v>1100.08</v>
      </c>
      <c r="I17" s="145">
        <v>13877.88</v>
      </c>
      <c r="J17" s="145">
        <v>2648.3</v>
      </c>
      <c r="K17" s="145">
        <v>9607.85</v>
      </c>
      <c r="L17" s="145">
        <v>1833.44</v>
      </c>
      <c r="M17" s="145">
        <v>3415.98</v>
      </c>
      <c r="N17" s="145">
        <v>651.88</v>
      </c>
      <c r="O17" s="145">
        <v>0</v>
      </c>
      <c r="P17" s="146">
        <v>0</v>
      </c>
      <c r="Q17" s="146">
        <v>7658.47</v>
      </c>
      <c r="R17" s="146">
        <v>716.28</v>
      </c>
      <c r="S17" s="98">
        <f t="shared" si="4"/>
        <v>44595.020000000004</v>
      </c>
      <c r="T17" s="116">
        <f t="shared" si="5"/>
        <v>7764.820000000001</v>
      </c>
      <c r="U17" s="98">
        <v>3373.22</v>
      </c>
      <c r="V17" s="98">
        <v>4553.82</v>
      </c>
      <c r="W17" s="98">
        <v>10956.07</v>
      </c>
      <c r="X17" s="98">
        <v>7589.8</v>
      </c>
      <c r="Y17" s="98">
        <v>2698.52</v>
      </c>
      <c r="Z17" s="98">
        <v>0</v>
      </c>
      <c r="AA17" s="98">
        <v>7188.41</v>
      </c>
      <c r="AB17" s="118">
        <f t="shared" si="6"/>
        <v>36359.84</v>
      </c>
      <c r="AC17" s="119">
        <f t="shared" si="7"/>
        <v>50464.46124999999</v>
      </c>
      <c r="AD17" s="120">
        <f t="shared" si="8"/>
        <v>0</v>
      </c>
      <c r="AE17" s="120">
        <f t="shared" si="9"/>
        <v>7904.69</v>
      </c>
      <c r="AF17" s="120"/>
      <c r="AG17" s="31">
        <f>0.6*B17*0.9</f>
        <v>3166.2359999999994</v>
      </c>
      <c r="AH17" s="123">
        <f>B17*0.2*0.9234</f>
        <v>1082.852712</v>
      </c>
      <c r="AI17" s="31">
        <f>0.85*B17*0.8934</f>
        <v>4452.607325999999</v>
      </c>
      <c r="AJ17" s="31">
        <f t="shared" si="10"/>
        <v>801.4693186799999</v>
      </c>
      <c r="AK17" s="31">
        <f>0.83*B17*0.8498</f>
        <v>4135.655375599999</v>
      </c>
      <c r="AL17" s="31">
        <f t="shared" si="11"/>
        <v>744.4179676079999</v>
      </c>
      <c r="AM17" s="31">
        <f>(1.91)*B17*0.8498</f>
        <v>9516.9900812</v>
      </c>
      <c r="AN17" s="31">
        <f t="shared" si="12"/>
        <v>1713.0582146159998</v>
      </c>
      <c r="AO17" s="31"/>
      <c r="AP17" s="31">
        <f t="shared" si="13"/>
        <v>0</v>
      </c>
      <c r="AQ17" s="125"/>
      <c r="AR17" s="125">
        <f t="shared" si="13"/>
        <v>0</v>
      </c>
      <c r="AS17" s="102">
        <v>2273.64</v>
      </c>
      <c r="AT17" s="102"/>
      <c r="AU17" s="102">
        <f>(AS17+AT17)*0.18</f>
        <v>409.25519999999995</v>
      </c>
      <c r="AV17" s="126"/>
      <c r="AW17" s="147">
        <v>3662</v>
      </c>
      <c r="AX17" s="31">
        <f t="shared" si="14"/>
        <v>4839.6992</v>
      </c>
      <c r="AY17" s="128">
        <v>9803.815974259232</v>
      </c>
      <c r="AZ17" s="128"/>
      <c r="BA17" s="130"/>
      <c r="BB17" s="19">
        <f>SUM(AG17:BA17)-AV17-AW17+AX14+AX15+AX16</f>
        <v>59385.687769963224</v>
      </c>
      <c r="BC17" s="19"/>
      <c r="BD17" s="19">
        <f t="shared" si="0"/>
        <v>-8921.226519963231</v>
      </c>
      <c r="BE17" s="21">
        <f t="shared" si="15"/>
        <v>-8235.180000000008</v>
      </c>
    </row>
    <row r="18" spans="1:57" ht="12.75">
      <c r="A18" s="13" t="s">
        <v>49</v>
      </c>
      <c r="B18" s="142">
        <v>5860.7</v>
      </c>
      <c r="C18" s="114">
        <f t="shared" si="3"/>
        <v>50695.055</v>
      </c>
      <c r="D18" s="131">
        <f>C18-E18-F18-G18-H18-I18-J18-K18-L18-M18-N18</f>
        <v>5123.835000000001</v>
      </c>
      <c r="E18" s="145">
        <v>4350.53</v>
      </c>
      <c r="F18" s="145">
        <v>908.86</v>
      </c>
      <c r="G18" s="145">
        <v>5894.05</v>
      </c>
      <c r="H18" s="145">
        <v>1232.02</v>
      </c>
      <c r="I18" s="145">
        <v>14159.96</v>
      </c>
      <c r="J18" s="145">
        <v>2958.83</v>
      </c>
      <c r="K18" s="145">
        <v>9809.49</v>
      </c>
      <c r="L18" s="145">
        <v>2050</v>
      </c>
      <c r="M18" s="145">
        <v>3480.41</v>
      </c>
      <c r="N18" s="145">
        <v>727.07</v>
      </c>
      <c r="O18" s="145">
        <v>0</v>
      </c>
      <c r="P18" s="146">
        <v>0</v>
      </c>
      <c r="Q18" s="146">
        <v>7267.64</v>
      </c>
      <c r="R18" s="146">
        <v>711.36</v>
      </c>
      <c r="S18" s="98">
        <f t="shared" si="4"/>
        <v>44962.08</v>
      </c>
      <c r="T18" s="116">
        <f t="shared" si="5"/>
        <v>8588.14</v>
      </c>
      <c r="U18" s="99">
        <v>3738.26</v>
      </c>
      <c r="V18" s="99">
        <v>5046.8</v>
      </c>
      <c r="W18" s="99">
        <v>12149.51</v>
      </c>
      <c r="X18" s="99">
        <v>8411.23</v>
      </c>
      <c r="Y18" s="99">
        <v>2990.67</v>
      </c>
      <c r="Z18" s="122">
        <v>0</v>
      </c>
      <c r="AA18" s="122">
        <v>7083.67</v>
      </c>
      <c r="AB18" s="118">
        <f t="shared" si="6"/>
        <v>39420.14</v>
      </c>
      <c r="AC18" s="119">
        <f t="shared" si="7"/>
        <v>53132.115</v>
      </c>
      <c r="AD18" s="120">
        <f t="shared" si="8"/>
        <v>0</v>
      </c>
      <c r="AE18" s="120">
        <f t="shared" si="9"/>
        <v>7795.03</v>
      </c>
      <c r="AF18" s="120"/>
      <c r="AG18" s="31">
        <f>0.6*B18</f>
        <v>3516.4199999999996</v>
      </c>
      <c r="AH18" s="31">
        <f>B18*0.2*1.01</f>
        <v>1183.8614</v>
      </c>
      <c r="AI18" s="31">
        <f>0.85*B18</f>
        <v>4981.594999999999</v>
      </c>
      <c r="AJ18" s="31">
        <f t="shared" si="10"/>
        <v>896.6870999999999</v>
      </c>
      <c r="AK18" s="31">
        <f>0.83*B18</f>
        <v>4864.380999999999</v>
      </c>
      <c r="AL18" s="31">
        <f t="shared" si="11"/>
        <v>875.5885799999999</v>
      </c>
      <c r="AM18" s="31">
        <f>(1.91)*B18</f>
        <v>11193.937</v>
      </c>
      <c r="AN18" s="31">
        <f t="shared" si="12"/>
        <v>2014.9086599999998</v>
      </c>
      <c r="AO18" s="31"/>
      <c r="AP18" s="31">
        <f t="shared" si="13"/>
        <v>0</v>
      </c>
      <c r="AQ18" s="125"/>
      <c r="AR18" s="125">
        <f t="shared" si="13"/>
        <v>0</v>
      </c>
      <c r="AS18" s="102">
        <v>0</v>
      </c>
      <c r="AT18" s="102"/>
      <c r="AU18" s="102">
        <f>(AS18+AT18)*0.18</f>
        <v>0</v>
      </c>
      <c r="AV18" s="126"/>
      <c r="AW18" s="148">
        <v>3212</v>
      </c>
      <c r="AX18" s="31">
        <f t="shared" si="14"/>
        <v>4244.979200000001</v>
      </c>
      <c r="AY18" s="128">
        <v>9801.793061006005</v>
      </c>
      <c r="AZ18" s="129"/>
      <c r="BA18" s="130"/>
      <c r="BB18" s="19">
        <f>SUM(AG18:BA18)-AV18-AW18</f>
        <v>43574.15100100601</v>
      </c>
      <c r="BC18" s="19"/>
      <c r="BD18" s="19">
        <f t="shared" si="0"/>
        <v>9557.96399899399</v>
      </c>
      <c r="BE18" s="21">
        <f t="shared" si="15"/>
        <v>-5541.940000000002</v>
      </c>
    </row>
    <row r="19" spans="1:57" ht="12.75">
      <c r="A19" s="13" t="s">
        <v>50</v>
      </c>
      <c r="B19" s="142">
        <v>5860.7</v>
      </c>
      <c r="C19" s="114">
        <f t="shared" si="3"/>
        <v>50695.055</v>
      </c>
      <c r="D19" s="131">
        <f>C19-E19-F19-G19-H19-I19-J19-K19-L19-M19-N19</f>
        <v>4971.215000000002</v>
      </c>
      <c r="E19" s="145">
        <v>4368.14</v>
      </c>
      <c r="F19" s="145">
        <v>908.85</v>
      </c>
      <c r="G19" s="145">
        <v>5917.95</v>
      </c>
      <c r="H19" s="145">
        <v>1232.01</v>
      </c>
      <c r="I19" s="145">
        <v>14217.33</v>
      </c>
      <c r="J19" s="145">
        <v>2958.82</v>
      </c>
      <c r="K19" s="145">
        <v>9849.2</v>
      </c>
      <c r="L19" s="145">
        <v>2049.99</v>
      </c>
      <c r="M19" s="145">
        <v>3494.48</v>
      </c>
      <c r="N19" s="145">
        <v>727.07</v>
      </c>
      <c r="O19" s="145">
        <v>0</v>
      </c>
      <c r="P19" s="146">
        <v>0</v>
      </c>
      <c r="Q19" s="146">
        <v>7185</v>
      </c>
      <c r="R19" s="146">
        <v>714.05</v>
      </c>
      <c r="S19" s="98">
        <f t="shared" si="4"/>
        <v>45032.1</v>
      </c>
      <c r="T19" s="116">
        <f t="shared" si="5"/>
        <v>8590.79</v>
      </c>
      <c r="U19" s="99">
        <v>4454.23</v>
      </c>
      <c r="V19" s="99">
        <v>6029.96</v>
      </c>
      <c r="W19" s="99">
        <v>14491.97</v>
      </c>
      <c r="X19" s="99">
        <v>10038.34</v>
      </c>
      <c r="Y19" s="99">
        <v>3563.33</v>
      </c>
      <c r="Z19" s="122">
        <v>0</v>
      </c>
      <c r="AA19" s="122">
        <v>8890.52</v>
      </c>
      <c r="AB19" s="118">
        <f t="shared" si="6"/>
        <v>47468.350000000006</v>
      </c>
      <c r="AC19" s="119">
        <f t="shared" si="7"/>
        <v>61030.35500000001</v>
      </c>
      <c r="AD19" s="120">
        <f t="shared" si="8"/>
        <v>0</v>
      </c>
      <c r="AE19" s="120">
        <f t="shared" si="9"/>
        <v>9604.57</v>
      </c>
      <c r="AF19" s="120"/>
      <c r="AG19" s="31">
        <f>0.6*B19</f>
        <v>3516.4199999999996</v>
      </c>
      <c r="AH19" s="31">
        <f>B19*0.2*1.01045-0.01</f>
        <v>1184.3788630000001</v>
      </c>
      <c r="AI19" s="31">
        <f>0.85*B19</f>
        <v>4981.594999999999</v>
      </c>
      <c r="AJ19" s="31">
        <f t="shared" si="10"/>
        <v>896.6870999999999</v>
      </c>
      <c r="AK19" s="31">
        <f>0.83*B19</f>
        <v>4864.380999999999</v>
      </c>
      <c r="AL19" s="31">
        <f t="shared" si="11"/>
        <v>875.5885799999999</v>
      </c>
      <c r="AM19" s="31">
        <f>(1.91)*B19</f>
        <v>11193.937</v>
      </c>
      <c r="AN19" s="31">
        <f t="shared" si="12"/>
        <v>2014.9086599999998</v>
      </c>
      <c r="AO19" s="31"/>
      <c r="AP19" s="31">
        <f t="shared" si="13"/>
        <v>0</v>
      </c>
      <c r="AQ19" s="125"/>
      <c r="AR19" s="125">
        <f t="shared" si="13"/>
        <v>0</v>
      </c>
      <c r="AS19" s="102">
        <v>2796.59</v>
      </c>
      <c r="AT19" s="102"/>
      <c r="AU19" s="102">
        <f>(AS19+AT19)*0.18</f>
        <v>503.38620000000003</v>
      </c>
      <c r="AV19" s="126"/>
      <c r="AW19" s="148">
        <v>3386</v>
      </c>
      <c r="AX19" s="31">
        <f t="shared" si="14"/>
        <v>4474.9376</v>
      </c>
      <c r="AY19" s="128">
        <v>9801.793061006005</v>
      </c>
      <c r="AZ19" s="129"/>
      <c r="BA19" s="130"/>
      <c r="BB19" s="19">
        <f aca="true" t="shared" si="16" ref="BB19:BB25">SUM(AG19:BA19)-AV19-AW19</f>
        <v>47104.603064006</v>
      </c>
      <c r="BC19" s="19"/>
      <c r="BD19" s="19">
        <f t="shared" si="0"/>
        <v>13925.751935994012</v>
      </c>
      <c r="BE19" s="21">
        <f t="shared" si="15"/>
        <v>2436.2500000000073</v>
      </c>
    </row>
    <row r="20" spans="1:57" ht="12.75">
      <c r="A20" s="13" t="s">
        <v>51</v>
      </c>
      <c r="B20" s="117">
        <v>5860.7</v>
      </c>
      <c r="C20" s="114">
        <v>50695.055</v>
      </c>
      <c r="D20" s="136">
        <v>4982.6849999999995</v>
      </c>
      <c r="E20" s="99">
        <v>4367.66</v>
      </c>
      <c r="F20" s="99">
        <v>908.04</v>
      </c>
      <c r="G20" s="99">
        <v>5917.22</v>
      </c>
      <c r="H20" s="99">
        <v>1230.91</v>
      </c>
      <c r="I20" s="99">
        <v>14215.67</v>
      </c>
      <c r="J20" s="99">
        <v>2956.15</v>
      </c>
      <c r="K20" s="99">
        <v>9848.06</v>
      </c>
      <c r="L20" s="99">
        <v>2048.15</v>
      </c>
      <c r="M20" s="100">
        <v>3494.08</v>
      </c>
      <c r="N20" s="100">
        <v>726.43</v>
      </c>
      <c r="O20" s="99">
        <v>0</v>
      </c>
      <c r="P20" s="122">
        <v>0</v>
      </c>
      <c r="Q20" s="99">
        <v>7038.8</v>
      </c>
      <c r="R20" s="122">
        <v>742.15</v>
      </c>
      <c r="S20" s="98">
        <v>44881.49</v>
      </c>
      <c r="T20" s="116">
        <v>8611.83</v>
      </c>
      <c r="U20" s="99">
        <v>4097.94</v>
      </c>
      <c r="V20" s="99">
        <v>5550.93</v>
      </c>
      <c r="W20" s="99">
        <v>13336.28</v>
      </c>
      <c r="X20" s="99">
        <v>9238.73</v>
      </c>
      <c r="Y20" s="99">
        <v>3278.57</v>
      </c>
      <c r="Z20" s="99">
        <v>0</v>
      </c>
      <c r="AA20" s="122">
        <v>7242.81</v>
      </c>
      <c r="AB20" s="118">
        <v>42745.26</v>
      </c>
      <c r="AC20" s="119">
        <v>56339.775</v>
      </c>
      <c r="AD20" s="120">
        <v>0</v>
      </c>
      <c r="AE20" s="120">
        <v>7984.96</v>
      </c>
      <c r="AF20" s="120"/>
      <c r="AG20" s="31">
        <v>3516.42</v>
      </c>
      <c r="AH20" s="31">
        <v>1165.4001950000002</v>
      </c>
      <c r="AI20" s="31">
        <v>4910.3581914999995</v>
      </c>
      <c r="AJ20" s="31">
        <v>883.8644744699999</v>
      </c>
      <c r="AK20" s="31">
        <v>4818.1693804999995</v>
      </c>
      <c r="AL20" s="31">
        <v>867.2704884899999</v>
      </c>
      <c r="AM20" s="31">
        <v>11086.4752048</v>
      </c>
      <c r="AN20" s="31">
        <v>1995.5655368639998</v>
      </c>
      <c r="AO20" s="31"/>
      <c r="AP20" s="31">
        <v>0</v>
      </c>
      <c r="AQ20" s="125"/>
      <c r="AR20" s="125">
        <v>0</v>
      </c>
      <c r="AS20" s="102">
        <v>3556</v>
      </c>
      <c r="AT20" s="102"/>
      <c r="AU20" s="102">
        <v>640.08</v>
      </c>
      <c r="AV20" s="126"/>
      <c r="AW20" s="127">
        <v>2708</v>
      </c>
      <c r="AX20" s="31">
        <v>3578.8928000000005</v>
      </c>
      <c r="AY20" s="128">
        <v>9805.513123193556</v>
      </c>
      <c r="AZ20" s="129"/>
      <c r="BA20" s="130"/>
      <c r="BB20" s="19">
        <f t="shared" si="16"/>
        <v>46824.00939481755</v>
      </c>
      <c r="BC20" s="19"/>
      <c r="BD20" s="19">
        <f>AC20-BB20</f>
        <v>9515.765605182452</v>
      </c>
      <c r="BE20" s="21">
        <f t="shared" si="15"/>
        <v>-2136.229999999996</v>
      </c>
    </row>
    <row r="21" spans="1:57" ht="12.75">
      <c r="A21" s="13" t="s">
        <v>52</v>
      </c>
      <c r="B21" s="117">
        <v>5858.8</v>
      </c>
      <c r="C21" s="114">
        <f>B21*8.65</f>
        <v>50678.62</v>
      </c>
      <c r="D21" s="131">
        <f>C21-E21-F21-G21-H21-I21-J21-K21-L21-M21-N21</f>
        <v>4940.039999999997</v>
      </c>
      <c r="E21" s="145">
        <v>4376.35</v>
      </c>
      <c r="F21" s="145">
        <v>903.22</v>
      </c>
      <c r="G21" s="145">
        <v>5928.87</v>
      </c>
      <c r="H21" s="145">
        <v>1224.37</v>
      </c>
      <c r="I21" s="145">
        <v>14236.93</v>
      </c>
      <c r="J21" s="145">
        <v>2940.46</v>
      </c>
      <c r="K21" s="145">
        <v>9867.51</v>
      </c>
      <c r="L21" s="145">
        <v>2037.27</v>
      </c>
      <c r="M21" s="145">
        <v>3501.05</v>
      </c>
      <c r="N21" s="145">
        <v>722.55</v>
      </c>
      <c r="O21" s="145">
        <v>0</v>
      </c>
      <c r="P21" s="146">
        <v>0</v>
      </c>
      <c r="Q21" s="145">
        <v>7632</v>
      </c>
      <c r="R21" s="145">
        <v>727.35</v>
      </c>
      <c r="S21" s="98">
        <f>E21+G21+I21+K21+M21+O21+Q21</f>
        <v>45542.71000000001</v>
      </c>
      <c r="T21" s="116">
        <f>P21+N21+L21+J21+H21+F21+R21</f>
        <v>8555.22</v>
      </c>
      <c r="U21" s="99">
        <v>4078.08</v>
      </c>
      <c r="V21" s="99">
        <v>5524.25</v>
      </c>
      <c r="W21" s="99">
        <v>13272.35</v>
      </c>
      <c r="X21" s="99">
        <v>9194.61</v>
      </c>
      <c r="Y21" s="99">
        <v>3262.49</v>
      </c>
      <c r="Z21" s="122">
        <v>0</v>
      </c>
      <c r="AA21" s="122">
        <v>8239.7</v>
      </c>
      <c r="AB21" s="118">
        <f>SUM(U21:AA21)</f>
        <v>43571.479999999996</v>
      </c>
      <c r="AC21" s="119">
        <f>D21+T21+AB21</f>
        <v>57066.73999999999</v>
      </c>
      <c r="AD21" s="120">
        <f>P21+Z21</f>
        <v>0</v>
      </c>
      <c r="AE21" s="120">
        <f>R21+AA21</f>
        <v>8967.050000000001</v>
      </c>
      <c r="AF21" s="120"/>
      <c r="AG21" s="31">
        <f>0.6*B21</f>
        <v>3515.28</v>
      </c>
      <c r="AH21" s="31">
        <f>B21*0.2*0.99875</f>
        <v>1170.2953</v>
      </c>
      <c r="AI21" s="31">
        <f>0.85*B21*0.98526</f>
        <v>4906.5750948</v>
      </c>
      <c r="AJ21" s="31">
        <f>AI21*0.18</f>
        <v>883.1835170640001</v>
      </c>
      <c r="AK21" s="31">
        <f>0.83*B21*0.99</f>
        <v>4814.1759600000005</v>
      </c>
      <c r="AL21" s="31">
        <f>AK21*0.18</f>
        <v>866.5516728</v>
      </c>
      <c r="AM21" s="31">
        <f>(1.91)*B21*0.99</f>
        <v>11078.404919999999</v>
      </c>
      <c r="AN21" s="31">
        <f>AM21*0.18</f>
        <v>1994.1128855999998</v>
      </c>
      <c r="AO21" s="31"/>
      <c r="AP21" s="31">
        <f>AO21*0.18</f>
        <v>0</v>
      </c>
      <c r="AQ21" s="125">
        <f>4515.25+976.52+6789.6</f>
        <v>12281.37</v>
      </c>
      <c r="AR21" s="125">
        <f>AQ21*0.18</f>
        <v>2210.6466</v>
      </c>
      <c r="AS21" s="102">
        <v>432</v>
      </c>
      <c r="AT21" s="102"/>
      <c r="AU21" s="102">
        <f>(AS21+AT21)*0.18</f>
        <v>77.75999999999999</v>
      </c>
      <c r="AV21" s="126"/>
      <c r="AW21" s="148">
        <v>2693</v>
      </c>
      <c r="AX21" s="31">
        <f>AW21*1.12*1.18</f>
        <v>3559.0688</v>
      </c>
      <c r="AY21" s="128">
        <v>9802.957605884876</v>
      </c>
      <c r="AZ21" s="129"/>
      <c r="BA21" s="130"/>
      <c r="BB21" s="19">
        <f t="shared" si="16"/>
        <v>57592.38235614888</v>
      </c>
      <c r="BC21" s="19"/>
      <c r="BD21" s="19">
        <f t="shared" si="0"/>
        <v>-525.6423561488918</v>
      </c>
      <c r="BE21" s="21">
        <f t="shared" si="15"/>
        <v>-1971.2300000000105</v>
      </c>
    </row>
    <row r="22" spans="1:57" ht="12.75">
      <c r="A22" s="13" t="s">
        <v>53</v>
      </c>
      <c r="B22" s="97">
        <v>5858.8</v>
      </c>
      <c r="C22" s="114">
        <f>B22*8.65</f>
        <v>50678.62</v>
      </c>
      <c r="D22" s="131">
        <f>C22-E22-F22-G22-H22-I22-J22-K22-L22-M22-N22</f>
        <v>4939.219999999997</v>
      </c>
      <c r="E22" s="139">
        <v>4383.48</v>
      </c>
      <c r="F22" s="139">
        <v>895.41</v>
      </c>
      <c r="G22" s="139">
        <v>5938.47</v>
      </c>
      <c r="H22" s="139">
        <v>1213.78</v>
      </c>
      <c r="I22" s="139">
        <v>14266.98</v>
      </c>
      <c r="J22" s="139">
        <v>2915.02</v>
      </c>
      <c r="K22" s="139">
        <v>9883.55</v>
      </c>
      <c r="L22" s="139">
        <v>2019.65</v>
      </c>
      <c r="M22" s="139">
        <v>3506.76</v>
      </c>
      <c r="N22" s="139">
        <v>716.3</v>
      </c>
      <c r="O22" s="139">
        <v>0</v>
      </c>
      <c r="P22" s="140">
        <v>0</v>
      </c>
      <c r="Q22" s="140">
        <v>7086.04</v>
      </c>
      <c r="R22" s="140">
        <v>710.22</v>
      </c>
      <c r="S22" s="98">
        <f>E22+G22+I22+K22+M22+O22+Q22</f>
        <v>45065.28</v>
      </c>
      <c r="T22" s="116">
        <f>P22+N22+L22+J22+H22+F22+R22</f>
        <v>8470.38</v>
      </c>
      <c r="U22" s="98">
        <v>3891.23</v>
      </c>
      <c r="V22" s="98">
        <v>5271.2</v>
      </c>
      <c r="W22" s="98">
        <v>12657.36</v>
      </c>
      <c r="X22" s="98">
        <v>8772.99</v>
      </c>
      <c r="Y22" s="98">
        <v>3112.94</v>
      </c>
      <c r="Z22" s="104">
        <v>0</v>
      </c>
      <c r="AA22" s="104">
        <v>7027.41</v>
      </c>
      <c r="AB22" s="118">
        <f>SUM(U22:AA22)</f>
        <v>40733.130000000005</v>
      </c>
      <c r="AC22" s="119">
        <f>D22+T22+AB22</f>
        <v>54142.729999999996</v>
      </c>
      <c r="AD22" s="120">
        <f>P22+Z22</f>
        <v>0</v>
      </c>
      <c r="AE22" s="120">
        <f>R22+AA22</f>
        <v>7737.63</v>
      </c>
      <c r="AF22" s="120"/>
      <c r="AG22" s="31">
        <f>0.6*B22</f>
        <v>3515.28</v>
      </c>
      <c r="AH22" s="31">
        <f>B22*0.2*0.9997</f>
        <v>1171.408472</v>
      </c>
      <c r="AI22" s="31">
        <f>0.85*B22*0.98509</f>
        <v>4905.728498200001</v>
      </c>
      <c r="AJ22" s="31">
        <f>AI22*0.18</f>
        <v>883.0311296760002</v>
      </c>
      <c r="AK22" s="31">
        <f>0.83*B22*0.98981</f>
        <v>4813.25202724</v>
      </c>
      <c r="AL22" s="31">
        <f>AK22*0.18</f>
        <v>866.3853649032</v>
      </c>
      <c r="AM22" s="31">
        <f>(1.91)*B22*0.98981</f>
        <v>11076.278761479998</v>
      </c>
      <c r="AN22" s="31">
        <f>AM22*0.18</f>
        <v>1993.7301770663996</v>
      </c>
      <c r="AO22" s="31"/>
      <c r="AP22" s="31">
        <f>AO22*0.18</f>
        <v>0</v>
      </c>
      <c r="AQ22" s="125"/>
      <c r="AR22" s="125">
        <f>AQ22*0.18</f>
        <v>0</v>
      </c>
      <c r="AS22" s="102"/>
      <c r="AT22" s="102"/>
      <c r="AU22" s="102">
        <f>(AS22+AT22)*0.18</f>
        <v>0</v>
      </c>
      <c r="AV22" s="126"/>
      <c r="AW22" s="148">
        <v>3095</v>
      </c>
      <c r="AX22" s="31">
        <f>AW22*1.12*1.18</f>
        <v>4090.3520000000003</v>
      </c>
      <c r="AY22" s="128">
        <v>9786.259170602749</v>
      </c>
      <c r="AZ22" s="129"/>
      <c r="BA22" s="130"/>
      <c r="BB22" s="19">
        <f t="shared" si="16"/>
        <v>43101.705601168345</v>
      </c>
      <c r="BC22" s="19"/>
      <c r="BD22" s="19">
        <f t="shared" si="0"/>
        <v>11041.02439883165</v>
      </c>
      <c r="BE22" s="21">
        <f t="shared" si="15"/>
        <v>-4332.149999999994</v>
      </c>
    </row>
    <row r="23" spans="1:57" ht="12.75">
      <c r="A23" s="32" t="s">
        <v>41</v>
      </c>
      <c r="B23" s="97">
        <v>5858.8</v>
      </c>
      <c r="C23" s="132">
        <v>50678.62</v>
      </c>
      <c r="D23" s="131">
        <v>5059.28</v>
      </c>
      <c r="E23" s="103">
        <v>4370.82</v>
      </c>
      <c r="F23" s="98">
        <v>894.21</v>
      </c>
      <c r="G23" s="98">
        <v>5921.33</v>
      </c>
      <c r="H23" s="98">
        <v>1212.16</v>
      </c>
      <c r="I23" s="98">
        <v>14225.76</v>
      </c>
      <c r="J23" s="98">
        <v>2911.14</v>
      </c>
      <c r="K23" s="98">
        <v>9854.98</v>
      </c>
      <c r="L23" s="98">
        <v>2016.97</v>
      </c>
      <c r="M23" s="98">
        <v>3496.63</v>
      </c>
      <c r="N23" s="98">
        <v>715.34</v>
      </c>
      <c r="O23" s="98">
        <v>0</v>
      </c>
      <c r="P23" s="104">
        <v>0</v>
      </c>
      <c r="Q23" s="98">
        <v>6778.7</v>
      </c>
      <c r="R23" s="98">
        <v>723.13</v>
      </c>
      <c r="S23" s="98">
        <v>44648.22</v>
      </c>
      <c r="T23" s="116">
        <v>8472.95</v>
      </c>
      <c r="U23" s="105">
        <v>5257.85</v>
      </c>
      <c r="V23" s="98">
        <v>7120.81</v>
      </c>
      <c r="W23" s="98">
        <v>17110.28</v>
      </c>
      <c r="X23" s="98">
        <v>11853.16</v>
      </c>
      <c r="Y23" s="98">
        <v>4206.69</v>
      </c>
      <c r="Z23" s="104">
        <v>0</v>
      </c>
      <c r="AA23" s="104">
        <v>8071.14</v>
      </c>
      <c r="AB23" s="104">
        <v>53619.93</v>
      </c>
      <c r="AC23" s="119">
        <v>67152.16</v>
      </c>
      <c r="AD23" s="120">
        <v>0</v>
      </c>
      <c r="AE23" s="120">
        <v>8794.27</v>
      </c>
      <c r="AF23" s="120"/>
      <c r="AG23" s="31">
        <v>3515.28</v>
      </c>
      <c r="AH23" s="31">
        <v>1171.76</v>
      </c>
      <c r="AI23" s="31">
        <v>4962.4036</v>
      </c>
      <c r="AJ23" s="31">
        <v>893.2326479999999</v>
      </c>
      <c r="AK23" s="31">
        <v>4862.804</v>
      </c>
      <c r="AL23" s="31">
        <v>875.30472</v>
      </c>
      <c r="AM23" s="31">
        <v>11171.440677966102</v>
      </c>
      <c r="AN23" s="31">
        <v>2010.8593220338983</v>
      </c>
      <c r="AO23" s="31"/>
      <c r="AP23" s="31">
        <v>0</v>
      </c>
      <c r="AQ23" s="125"/>
      <c r="AR23" s="125">
        <v>0</v>
      </c>
      <c r="AS23" s="102">
        <v>1731.07</v>
      </c>
      <c r="AT23" s="102"/>
      <c r="AU23" s="102">
        <v>311.5926</v>
      </c>
      <c r="AV23" s="126"/>
      <c r="AW23" s="127">
        <v>2713</v>
      </c>
      <c r="AX23" s="31">
        <v>3585.5008000000003</v>
      </c>
      <c r="AY23" s="128">
        <v>9786.51952</v>
      </c>
      <c r="AZ23" s="130"/>
      <c r="BA23" s="130"/>
      <c r="BB23" s="19">
        <f t="shared" si="16"/>
        <v>44877.767888</v>
      </c>
      <c r="BC23" s="19"/>
      <c r="BD23" s="19">
        <f>AC23-BB23</f>
        <v>22274.392112</v>
      </c>
      <c r="BE23" s="21">
        <f t="shared" si="15"/>
        <v>8971.71</v>
      </c>
    </row>
    <row r="24" spans="1:57" ht="12.75">
      <c r="A24" s="13" t="s">
        <v>42</v>
      </c>
      <c r="B24" s="117">
        <v>5858.8</v>
      </c>
      <c r="C24" s="132">
        <v>50678.62</v>
      </c>
      <c r="D24" s="136">
        <v>4931.330000000007</v>
      </c>
      <c r="E24" s="98">
        <v>4384.67</v>
      </c>
      <c r="F24" s="98">
        <v>895.15</v>
      </c>
      <c r="G24" s="98">
        <v>5940.03</v>
      </c>
      <c r="H24" s="98">
        <v>1213.42</v>
      </c>
      <c r="I24" s="98">
        <v>14270.8</v>
      </c>
      <c r="J24" s="98">
        <v>2914.18</v>
      </c>
      <c r="K24" s="98">
        <v>9886.16</v>
      </c>
      <c r="L24" s="98">
        <v>2019.07</v>
      </c>
      <c r="M24" s="96">
        <v>3507.73</v>
      </c>
      <c r="N24" s="96">
        <v>716.08</v>
      </c>
      <c r="O24" s="98">
        <v>0</v>
      </c>
      <c r="P24" s="104">
        <v>0</v>
      </c>
      <c r="Q24" s="104">
        <v>7358.91</v>
      </c>
      <c r="R24" s="104">
        <v>742.17</v>
      </c>
      <c r="S24" s="98">
        <v>45348.3</v>
      </c>
      <c r="T24" s="116">
        <v>8500.07</v>
      </c>
      <c r="U24" s="98">
        <v>4288.16</v>
      </c>
      <c r="V24" s="98">
        <v>5809.33</v>
      </c>
      <c r="W24" s="98">
        <v>13956.49</v>
      </c>
      <c r="X24" s="98">
        <v>9668.28</v>
      </c>
      <c r="Y24" s="98">
        <v>3430.42</v>
      </c>
      <c r="Z24" s="98">
        <v>0</v>
      </c>
      <c r="AA24" s="104">
        <v>7321.45</v>
      </c>
      <c r="AB24" s="104">
        <v>44474.13</v>
      </c>
      <c r="AC24" s="119">
        <v>57905.53</v>
      </c>
      <c r="AD24" s="120">
        <v>0</v>
      </c>
      <c r="AE24" s="120">
        <v>8063.62</v>
      </c>
      <c r="AF24" s="120"/>
      <c r="AG24" s="31">
        <v>3515.28</v>
      </c>
      <c r="AH24" s="31">
        <v>1171.76</v>
      </c>
      <c r="AI24" s="31">
        <v>4979.98</v>
      </c>
      <c r="AJ24" s="31">
        <v>896.3964000000001</v>
      </c>
      <c r="AK24" s="31">
        <v>4862.804</v>
      </c>
      <c r="AL24" s="31">
        <v>875.30472</v>
      </c>
      <c r="AM24" s="31">
        <v>11190.307999999999</v>
      </c>
      <c r="AN24" s="31">
        <v>2014.2554399999997</v>
      </c>
      <c r="AO24" s="31"/>
      <c r="AP24" s="31">
        <v>0</v>
      </c>
      <c r="AQ24" s="125"/>
      <c r="AR24" s="125">
        <v>0</v>
      </c>
      <c r="AS24" s="102">
        <v>2035</v>
      </c>
      <c r="AT24" s="102">
        <v>1500</v>
      </c>
      <c r="AU24" s="102">
        <v>636.3</v>
      </c>
      <c r="AV24" s="126"/>
      <c r="AW24" s="127">
        <v>3105</v>
      </c>
      <c r="AX24" s="31">
        <v>4103.568</v>
      </c>
      <c r="AY24" s="128">
        <v>9786.773872</v>
      </c>
      <c r="AZ24" s="129"/>
      <c r="BA24" s="130"/>
      <c r="BB24" s="19">
        <f t="shared" si="16"/>
        <v>47567.730432000004</v>
      </c>
      <c r="BC24" s="19"/>
      <c r="BD24" s="19">
        <f t="shared" si="0"/>
        <v>10337.799567999995</v>
      </c>
      <c r="BE24" s="21">
        <f t="shared" si="15"/>
        <v>-874.1700000000055</v>
      </c>
    </row>
    <row r="25" spans="1:57" ht="12.75">
      <c r="A25" s="13" t="s">
        <v>43</v>
      </c>
      <c r="B25" s="97">
        <v>5858.8</v>
      </c>
      <c r="C25" s="132">
        <f>B25*8.65</f>
        <v>50678.62</v>
      </c>
      <c r="D25" s="131">
        <f>C25-E25-F25-G25-H25-I25-J25-K25-L25-M25-N25</f>
        <v>4894.7900000000045</v>
      </c>
      <c r="E25" s="139">
        <v>4385.53</v>
      </c>
      <c r="F25" s="139">
        <v>898.56</v>
      </c>
      <c r="G25" s="139">
        <v>5941.01</v>
      </c>
      <c r="H25" s="139">
        <v>1218.06</v>
      </c>
      <c r="I25" s="139">
        <v>14273.4</v>
      </c>
      <c r="J25" s="139">
        <v>2925.32</v>
      </c>
      <c r="K25" s="139">
        <v>9887.91</v>
      </c>
      <c r="L25" s="139">
        <v>2026.79</v>
      </c>
      <c r="M25" s="139">
        <v>3508.42</v>
      </c>
      <c r="N25" s="139">
        <v>718.83</v>
      </c>
      <c r="O25" s="139">
        <v>0</v>
      </c>
      <c r="P25" s="140">
        <v>0</v>
      </c>
      <c r="Q25" s="140">
        <v>7347.38</v>
      </c>
      <c r="R25" s="140">
        <v>751.99</v>
      </c>
      <c r="S25" s="98">
        <f>E25+G25+I25+K25+M25+O25+Q25</f>
        <v>45343.65</v>
      </c>
      <c r="T25" s="116">
        <f>P25+N25+L25+J25+H25+F25+R25</f>
        <v>8539.55</v>
      </c>
      <c r="U25" s="98">
        <v>4462.01</v>
      </c>
      <c r="V25" s="98">
        <v>6044.33</v>
      </c>
      <c r="W25" s="98">
        <v>14522.24</v>
      </c>
      <c r="X25" s="98">
        <v>10060.17</v>
      </c>
      <c r="Y25" s="98">
        <v>3569.55</v>
      </c>
      <c r="Z25" s="104">
        <v>0</v>
      </c>
      <c r="AA25" s="104">
        <v>8088.08</v>
      </c>
      <c r="AB25" s="104">
        <f>SUM(U25:AA25)</f>
        <v>46746.380000000005</v>
      </c>
      <c r="AC25" s="119">
        <f>D25+T25+AB25</f>
        <v>60180.72000000001</v>
      </c>
      <c r="AD25" s="120">
        <f>P25+Z25</f>
        <v>0</v>
      </c>
      <c r="AE25" s="120">
        <f>R25+AA25</f>
        <v>8840.07</v>
      </c>
      <c r="AF25" s="120"/>
      <c r="AG25" s="31">
        <f>0.6*B25</f>
        <v>3515.28</v>
      </c>
      <c r="AH25" s="31">
        <f>B25*0.2</f>
        <v>1171.76</v>
      </c>
      <c r="AI25" s="31">
        <f>0.85*B25</f>
        <v>4979.9800000000005</v>
      </c>
      <c r="AJ25" s="31">
        <f>AI25*0.18</f>
        <v>896.3964000000001</v>
      </c>
      <c r="AK25" s="31">
        <f>0.83*B25</f>
        <v>4862.804</v>
      </c>
      <c r="AL25" s="31">
        <f>AK25*0.18</f>
        <v>875.30472</v>
      </c>
      <c r="AM25" s="31">
        <f>(1.91)*B25</f>
        <v>11190.307999999999</v>
      </c>
      <c r="AN25" s="31">
        <f>AM25*0.18</f>
        <v>2014.2554399999997</v>
      </c>
      <c r="AO25" s="31"/>
      <c r="AP25" s="31">
        <f>AO25*0.18</f>
        <v>0</v>
      </c>
      <c r="AQ25" s="125"/>
      <c r="AR25" s="125">
        <f>AQ25*0.18</f>
        <v>0</v>
      </c>
      <c r="AS25" s="102">
        <v>343</v>
      </c>
      <c r="AT25" s="102">
        <f>16*375</f>
        <v>6000</v>
      </c>
      <c r="AU25" s="102">
        <f>(AS25+AT25)*0.18</f>
        <v>1141.74</v>
      </c>
      <c r="AV25" s="126"/>
      <c r="AW25" s="141">
        <v>3210</v>
      </c>
      <c r="AX25" s="31">
        <f>AW25*1.12*1.18</f>
        <v>4242.336</v>
      </c>
      <c r="AY25" s="128">
        <v>9788.970216</v>
      </c>
      <c r="AZ25" s="129"/>
      <c r="BA25" s="130"/>
      <c r="BB25" s="19">
        <f t="shared" si="16"/>
        <v>51022.134776000006</v>
      </c>
      <c r="BC25" s="19"/>
      <c r="BD25" s="19">
        <f t="shared" si="0"/>
        <v>9158.585224000002</v>
      </c>
      <c r="BE25" s="21">
        <f t="shared" si="15"/>
        <v>1402.7300000000032</v>
      </c>
    </row>
    <row r="26" spans="1:57" s="28" customFormat="1" ht="12.75">
      <c r="A26" s="22" t="s">
        <v>5</v>
      </c>
      <c r="B26" s="23"/>
      <c r="C26" s="23">
        <f aca="true" t="shared" si="17" ref="C26:BA26">SUM(C14:C25)</f>
        <v>608412.4550000001</v>
      </c>
      <c r="D26" s="23">
        <f t="shared" si="17"/>
        <v>65209.16875000001</v>
      </c>
      <c r="E26" s="24">
        <f t="shared" si="17"/>
        <v>50846.63</v>
      </c>
      <c r="F26" s="24">
        <f t="shared" si="17"/>
        <v>10403.98</v>
      </c>
      <c r="G26" s="24">
        <f t="shared" si="17"/>
        <v>68809.16</v>
      </c>
      <c r="H26" s="24">
        <f t="shared" si="17"/>
        <v>14085.640000000001</v>
      </c>
      <c r="I26" s="24">
        <f t="shared" si="17"/>
        <v>165409.57999999996</v>
      </c>
      <c r="J26" s="24">
        <f t="shared" si="17"/>
        <v>33853.09</v>
      </c>
      <c r="K26" s="24">
        <f t="shared" si="17"/>
        <v>114570.62</v>
      </c>
      <c r="L26" s="24">
        <f t="shared" si="17"/>
        <v>23449.300000000003</v>
      </c>
      <c r="M26" s="24">
        <f t="shared" si="17"/>
        <v>40676.74</v>
      </c>
      <c r="N26" s="24">
        <f t="shared" si="17"/>
        <v>8323.04</v>
      </c>
      <c r="O26" s="24">
        <f t="shared" si="17"/>
        <v>0</v>
      </c>
      <c r="P26" s="24">
        <f t="shared" si="17"/>
        <v>0</v>
      </c>
      <c r="Q26" s="24">
        <f t="shared" si="17"/>
        <v>86847.67000000001</v>
      </c>
      <c r="R26" s="24">
        <f t="shared" si="17"/>
        <v>8562.550000000001</v>
      </c>
      <c r="S26" s="24">
        <f t="shared" si="17"/>
        <v>527160.4</v>
      </c>
      <c r="T26" s="24">
        <f t="shared" si="17"/>
        <v>98677.59999999999</v>
      </c>
      <c r="U26" s="25">
        <f t="shared" si="17"/>
        <v>48731.840000000004</v>
      </c>
      <c r="V26" s="25">
        <f t="shared" si="17"/>
        <v>65923.92</v>
      </c>
      <c r="W26" s="25">
        <f t="shared" si="17"/>
        <v>158469.71</v>
      </c>
      <c r="X26" s="25">
        <f t="shared" si="17"/>
        <v>109781.62</v>
      </c>
      <c r="Y26" s="25">
        <f t="shared" si="17"/>
        <v>38985.39</v>
      </c>
      <c r="Z26" s="25">
        <f t="shared" si="17"/>
        <v>0</v>
      </c>
      <c r="AA26" s="25">
        <f t="shared" si="17"/>
        <v>90186.69</v>
      </c>
      <c r="AB26" s="25">
        <f>SUM(AB14:AB25)</f>
        <v>512079.17</v>
      </c>
      <c r="AC26" s="25">
        <f t="shared" si="17"/>
        <v>675965.93875</v>
      </c>
      <c r="AD26" s="109">
        <f t="shared" si="17"/>
        <v>0</v>
      </c>
      <c r="AE26" s="109">
        <f t="shared" si="17"/>
        <v>98749.23999999999</v>
      </c>
      <c r="AF26" s="109"/>
      <c r="AG26" s="26">
        <f t="shared" si="17"/>
        <v>40794.38399999999</v>
      </c>
      <c r="AH26" s="26">
        <f t="shared" si="17"/>
        <v>13657.972424000001</v>
      </c>
      <c r="AI26" s="26">
        <f t="shared" si="17"/>
        <v>57031.5517055</v>
      </c>
      <c r="AJ26" s="26">
        <f t="shared" si="17"/>
        <v>10265.679306989998</v>
      </c>
      <c r="AK26" s="26">
        <f t="shared" si="17"/>
        <v>55434.507097440015</v>
      </c>
      <c r="AL26" s="26">
        <f t="shared" si="17"/>
        <v>9978.211277539198</v>
      </c>
      <c r="AM26" s="26">
        <f t="shared" si="17"/>
        <v>127548.40877304612</v>
      </c>
      <c r="AN26" s="26">
        <f t="shared" si="17"/>
        <v>22958.713579148298</v>
      </c>
      <c r="AO26" s="26">
        <f t="shared" si="17"/>
        <v>0</v>
      </c>
      <c r="AP26" s="26">
        <f t="shared" si="17"/>
        <v>0</v>
      </c>
      <c r="AQ26" s="26">
        <f aca="true" t="shared" si="18" ref="AQ26:AY26">SUM(AQ14:AQ25)</f>
        <v>12281.37</v>
      </c>
      <c r="AR26" s="26">
        <f t="shared" si="18"/>
        <v>2210.6466</v>
      </c>
      <c r="AS26" s="92">
        <f t="shared" si="18"/>
        <v>51774.299999999996</v>
      </c>
      <c r="AT26" s="92">
        <f t="shared" si="18"/>
        <v>7500</v>
      </c>
      <c r="AU26" s="92">
        <f t="shared" si="18"/>
        <v>10669.384</v>
      </c>
      <c r="AV26" s="92">
        <f t="shared" si="18"/>
        <v>0</v>
      </c>
      <c r="AW26" s="92">
        <f t="shared" si="18"/>
        <v>40228</v>
      </c>
      <c r="AX26" s="92">
        <f t="shared" si="18"/>
        <v>53165.32480000001</v>
      </c>
      <c r="AY26" s="26">
        <f t="shared" si="18"/>
        <v>117583.4411772426</v>
      </c>
      <c r="AZ26" s="26">
        <f t="shared" si="17"/>
        <v>0</v>
      </c>
      <c r="BA26" s="26">
        <f t="shared" si="17"/>
        <v>0</v>
      </c>
      <c r="BB26" s="26">
        <f>SUM(BB14:BB25)</f>
        <v>592853.8947409063</v>
      </c>
      <c r="BC26" s="26"/>
      <c r="BD26" s="26">
        <f>SUM(BD14:BD25)</f>
        <v>83112.04400909384</v>
      </c>
      <c r="BE26" s="27">
        <f>SUM(BE14:BE25)</f>
        <v>-15081.23000000001</v>
      </c>
    </row>
    <row r="27" spans="1:57" ht="15" customHeight="1">
      <c r="A27" s="5" t="s">
        <v>86</v>
      </c>
      <c r="B27" s="90"/>
      <c r="C27" s="15"/>
      <c r="D27" s="15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1"/>
      <c r="P27" s="17"/>
      <c r="Q27" s="16"/>
      <c r="R27" s="16"/>
      <c r="S27" s="16"/>
      <c r="T27" s="16"/>
      <c r="U27" s="29"/>
      <c r="V27" s="29"/>
      <c r="W27" s="29"/>
      <c r="X27" s="29"/>
      <c r="Y27" s="29"/>
      <c r="Z27" s="29"/>
      <c r="AA27" s="18"/>
      <c r="AB27" s="18"/>
      <c r="AC27" s="107"/>
      <c r="AD27" s="108"/>
      <c r="AE27" s="108"/>
      <c r="AF27" s="108"/>
      <c r="AG27" s="19"/>
      <c r="AH27" s="19"/>
      <c r="AI27" s="19"/>
      <c r="AJ27" s="19"/>
      <c r="AK27" s="19"/>
      <c r="AL27" s="19"/>
      <c r="AM27" s="19"/>
      <c r="AN27" s="19"/>
      <c r="AO27" s="20"/>
      <c r="AP27" s="20"/>
      <c r="AQ27" s="20"/>
      <c r="AR27" s="20"/>
      <c r="AS27" s="101"/>
      <c r="AT27" s="101"/>
      <c r="AU27" s="30"/>
      <c r="AV27" s="19"/>
      <c r="AW27" s="19"/>
      <c r="AX27" s="20"/>
      <c r="AY27" s="20"/>
      <c r="AZ27" s="20"/>
      <c r="BA27" s="19"/>
      <c r="BB27" s="19"/>
      <c r="BC27" s="19"/>
      <c r="BD27" s="19"/>
      <c r="BE27" s="21"/>
    </row>
    <row r="28" spans="1:57" ht="12.75">
      <c r="A28" s="13" t="s">
        <v>45</v>
      </c>
      <c r="B28" s="97">
        <v>5858.8</v>
      </c>
      <c r="C28" s="132">
        <f aca="true" t="shared" si="19" ref="C28:C39">B28*8.65</f>
        <v>50678.62</v>
      </c>
      <c r="D28" s="131">
        <f aca="true" t="shared" si="20" ref="D28:D39">C28-E28-F28-G28-H28-I28-J28-K28-L28-M28-N28</f>
        <v>4879.239999999997</v>
      </c>
      <c r="E28" s="139">
        <v>4410.37</v>
      </c>
      <c r="F28" s="139">
        <v>875.57</v>
      </c>
      <c r="G28" s="139">
        <v>5974.5</v>
      </c>
      <c r="H28" s="139">
        <v>1186.9</v>
      </c>
      <c r="I28" s="139">
        <v>14354.16</v>
      </c>
      <c r="J28" s="139">
        <v>2850.45</v>
      </c>
      <c r="K28" s="139">
        <v>9943.79</v>
      </c>
      <c r="L28" s="139">
        <v>1974.92</v>
      </c>
      <c r="M28" s="139">
        <v>3528.29</v>
      </c>
      <c r="N28" s="139">
        <v>700.43</v>
      </c>
      <c r="O28" s="139">
        <v>0</v>
      </c>
      <c r="P28" s="140">
        <v>0</v>
      </c>
      <c r="Q28" s="140">
        <v>6936.85</v>
      </c>
      <c r="R28" s="140">
        <v>713.93</v>
      </c>
      <c r="S28" s="98">
        <f aca="true" t="shared" si="21" ref="S28:S39">E28+G28+I28+K28+M28+O28+Q28</f>
        <v>45147.96</v>
      </c>
      <c r="T28" s="116">
        <f aca="true" t="shared" si="22" ref="T28:T39">P28+N28+L28+J28+H28+F28+R28</f>
        <v>8302.199999999999</v>
      </c>
      <c r="U28" s="98">
        <v>3680.17</v>
      </c>
      <c r="V28" s="98">
        <v>4984.56</v>
      </c>
      <c r="W28" s="98">
        <v>11975.28</v>
      </c>
      <c r="X28" s="98">
        <v>8296.13</v>
      </c>
      <c r="Y28" s="98">
        <v>2942.94</v>
      </c>
      <c r="Z28" s="104">
        <v>0</v>
      </c>
      <c r="AA28" s="104">
        <v>6250.07</v>
      </c>
      <c r="AB28" s="104">
        <f aca="true" t="shared" si="23" ref="AB28:AB38">SUM(U28:AA28)</f>
        <v>38129.149999999994</v>
      </c>
      <c r="AC28" s="119">
        <f aca="true" t="shared" si="24" ref="AC28:AC39">D28+T28+AB28</f>
        <v>51310.58999999999</v>
      </c>
      <c r="AD28" s="120">
        <f aca="true" t="shared" si="25" ref="AD28:AD39">P28+Z28</f>
        <v>0</v>
      </c>
      <c r="AE28" s="120">
        <f aca="true" t="shared" si="26" ref="AE28:AE39">R28+AA28</f>
        <v>6964</v>
      </c>
      <c r="AF28" s="120"/>
      <c r="AG28" s="31">
        <f aca="true" t="shared" si="27" ref="AG28:AG39">0.6*B28</f>
        <v>3515.28</v>
      </c>
      <c r="AH28" s="31">
        <f aca="true" t="shared" si="28" ref="AH28:AH39">B28*0.2</f>
        <v>1171.76</v>
      </c>
      <c r="AI28" s="31">
        <f aca="true" t="shared" si="29" ref="AI28:AI39">1*B28</f>
        <v>5858.8</v>
      </c>
      <c r="AJ28" s="31">
        <v>0</v>
      </c>
      <c r="AK28" s="31">
        <f aca="true" t="shared" si="30" ref="AK28:AK39">0.98*B28</f>
        <v>5741.624</v>
      </c>
      <c r="AL28" s="31">
        <v>0</v>
      </c>
      <c r="AM28" s="31">
        <f aca="true" t="shared" si="31" ref="AM28:AM39">2.25*B28</f>
        <v>13182.300000000001</v>
      </c>
      <c r="AN28" s="31">
        <v>0</v>
      </c>
      <c r="AO28" s="31"/>
      <c r="AP28" s="31">
        <v>0</v>
      </c>
      <c r="AQ28" s="125"/>
      <c r="AR28" s="125"/>
      <c r="AS28" s="102">
        <v>11016</v>
      </c>
      <c r="AT28" s="102">
        <v>43</v>
      </c>
      <c r="AU28" s="102"/>
      <c r="AV28" s="126"/>
      <c r="AW28" s="141">
        <v>2637</v>
      </c>
      <c r="AX28" s="31">
        <f aca="true" t="shared" si="32" ref="AX28:AX38">AW28*1.4</f>
        <v>3691.7999999999997</v>
      </c>
      <c r="AY28" s="128">
        <f>B28*1.67081+0.03</f>
        <v>9788.971628000001</v>
      </c>
      <c r="AZ28" s="130"/>
      <c r="BA28" s="130">
        <f aca="true" t="shared" si="33" ref="BA28:BA39">AZ28*0.18</f>
        <v>0</v>
      </c>
      <c r="BB28" s="130">
        <f aca="true" t="shared" si="34" ref="BB28:BB39">SUM(AG28:BA28)-AV28-AW28</f>
        <v>54009.535628000005</v>
      </c>
      <c r="BC28" s="174"/>
      <c r="BD28" s="19">
        <f aca="true" t="shared" si="35" ref="BD28:BD36">AC28-BB28</f>
        <v>-2698.945628000016</v>
      </c>
      <c r="BE28" s="21">
        <f aca="true" t="shared" si="36" ref="BE28:BE39">AB28-S28</f>
        <v>-7018.810000000005</v>
      </c>
    </row>
    <row r="29" spans="1:57" ht="12.75">
      <c r="A29" s="13" t="s">
        <v>46</v>
      </c>
      <c r="B29" s="117">
        <v>5858.8</v>
      </c>
      <c r="C29" s="132">
        <f t="shared" si="19"/>
        <v>50678.62</v>
      </c>
      <c r="D29" s="131">
        <f t="shared" si="20"/>
        <v>4888.660000000001</v>
      </c>
      <c r="E29" s="103">
        <v>4409.98</v>
      </c>
      <c r="F29" s="98">
        <v>874.86</v>
      </c>
      <c r="G29" s="98">
        <v>5974.03</v>
      </c>
      <c r="H29" s="98">
        <v>1185.92</v>
      </c>
      <c r="I29" s="98">
        <v>14352.93</v>
      </c>
      <c r="J29" s="98">
        <v>2848.13</v>
      </c>
      <c r="K29" s="98">
        <v>9943</v>
      </c>
      <c r="L29" s="98">
        <v>1973.31</v>
      </c>
      <c r="M29" s="98">
        <v>3527.95</v>
      </c>
      <c r="N29" s="98">
        <v>699.85</v>
      </c>
      <c r="O29" s="98">
        <v>0</v>
      </c>
      <c r="P29" s="104">
        <v>0</v>
      </c>
      <c r="Q29" s="104">
        <v>7156.55</v>
      </c>
      <c r="R29" s="104">
        <v>704.11</v>
      </c>
      <c r="S29" s="98">
        <f t="shared" si="21"/>
        <v>45364.44</v>
      </c>
      <c r="T29" s="116">
        <f t="shared" si="22"/>
        <v>8286.18</v>
      </c>
      <c r="U29" s="98">
        <v>4288.84</v>
      </c>
      <c r="V29" s="98">
        <v>5809.73</v>
      </c>
      <c r="W29" s="98">
        <v>13958.41</v>
      </c>
      <c r="X29" s="98">
        <v>9669.63</v>
      </c>
      <c r="Y29" s="98">
        <v>3431.13</v>
      </c>
      <c r="Z29" s="104">
        <v>0</v>
      </c>
      <c r="AA29" s="104">
        <v>6635.15</v>
      </c>
      <c r="AB29" s="104">
        <f t="shared" si="23"/>
        <v>43792.89</v>
      </c>
      <c r="AC29" s="119">
        <f t="shared" si="24"/>
        <v>56967.729999999996</v>
      </c>
      <c r="AD29" s="120">
        <f t="shared" si="25"/>
        <v>0</v>
      </c>
      <c r="AE29" s="120">
        <f t="shared" si="26"/>
        <v>7339.259999999999</v>
      </c>
      <c r="AF29" s="120"/>
      <c r="AG29" s="31">
        <f t="shared" si="27"/>
        <v>3515.28</v>
      </c>
      <c r="AH29" s="31">
        <f t="shared" si="28"/>
        <v>1171.76</v>
      </c>
      <c r="AI29" s="31">
        <f t="shared" si="29"/>
        <v>5858.8</v>
      </c>
      <c r="AJ29" s="31">
        <v>0</v>
      </c>
      <c r="AK29" s="31">
        <f t="shared" si="30"/>
        <v>5741.624</v>
      </c>
      <c r="AL29" s="31">
        <v>0</v>
      </c>
      <c r="AM29" s="31">
        <f t="shared" si="31"/>
        <v>13182.300000000001</v>
      </c>
      <c r="AN29" s="31">
        <v>0</v>
      </c>
      <c r="AO29" s="31"/>
      <c r="AP29" s="31"/>
      <c r="AQ29" s="125"/>
      <c r="AR29" s="125"/>
      <c r="AS29" s="102">
        <v>11606</v>
      </c>
      <c r="AT29" s="102"/>
      <c r="AU29" s="102">
        <f aca="true" t="shared" si="37" ref="AU29:AU38">AT29*0.18</f>
        <v>0</v>
      </c>
      <c r="AV29" s="126"/>
      <c r="AW29" s="141">
        <v>0</v>
      </c>
      <c r="AX29" s="31">
        <f t="shared" si="32"/>
        <v>0</v>
      </c>
      <c r="AY29" s="128">
        <f>B29*1.67092+0.01</f>
        <v>9789.596096000001</v>
      </c>
      <c r="AZ29" s="130"/>
      <c r="BA29" s="130">
        <f t="shared" si="33"/>
        <v>0</v>
      </c>
      <c r="BB29" s="130">
        <f t="shared" si="34"/>
        <v>50865.360096000004</v>
      </c>
      <c r="BC29" s="174"/>
      <c r="BD29" s="19">
        <f t="shared" si="35"/>
        <v>6102.369903999992</v>
      </c>
      <c r="BE29" s="21">
        <f t="shared" si="36"/>
        <v>-1571.550000000003</v>
      </c>
    </row>
    <row r="30" spans="1:57" ht="12.75">
      <c r="A30" s="13" t="s">
        <v>47</v>
      </c>
      <c r="B30" s="97">
        <v>5858.8</v>
      </c>
      <c r="C30" s="132">
        <f t="shared" si="19"/>
        <v>50678.62</v>
      </c>
      <c r="D30" s="131">
        <f t="shared" si="20"/>
        <v>4893.410000000011</v>
      </c>
      <c r="E30" s="139">
        <v>4409.43</v>
      </c>
      <c r="F30" s="139">
        <v>874.85</v>
      </c>
      <c r="G30" s="139">
        <v>5973.31</v>
      </c>
      <c r="H30" s="139">
        <v>1185.92</v>
      </c>
      <c r="I30" s="139">
        <v>14351.13</v>
      </c>
      <c r="J30" s="139">
        <v>2848.12</v>
      </c>
      <c r="K30" s="139">
        <v>9941.78</v>
      </c>
      <c r="L30" s="139">
        <v>1973.3</v>
      </c>
      <c r="M30" s="139">
        <v>3527.52</v>
      </c>
      <c r="N30" s="139">
        <v>699.85</v>
      </c>
      <c r="O30" s="139">
        <v>0</v>
      </c>
      <c r="P30" s="140">
        <v>0</v>
      </c>
      <c r="Q30" s="140">
        <v>7259.02</v>
      </c>
      <c r="R30" s="140">
        <v>704.11</v>
      </c>
      <c r="S30" s="98">
        <f t="shared" si="21"/>
        <v>45462.19</v>
      </c>
      <c r="T30" s="116">
        <f t="shared" si="22"/>
        <v>8286.150000000001</v>
      </c>
      <c r="U30" s="98">
        <v>5299.4</v>
      </c>
      <c r="V30" s="98">
        <v>7180.04</v>
      </c>
      <c r="W30" s="98">
        <v>17248.9</v>
      </c>
      <c r="X30" s="98">
        <v>11949.52</v>
      </c>
      <c r="Y30" s="98">
        <v>4239.46</v>
      </c>
      <c r="Z30" s="104">
        <v>0</v>
      </c>
      <c r="AA30" s="104">
        <v>8650.57</v>
      </c>
      <c r="AB30" s="104">
        <f t="shared" si="23"/>
        <v>54567.89</v>
      </c>
      <c r="AC30" s="119">
        <f t="shared" si="24"/>
        <v>67747.45000000001</v>
      </c>
      <c r="AD30" s="120">
        <f t="shared" si="25"/>
        <v>0</v>
      </c>
      <c r="AE30" s="120">
        <f t="shared" si="26"/>
        <v>9354.68</v>
      </c>
      <c r="AF30" s="120"/>
      <c r="AG30" s="31">
        <f t="shared" si="27"/>
        <v>3515.28</v>
      </c>
      <c r="AH30" s="31">
        <f t="shared" si="28"/>
        <v>1171.76</v>
      </c>
      <c r="AI30" s="31">
        <f t="shared" si="29"/>
        <v>5858.8</v>
      </c>
      <c r="AJ30" s="31">
        <v>0</v>
      </c>
      <c r="AK30" s="31">
        <f t="shared" si="30"/>
        <v>5741.624</v>
      </c>
      <c r="AL30" s="31">
        <v>0</v>
      </c>
      <c r="AM30" s="31">
        <f t="shared" si="31"/>
        <v>13182.300000000001</v>
      </c>
      <c r="AN30" s="31">
        <v>0</v>
      </c>
      <c r="AO30" s="31"/>
      <c r="AP30" s="31"/>
      <c r="AQ30" s="125"/>
      <c r="AR30" s="125"/>
      <c r="AS30" s="102">
        <v>2660</v>
      </c>
      <c r="AT30" s="102"/>
      <c r="AU30" s="102">
        <f t="shared" si="37"/>
        <v>0</v>
      </c>
      <c r="AV30" s="126"/>
      <c r="AW30" s="141">
        <v>5315</v>
      </c>
      <c r="AX30" s="31">
        <f t="shared" si="32"/>
        <v>7440.999999999999</v>
      </c>
      <c r="AY30" s="128">
        <f>B30*1.67092+0.01</f>
        <v>9789.596096000001</v>
      </c>
      <c r="AZ30" s="130"/>
      <c r="BA30" s="130">
        <f t="shared" si="33"/>
        <v>0</v>
      </c>
      <c r="BB30" s="130">
        <f t="shared" si="34"/>
        <v>49360.360096000004</v>
      </c>
      <c r="BC30" s="174"/>
      <c r="BD30" s="19">
        <f t="shared" si="35"/>
        <v>18387.089904000008</v>
      </c>
      <c r="BE30" s="21">
        <f t="shared" si="36"/>
        <v>9105.699999999997</v>
      </c>
    </row>
    <row r="31" spans="1:57" ht="12.75">
      <c r="A31" s="13" t="s">
        <v>48</v>
      </c>
      <c r="B31" s="97">
        <v>5858.8</v>
      </c>
      <c r="C31" s="132">
        <f t="shared" si="19"/>
        <v>50678.62</v>
      </c>
      <c r="D31" s="131">
        <f t="shared" si="20"/>
        <v>4892.360000000004</v>
      </c>
      <c r="E31" s="139">
        <v>4412.56</v>
      </c>
      <c r="F31" s="139">
        <v>871.84</v>
      </c>
      <c r="G31" s="139">
        <v>5977.59</v>
      </c>
      <c r="H31" s="139">
        <v>1181.8</v>
      </c>
      <c r="I31" s="139">
        <v>14361.42</v>
      </c>
      <c r="J31" s="139">
        <v>2838.23</v>
      </c>
      <c r="K31" s="139">
        <v>9948.91</v>
      </c>
      <c r="L31" s="139">
        <v>1966.43</v>
      </c>
      <c r="M31" s="139">
        <v>3530.06</v>
      </c>
      <c r="N31" s="139">
        <v>697.42</v>
      </c>
      <c r="O31" s="139">
        <v>0</v>
      </c>
      <c r="P31" s="140">
        <v>0</v>
      </c>
      <c r="Q31" s="140">
        <v>7250.43</v>
      </c>
      <c r="R31" s="140">
        <v>704.11</v>
      </c>
      <c r="S31" s="98">
        <f t="shared" si="21"/>
        <v>45480.969999999994</v>
      </c>
      <c r="T31" s="116">
        <f t="shared" si="22"/>
        <v>8259.83</v>
      </c>
      <c r="U31" s="98">
        <v>3373.22</v>
      </c>
      <c r="V31" s="98">
        <v>4553.82</v>
      </c>
      <c r="W31" s="98">
        <v>10956.07</v>
      </c>
      <c r="X31" s="98">
        <v>7589.8</v>
      </c>
      <c r="Y31" s="98">
        <v>2698.52</v>
      </c>
      <c r="Z31" s="104">
        <v>0</v>
      </c>
      <c r="AA31" s="104">
        <v>7188.41</v>
      </c>
      <c r="AB31" s="104">
        <f t="shared" si="23"/>
        <v>36359.84</v>
      </c>
      <c r="AC31" s="119">
        <f t="shared" si="24"/>
        <v>49512.03</v>
      </c>
      <c r="AD31" s="120">
        <f t="shared" si="25"/>
        <v>0</v>
      </c>
      <c r="AE31" s="120">
        <f t="shared" si="26"/>
        <v>7892.5199999999995</v>
      </c>
      <c r="AF31" s="120"/>
      <c r="AG31" s="31">
        <f t="shared" si="27"/>
        <v>3515.28</v>
      </c>
      <c r="AH31" s="31">
        <f t="shared" si="28"/>
        <v>1171.76</v>
      </c>
      <c r="AI31" s="31">
        <f t="shared" si="29"/>
        <v>5858.8</v>
      </c>
      <c r="AJ31" s="31">
        <v>0</v>
      </c>
      <c r="AK31" s="31">
        <f t="shared" si="30"/>
        <v>5741.624</v>
      </c>
      <c r="AL31" s="31">
        <v>0</v>
      </c>
      <c r="AM31" s="31">
        <f t="shared" si="31"/>
        <v>13182.300000000001</v>
      </c>
      <c r="AN31" s="31">
        <v>0</v>
      </c>
      <c r="AO31" s="31"/>
      <c r="AP31" s="31"/>
      <c r="AQ31" s="125"/>
      <c r="AR31" s="125"/>
      <c r="AS31" s="102">
        <v>4377</v>
      </c>
      <c r="AT31" s="102"/>
      <c r="AU31" s="102">
        <f t="shared" si="37"/>
        <v>0</v>
      </c>
      <c r="AV31" s="126"/>
      <c r="AW31" s="141">
        <v>2772</v>
      </c>
      <c r="AX31" s="31">
        <f t="shared" si="32"/>
        <v>3880.7999999999997</v>
      </c>
      <c r="AY31" s="128">
        <f>B31*1.67092+0.01</f>
        <v>9789.596096000001</v>
      </c>
      <c r="AZ31" s="130"/>
      <c r="BA31" s="130">
        <f t="shared" si="33"/>
        <v>0</v>
      </c>
      <c r="BB31" s="130">
        <f t="shared" si="34"/>
        <v>47517.16009600001</v>
      </c>
      <c r="BC31" s="174"/>
      <c r="BD31" s="19">
        <f t="shared" si="35"/>
        <v>1994.869903999992</v>
      </c>
      <c r="BE31" s="21">
        <f t="shared" si="36"/>
        <v>-9121.129999999997</v>
      </c>
    </row>
    <row r="32" spans="1:57" ht="12.75">
      <c r="A32" s="13" t="s">
        <v>49</v>
      </c>
      <c r="B32" s="97">
        <v>5867.6</v>
      </c>
      <c r="C32" s="132">
        <f t="shared" si="19"/>
        <v>50754.740000000005</v>
      </c>
      <c r="D32" s="131">
        <f t="shared" si="20"/>
        <v>4876.229999999994</v>
      </c>
      <c r="E32" s="139">
        <v>4420.22</v>
      </c>
      <c r="F32" s="139">
        <v>874.87</v>
      </c>
      <c r="G32" s="139">
        <v>5987.84</v>
      </c>
      <c r="H32" s="139">
        <v>1185.91</v>
      </c>
      <c r="I32" s="139">
        <v>14386.23</v>
      </c>
      <c r="J32" s="139">
        <v>2848.12</v>
      </c>
      <c r="K32" s="139">
        <v>9965.95</v>
      </c>
      <c r="L32" s="139">
        <v>1973.29</v>
      </c>
      <c r="M32" s="139">
        <v>3536.21</v>
      </c>
      <c r="N32" s="139">
        <v>699.87</v>
      </c>
      <c r="O32" s="139">
        <v>0</v>
      </c>
      <c r="P32" s="140">
        <v>0</v>
      </c>
      <c r="Q32" s="140">
        <v>7288.49</v>
      </c>
      <c r="R32" s="140">
        <v>704.11</v>
      </c>
      <c r="S32" s="98">
        <f t="shared" si="21"/>
        <v>45584.94</v>
      </c>
      <c r="T32" s="116">
        <f t="shared" si="22"/>
        <v>8286.17</v>
      </c>
      <c r="U32" s="137">
        <v>3597.37</v>
      </c>
      <c r="V32" s="137">
        <v>4873.67</v>
      </c>
      <c r="W32" s="137">
        <v>11682.68</v>
      </c>
      <c r="X32" s="137">
        <v>8111.22</v>
      </c>
      <c r="Y32" s="137">
        <v>2877.64</v>
      </c>
      <c r="Z32" s="138">
        <v>0</v>
      </c>
      <c r="AA32" s="138">
        <v>6041.48</v>
      </c>
      <c r="AB32" s="104">
        <f t="shared" si="23"/>
        <v>37184.06</v>
      </c>
      <c r="AC32" s="119">
        <f t="shared" si="24"/>
        <v>50346.45999999999</v>
      </c>
      <c r="AD32" s="120">
        <f t="shared" si="25"/>
        <v>0</v>
      </c>
      <c r="AE32" s="120">
        <f t="shared" si="26"/>
        <v>6745.589999999999</v>
      </c>
      <c r="AF32" s="120"/>
      <c r="AG32" s="31">
        <f t="shared" si="27"/>
        <v>3520.56</v>
      </c>
      <c r="AH32" s="31">
        <f t="shared" si="28"/>
        <v>1173.5200000000002</v>
      </c>
      <c r="AI32" s="31">
        <f t="shared" si="29"/>
        <v>5867.6</v>
      </c>
      <c r="AJ32" s="31">
        <v>0</v>
      </c>
      <c r="AK32" s="31">
        <f t="shared" si="30"/>
        <v>5750.2480000000005</v>
      </c>
      <c r="AL32" s="31">
        <v>0</v>
      </c>
      <c r="AM32" s="31">
        <f t="shared" si="31"/>
        <v>13202.1</v>
      </c>
      <c r="AN32" s="31">
        <v>0</v>
      </c>
      <c r="AO32" s="31"/>
      <c r="AP32" s="31"/>
      <c r="AQ32" s="125"/>
      <c r="AR32" s="125"/>
      <c r="AS32" s="102">
        <v>1685</v>
      </c>
      <c r="AT32" s="102"/>
      <c r="AU32" s="102">
        <f t="shared" si="37"/>
        <v>0</v>
      </c>
      <c r="AV32" s="126"/>
      <c r="AW32" s="141">
        <v>2236</v>
      </c>
      <c r="AX32" s="31">
        <f t="shared" si="32"/>
        <v>3130.3999999999996</v>
      </c>
      <c r="AY32" s="128">
        <f>'[3]Таштагол 05'!$AZ$77</f>
        <v>9794.216781685034</v>
      </c>
      <c r="AZ32" s="130"/>
      <c r="BA32" s="130">
        <f t="shared" si="33"/>
        <v>0</v>
      </c>
      <c r="BB32" s="130">
        <f t="shared" si="34"/>
        <v>44123.644781685034</v>
      </c>
      <c r="BC32" s="174"/>
      <c r="BD32" s="19">
        <f t="shared" si="35"/>
        <v>6222.815218314958</v>
      </c>
      <c r="BE32" s="21">
        <f t="shared" si="36"/>
        <v>-8400.880000000005</v>
      </c>
    </row>
    <row r="33" spans="1:57" ht="12.75">
      <c r="A33" s="13" t="s">
        <v>50</v>
      </c>
      <c r="B33" s="97">
        <v>5865.2</v>
      </c>
      <c r="C33" s="132">
        <f t="shared" si="19"/>
        <v>50733.98</v>
      </c>
      <c r="D33" s="131">
        <f t="shared" si="20"/>
        <v>4862.5199999999995</v>
      </c>
      <c r="E33" s="139">
        <v>4419.43</v>
      </c>
      <c r="F33" s="139">
        <v>874.86</v>
      </c>
      <c r="G33" s="139">
        <v>5986.69</v>
      </c>
      <c r="H33" s="139">
        <v>1185.9</v>
      </c>
      <c r="I33" s="139">
        <v>14383.63</v>
      </c>
      <c r="J33" s="139">
        <v>2848.11</v>
      </c>
      <c r="K33" s="139">
        <v>9964.11</v>
      </c>
      <c r="L33" s="139">
        <v>1973.28</v>
      </c>
      <c r="M33" s="139">
        <v>3535.58</v>
      </c>
      <c r="N33" s="139">
        <v>699.87</v>
      </c>
      <c r="O33" s="139">
        <v>0</v>
      </c>
      <c r="P33" s="140">
        <v>0</v>
      </c>
      <c r="Q33" s="140">
        <v>7294.18</v>
      </c>
      <c r="R33" s="140">
        <v>704.75</v>
      </c>
      <c r="S33" s="98">
        <f t="shared" si="21"/>
        <v>45583.62</v>
      </c>
      <c r="T33" s="116">
        <f t="shared" si="22"/>
        <v>8286.77</v>
      </c>
      <c r="U33" s="98">
        <v>3782.76</v>
      </c>
      <c r="V33" s="98">
        <v>5123.98</v>
      </c>
      <c r="W33" s="98">
        <v>12311.34</v>
      </c>
      <c r="X33" s="98">
        <v>8528.45</v>
      </c>
      <c r="Y33" s="98">
        <v>3026.35</v>
      </c>
      <c r="Z33" s="104">
        <v>0</v>
      </c>
      <c r="AA33" s="104">
        <v>5910.77</v>
      </c>
      <c r="AB33" s="104">
        <f t="shared" si="23"/>
        <v>38683.65000000001</v>
      </c>
      <c r="AC33" s="119">
        <f t="shared" si="24"/>
        <v>51832.94000000001</v>
      </c>
      <c r="AD33" s="120">
        <f t="shared" si="25"/>
        <v>0</v>
      </c>
      <c r="AE33" s="120">
        <f t="shared" si="26"/>
        <v>6615.52</v>
      </c>
      <c r="AF33" s="120"/>
      <c r="AG33" s="31">
        <f t="shared" si="27"/>
        <v>3519.12</v>
      </c>
      <c r="AH33" s="31">
        <f t="shared" si="28"/>
        <v>1173.04</v>
      </c>
      <c r="AI33" s="31">
        <f t="shared" si="29"/>
        <v>5865.2</v>
      </c>
      <c r="AJ33" s="31">
        <v>0</v>
      </c>
      <c r="AK33" s="31">
        <f t="shared" si="30"/>
        <v>5747.896</v>
      </c>
      <c r="AL33" s="31">
        <v>0</v>
      </c>
      <c r="AM33" s="31">
        <f t="shared" si="31"/>
        <v>13196.699999999999</v>
      </c>
      <c r="AN33" s="31">
        <v>0</v>
      </c>
      <c r="AO33" s="31"/>
      <c r="AP33" s="31"/>
      <c r="AQ33" s="125"/>
      <c r="AR33" s="125"/>
      <c r="AS33" s="102">
        <v>2896</v>
      </c>
      <c r="AT33" s="102"/>
      <c r="AU33" s="102">
        <f t="shared" si="37"/>
        <v>0</v>
      </c>
      <c r="AV33" s="126"/>
      <c r="AW33" s="141">
        <v>1972</v>
      </c>
      <c r="AX33" s="31">
        <f t="shared" si="32"/>
        <v>2760.7999999999997</v>
      </c>
      <c r="AY33" s="128">
        <f>'[3]Таштагол 06'!$AZ$77</f>
        <v>9790.995311629695</v>
      </c>
      <c r="AZ33" s="130"/>
      <c r="BA33" s="130">
        <f t="shared" si="33"/>
        <v>0</v>
      </c>
      <c r="BB33" s="130">
        <f t="shared" si="34"/>
        <v>44949.7513116297</v>
      </c>
      <c r="BC33" s="174"/>
      <c r="BD33" s="19">
        <f t="shared" si="35"/>
        <v>6883.188688370312</v>
      </c>
      <c r="BE33" s="21">
        <f t="shared" si="36"/>
        <v>-6899.969999999994</v>
      </c>
    </row>
    <row r="34" spans="1:57" s="28" customFormat="1" ht="12.75">
      <c r="A34" s="149" t="s">
        <v>51</v>
      </c>
      <c r="B34" s="97">
        <v>5865.2</v>
      </c>
      <c r="C34" s="132">
        <f t="shared" si="19"/>
        <v>50733.98</v>
      </c>
      <c r="D34" s="131">
        <f t="shared" si="20"/>
        <v>4748.9500000000035</v>
      </c>
      <c r="E34" s="178">
        <v>5307.65</v>
      </c>
      <c r="F34" s="139">
        <v>0</v>
      </c>
      <c r="G34" s="139">
        <v>7190</v>
      </c>
      <c r="H34" s="139">
        <v>0</v>
      </c>
      <c r="I34" s="139">
        <v>17274.44</v>
      </c>
      <c r="J34" s="139">
        <v>0</v>
      </c>
      <c r="K34" s="139">
        <v>11966.81</v>
      </c>
      <c r="L34" s="139">
        <v>0</v>
      </c>
      <c r="M34" s="139">
        <v>4246.13</v>
      </c>
      <c r="N34" s="139">
        <v>0</v>
      </c>
      <c r="O34" s="139">
        <v>0</v>
      </c>
      <c r="P34" s="140">
        <v>0</v>
      </c>
      <c r="Q34" s="140">
        <v>8134.69</v>
      </c>
      <c r="R34" s="140">
        <v>0</v>
      </c>
      <c r="S34" s="98">
        <f t="shared" si="21"/>
        <v>54119.719999999994</v>
      </c>
      <c r="T34" s="116">
        <f t="shared" si="22"/>
        <v>0</v>
      </c>
      <c r="U34" s="103">
        <v>5439.63</v>
      </c>
      <c r="V34" s="98">
        <v>7361.29</v>
      </c>
      <c r="W34" s="98">
        <v>17642.84</v>
      </c>
      <c r="X34" s="98">
        <v>12257.16</v>
      </c>
      <c r="Y34" s="98">
        <v>4351.75</v>
      </c>
      <c r="Z34" s="104">
        <v>0</v>
      </c>
      <c r="AA34" s="104">
        <v>6200.38</v>
      </c>
      <c r="AB34" s="104">
        <f t="shared" si="23"/>
        <v>53253.049999999996</v>
      </c>
      <c r="AC34" s="119">
        <f t="shared" si="24"/>
        <v>58002</v>
      </c>
      <c r="AD34" s="120">
        <f t="shared" si="25"/>
        <v>0</v>
      </c>
      <c r="AE34" s="120">
        <f t="shared" si="26"/>
        <v>6200.38</v>
      </c>
      <c r="AF34" s="120"/>
      <c r="AG34" s="31">
        <f t="shared" si="27"/>
        <v>3519.12</v>
      </c>
      <c r="AH34" s="31">
        <f t="shared" si="28"/>
        <v>1173.04</v>
      </c>
      <c r="AI34" s="31">
        <f t="shared" si="29"/>
        <v>5865.2</v>
      </c>
      <c r="AJ34" s="31">
        <v>0</v>
      </c>
      <c r="AK34" s="31">
        <f t="shared" si="30"/>
        <v>5747.896</v>
      </c>
      <c r="AL34" s="31">
        <v>0</v>
      </c>
      <c r="AM34" s="31">
        <f t="shared" si="31"/>
        <v>13196.699999999999</v>
      </c>
      <c r="AN34" s="31">
        <v>0</v>
      </c>
      <c r="AO34" s="31"/>
      <c r="AP34" s="31"/>
      <c r="AQ34" s="125"/>
      <c r="AR34" s="125"/>
      <c r="AS34" s="102"/>
      <c r="AT34" s="102">
        <v>10022.15</v>
      </c>
      <c r="AU34" s="102">
        <f t="shared" si="37"/>
        <v>1803.9869999999999</v>
      </c>
      <c r="AV34" s="126"/>
      <c r="AW34" s="141">
        <v>2323</v>
      </c>
      <c r="AX34" s="31">
        <f t="shared" si="32"/>
        <v>3252.2</v>
      </c>
      <c r="AY34" s="128">
        <f>'[2]Таштагол 07'!$BA$77</f>
        <v>10291.047735974096</v>
      </c>
      <c r="AZ34" s="130"/>
      <c r="BA34" s="130">
        <f t="shared" si="33"/>
        <v>0</v>
      </c>
      <c r="BB34" s="130">
        <f t="shared" si="34"/>
        <v>54871.340735974096</v>
      </c>
      <c r="BC34" s="174"/>
      <c r="BD34" s="19">
        <f t="shared" si="35"/>
        <v>3130.659264025904</v>
      </c>
      <c r="BE34" s="154">
        <f t="shared" si="36"/>
        <v>-866.6699999999983</v>
      </c>
    </row>
    <row r="35" spans="1:57" s="28" customFormat="1" ht="12.75">
      <c r="A35" s="149" t="s">
        <v>52</v>
      </c>
      <c r="B35" s="97">
        <v>5865.2</v>
      </c>
      <c r="C35" s="132">
        <f t="shared" si="19"/>
        <v>50733.98</v>
      </c>
      <c r="D35" s="131">
        <f t="shared" si="20"/>
        <v>4713.310000000001</v>
      </c>
      <c r="E35" s="178">
        <v>5311.85</v>
      </c>
      <c r="F35" s="139">
        <v>0</v>
      </c>
      <c r="G35" s="139">
        <v>7195.44</v>
      </c>
      <c r="H35" s="139">
        <v>0</v>
      </c>
      <c r="I35" s="139">
        <v>17287.88</v>
      </c>
      <c r="J35" s="139">
        <v>0</v>
      </c>
      <c r="K35" s="139">
        <v>11976.01</v>
      </c>
      <c r="L35" s="139">
        <v>0</v>
      </c>
      <c r="M35" s="139">
        <v>4249.49</v>
      </c>
      <c r="N35" s="139">
        <v>0</v>
      </c>
      <c r="O35" s="139">
        <v>0</v>
      </c>
      <c r="P35" s="140">
        <v>0</v>
      </c>
      <c r="Q35" s="140">
        <v>7014.09</v>
      </c>
      <c r="R35" s="140">
        <v>0</v>
      </c>
      <c r="S35" s="98">
        <f t="shared" si="21"/>
        <v>53034.759999999995</v>
      </c>
      <c r="T35" s="116">
        <f t="shared" si="22"/>
        <v>0</v>
      </c>
      <c r="U35" s="137">
        <v>5419.06</v>
      </c>
      <c r="V35" s="137">
        <v>7343.07</v>
      </c>
      <c r="W35" s="137">
        <v>17503.42</v>
      </c>
      <c r="X35" s="137">
        <v>12220.19</v>
      </c>
      <c r="Y35" s="137">
        <v>4335.16</v>
      </c>
      <c r="Z35" s="138">
        <v>0</v>
      </c>
      <c r="AA35" s="138">
        <v>9188.1</v>
      </c>
      <c r="AB35" s="104">
        <f t="shared" si="23"/>
        <v>56008.99999999999</v>
      </c>
      <c r="AC35" s="119">
        <f t="shared" si="24"/>
        <v>60722.31</v>
      </c>
      <c r="AD35" s="120">
        <f t="shared" si="25"/>
        <v>0</v>
      </c>
      <c r="AE35" s="120">
        <f t="shared" si="26"/>
        <v>9188.1</v>
      </c>
      <c r="AF35" s="120"/>
      <c r="AG35" s="31">
        <f t="shared" si="27"/>
        <v>3519.12</v>
      </c>
      <c r="AH35" s="31">
        <f t="shared" si="28"/>
        <v>1173.04</v>
      </c>
      <c r="AI35" s="31">
        <f t="shared" si="29"/>
        <v>5865.2</v>
      </c>
      <c r="AJ35" s="31">
        <v>0</v>
      </c>
      <c r="AK35" s="31">
        <f t="shared" si="30"/>
        <v>5747.896</v>
      </c>
      <c r="AL35" s="31">
        <v>0</v>
      </c>
      <c r="AM35" s="31">
        <f t="shared" si="31"/>
        <v>13196.699999999999</v>
      </c>
      <c r="AN35" s="31">
        <v>0</v>
      </c>
      <c r="AO35" s="31"/>
      <c r="AP35" s="31"/>
      <c r="AQ35" s="125"/>
      <c r="AR35" s="125"/>
      <c r="AS35" s="102"/>
      <c r="AT35" s="102">
        <f>47.8+42</f>
        <v>89.8</v>
      </c>
      <c r="AU35" s="102"/>
      <c r="AV35" s="126"/>
      <c r="AW35" s="141">
        <v>1895</v>
      </c>
      <c r="AX35" s="31">
        <f t="shared" si="32"/>
        <v>2653</v>
      </c>
      <c r="AY35" s="128">
        <f>'[2]Таштагол 08'!$AZ$77</f>
        <v>10291.047735974096</v>
      </c>
      <c r="AZ35" s="130"/>
      <c r="BA35" s="130">
        <f t="shared" si="33"/>
        <v>0</v>
      </c>
      <c r="BB35" s="130">
        <f t="shared" si="34"/>
        <v>42535.80373597409</v>
      </c>
      <c r="BC35" s="174"/>
      <c r="BD35" s="19">
        <f t="shared" si="35"/>
        <v>18186.506264025906</v>
      </c>
      <c r="BE35" s="154">
        <f t="shared" si="36"/>
        <v>2974.239999999998</v>
      </c>
    </row>
    <row r="36" spans="1:57" s="28" customFormat="1" ht="12.75">
      <c r="A36" s="156" t="s">
        <v>53</v>
      </c>
      <c r="B36" s="176">
        <v>5865.2</v>
      </c>
      <c r="C36" s="132">
        <f t="shared" si="19"/>
        <v>50733.98</v>
      </c>
      <c r="D36" s="131">
        <f t="shared" si="20"/>
        <v>4712.720000000009</v>
      </c>
      <c r="E36" s="139">
        <v>5311.92</v>
      </c>
      <c r="F36" s="139">
        <v>0</v>
      </c>
      <c r="G36" s="139">
        <v>7195.52</v>
      </c>
      <c r="H36" s="139">
        <v>0</v>
      </c>
      <c r="I36" s="139">
        <v>17288.1</v>
      </c>
      <c r="J36" s="139">
        <v>0</v>
      </c>
      <c r="K36" s="139">
        <v>11976.17</v>
      </c>
      <c r="L36" s="139">
        <v>0</v>
      </c>
      <c r="M36" s="139">
        <v>4249.55</v>
      </c>
      <c r="N36" s="139">
        <v>0</v>
      </c>
      <c r="O36" s="139">
        <v>0</v>
      </c>
      <c r="P36" s="140">
        <v>0</v>
      </c>
      <c r="Q36" s="140">
        <v>7901.25</v>
      </c>
      <c r="R36" s="140">
        <v>0</v>
      </c>
      <c r="S36" s="98">
        <f t="shared" si="21"/>
        <v>53922.51</v>
      </c>
      <c r="T36" s="116">
        <f t="shared" si="22"/>
        <v>0</v>
      </c>
      <c r="U36" s="98">
        <v>4293.03</v>
      </c>
      <c r="V36" s="98">
        <v>5824.21</v>
      </c>
      <c r="W36" s="98">
        <v>13993.41</v>
      </c>
      <c r="X36" s="98">
        <v>9693.83</v>
      </c>
      <c r="Y36" s="98">
        <v>3439.68</v>
      </c>
      <c r="Z36" s="104">
        <v>0</v>
      </c>
      <c r="AA36" s="104">
        <v>6486.2</v>
      </c>
      <c r="AB36" s="104">
        <f t="shared" si="23"/>
        <v>43730.36</v>
      </c>
      <c r="AC36" s="119">
        <f t="shared" si="24"/>
        <v>48443.08000000001</v>
      </c>
      <c r="AD36" s="120">
        <f t="shared" si="25"/>
        <v>0</v>
      </c>
      <c r="AE36" s="120">
        <f t="shared" si="26"/>
        <v>6486.2</v>
      </c>
      <c r="AF36" s="120"/>
      <c r="AG36" s="31">
        <f t="shared" si="27"/>
        <v>3519.12</v>
      </c>
      <c r="AH36" s="31">
        <f t="shared" si="28"/>
        <v>1173.04</v>
      </c>
      <c r="AI36" s="31">
        <f t="shared" si="29"/>
        <v>5865.2</v>
      </c>
      <c r="AJ36" s="31">
        <v>0</v>
      </c>
      <c r="AK36" s="31">
        <f t="shared" si="30"/>
        <v>5747.896</v>
      </c>
      <c r="AL36" s="31">
        <v>0</v>
      </c>
      <c r="AM36" s="31">
        <f t="shared" si="31"/>
        <v>13196.699999999999</v>
      </c>
      <c r="AN36" s="31">
        <v>0</v>
      </c>
      <c r="AO36" s="31"/>
      <c r="AP36" s="31"/>
      <c r="AQ36" s="125"/>
      <c r="AR36" s="125"/>
      <c r="AS36" s="102">
        <v>15219</v>
      </c>
      <c r="AT36" s="102"/>
      <c r="AU36" s="177">
        <f t="shared" si="37"/>
        <v>0</v>
      </c>
      <c r="AV36" s="126"/>
      <c r="AW36" s="141">
        <v>2308</v>
      </c>
      <c r="AX36" s="31">
        <f t="shared" si="32"/>
        <v>3231.2</v>
      </c>
      <c r="AY36" s="128">
        <f>'[2]Таштагол 09'!$AZ$77</f>
        <v>10291.047735974096</v>
      </c>
      <c r="AZ36" s="130"/>
      <c r="BA36" s="130">
        <f t="shared" si="33"/>
        <v>0</v>
      </c>
      <c r="BB36" s="130">
        <f t="shared" si="34"/>
        <v>58243.20373597409</v>
      </c>
      <c r="BC36" s="174"/>
      <c r="BD36" s="19">
        <f t="shared" si="35"/>
        <v>-9800.123735974084</v>
      </c>
      <c r="BE36" s="154">
        <f t="shared" si="36"/>
        <v>-10192.150000000001</v>
      </c>
    </row>
    <row r="37" spans="1:57" ht="12.75">
      <c r="A37" s="149" t="s">
        <v>41</v>
      </c>
      <c r="B37" s="97">
        <v>5865.2</v>
      </c>
      <c r="C37" s="132">
        <f t="shared" si="19"/>
        <v>50733.98</v>
      </c>
      <c r="D37" s="131">
        <f t="shared" si="20"/>
        <v>4695.950000000002</v>
      </c>
      <c r="E37" s="145">
        <v>5313.89</v>
      </c>
      <c r="F37" s="145">
        <v>0</v>
      </c>
      <c r="G37" s="145">
        <v>7198.08</v>
      </c>
      <c r="H37" s="145">
        <v>0</v>
      </c>
      <c r="I37" s="145">
        <v>17294.43</v>
      </c>
      <c r="J37" s="145">
        <v>0</v>
      </c>
      <c r="K37" s="145">
        <v>11980.51</v>
      </c>
      <c r="L37" s="145">
        <v>0</v>
      </c>
      <c r="M37" s="145">
        <v>4251.12</v>
      </c>
      <c r="N37" s="145">
        <v>0</v>
      </c>
      <c r="O37" s="145">
        <v>0</v>
      </c>
      <c r="P37" s="146">
        <v>0</v>
      </c>
      <c r="Q37" s="146">
        <v>7746.19</v>
      </c>
      <c r="R37" s="146">
        <v>0</v>
      </c>
      <c r="S37" s="98">
        <f t="shared" si="21"/>
        <v>53784.22000000001</v>
      </c>
      <c r="T37" s="116">
        <f t="shared" si="22"/>
        <v>0</v>
      </c>
      <c r="U37" s="98">
        <v>4832.06</v>
      </c>
      <c r="V37" s="98">
        <v>6544.97</v>
      </c>
      <c r="W37" s="98">
        <v>15731.03</v>
      </c>
      <c r="X37" s="98">
        <v>12873.8</v>
      </c>
      <c r="Y37" s="98">
        <v>3865.73</v>
      </c>
      <c r="Z37" s="104">
        <v>0</v>
      </c>
      <c r="AA37" s="104">
        <v>7092.55</v>
      </c>
      <c r="AB37" s="104">
        <f t="shared" si="23"/>
        <v>50940.14000000001</v>
      </c>
      <c r="AC37" s="119">
        <f t="shared" si="24"/>
        <v>55636.09000000001</v>
      </c>
      <c r="AD37" s="120">
        <f t="shared" si="25"/>
        <v>0</v>
      </c>
      <c r="AE37" s="120">
        <f t="shared" si="26"/>
        <v>7092.55</v>
      </c>
      <c r="AF37" s="120">
        <v>150</v>
      </c>
      <c r="AG37" s="31">
        <f t="shared" si="27"/>
        <v>3519.12</v>
      </c>
      <c r="AH37" s="31">
        <f t="shared" si="28"/>
        <v>1173.04</v>
      </c>
      <c r="AI37" s="31">
        <f t="shared" si="29"/>
        <v>5865.2</v>
      </c>
      <c r="AJ37" s="31">
        <v>0</v>
      </c>
      <c r="AK37" s="31">
        <f t="shared" si="30"/>
        <v>5747.896</v>
      </c>
      <c r="AL37" s="31">
        <v>0</v>
      </c>
      <c r="AM37" s="31">
        <f t="shared" si="31"/>
        <v>13196.699999999999</v>
      </c>
      <c r="AN37" s="31">
        <v>0</v>
      </c>
      <c r="AO37" s="31">
        <v>4295.16</v>
      </c>
      <c r="AP37" s="31"/>
      <c r="AQ37" s="125"/>
      <c r="AR37" s="125"/>
      <c r="AS37" s="102">
        <v>869</v>
      </c>
      <c r="AT37" s="102"/>
      <c r="AU37" s="102">
        <f t="shared" si="37"/>
        <v>0</v>
      </c>
      <c r="AV37" s="126"/>
      <c r="AW37" s="141">
        <v>2177</v>
      </c>
      <c r="AX37" s="31">
        <f t="shared" si="32"/>
        <v>3047.7999999999997</v>
      </c>
      <c r="AY37" s="128">
        <f>'[1]Таштагол 10'!$BA$78</f>
        <v>9791.289575676376</v>
      </c>
      <c r="AZ37" s="130"/>
      <c r="BA37" s="130">
        <f t="shared" si="33"/>
        <v>0</v>
      </c>
      <c r="BB37" s="130">
        <f t="shared" si="34"/>
        <v>47505.20557567637</v>
      </c>
      <c r="BC37" s="174">
        <v>37.5</v>
      </c>
      <c r="BD37" s="19">
        <f>AC37-BB37-BC37+AF37</f>
        <v>8243.384424323638</v>
      </c>
      <c r="BE37" s="154">
        <f t="shared" si="36"/>
        <v>-2844.0800000000017</v>
      </c>
    </row>
    <row r="38" spans="1:57" ht="12.75">
      <c r="A38" s="149" t="s">
        <v>42</v>
      </c>
      <c r="B38" s="175">
        <v>5864.7</v>
      </c>
      <c r="C38" s="132">
        <f t="shared" si="19"/>
        <v>50729.655</v>
      </c>
      <c r="D38" s="131">
        <f t="shared" si="20"/>
        <v>4373.344999999995</v>
      </c>
      <c r="E38" s="139">
        <v>5350.8</v>
      </c>
      <c r="F38" s="139">
        <v>0</v>
      </c>
      <c r="G38" s="139">
        <v>7247.51</v>
      </c>
      <c r="H38" s="139">
        <v>0</v>
      </c>
      <c r="I38" s="139">
        <v>17414.07</v>
      </c>
      <c r="J38" s="139">
        <v>0</v>
      </c>
      <c r="K38" s="139">
        <v>12063.24</v>
      </c>
      <c r="L38" s="139">
        <v>0</v>
      </c>
      <c r="M38" s="139">
        <v>4280.69</v>
      </c>
      <c r="N38" s="139">
        <v>0</v>
      </c>
      <c r="O38" s="139">
        <v>0</v>
      </c>
      <c r="P38" s="140">
        <v>0</v>
      </c>
      <c r="Q38" s="140">
        <v>7728.63</v>
      </c>
      <c r="R38" s="140">
        <v>0</v>
      </c>
      <c r="S38" s="98">
        <f t="shared" si="21"/>
        <v>54084.94</v>
      </c>
      <c r="T38" s="116">
        <f t="shared" si="22"/>
        <v>0</v>
      </c>
      <c r="U38" s="103">
        <v>5597.1</v>
      </c>
      <c r="V38" s="98">
        <v>7571.45</v>
      </c>
      <c r="W38" s="98">
        <v>20389.18</v>
      </c>
      <c r="X38" s="98">
        <v>12603.31</v>
      </c>
      <c r="Y38" s="98">
        <v>4472.74</v>
      </c>
      <c r="Z38" s="104">
        <v>0</v>
      </c>
      <c r="AA38" s="104">
        <v>6931.32</v>
      </c>
      <c r="AB38" s="104">
        <f t="shared" si="23"/>
        <v>57565.09999999999</v>
      </c>
      <c r="AC38" s="119">
        <f t="shared" si="24"/>
        <v>61938.444999999985</v>
      </c>
      <c r="AD38" s="120">
        <f t="shared" si="25"/>
        <v>0</v>
      </c>
      <c r="AE38" s="120">
        <f t="shared" si="26"/>
        <v>6931.32</v>
      </c>
      <c r="AF38" s="120">
        <v>150</v>
      </c>
      <c r="AG38" s="31">
        <f t="shared" si="27"/>
        <v>3518.8199999999997</v>
      </c>
      <c r="AH38" s="31">
        <f t="shared" si="28"/>
        <v>1172.94</v>
      </c>
      <c r="AI38" s="31">
        <f t="shared" si="29"/>
        <v>5864.7</v>
      </c>
      <c r="AJ38" s="31">
        <v>0</v>
      </c>
      <c r="AK38" s="31">
        <f t="shared" si="30"/>
        <v>5747.406</v>
      </c>
      <c r="AL38" s="31">
        <v>0</v>
      </c>
      <c r="AM38" s="31">
        <f t="shared" si="31"/>
        <v>13195.574999999999</v>
      </c>
      <c r="AN38" s="31">
        <v>0</v>
      </c>
      <c r="AO38" s="31"/>
      <c r="AP38" s="31"/>
      <c r="AQ38" s="125"/>
      <c r="AR38" s="125"/>
      <c r="AS38" s="102">
        <v>2726</v>
      </c>
      <c r="AT38" s="102"/>
      <c r="AU38" s="102">
        <f t="shared" si="37"/>
        <v>0</v>
      </c>
      <c r="AV38" s="126"/>
      <c r="AW38" s="141">
        <v>2425</v>
      </c>
      <c r="AX38" s="31">
        <f t="shared" si="32"/>
        <v>3395</v>
      </c>
      <c r="AY38" s="128">
        <f>'[1]Таштагол 11'!$AZ$78</f>
        <v>9790.618355827875</v>
      </c>
      <c r="AZ38" s="130"/>
      <c r="BA38" s="130">
        <f t="shared" si="33"/>
        <v>0</v>
      </c>
      <c r="BB38" s="130">
        <f t="shared" si="34"/>
        <v>45411.05935582788</v>
      </c>
      <c r="BC38" s="174">
        <v>37.5</v>
      </c>
      <c r="BD38" s="19">
        <f>AC38-BB38-BC38+AF38</f>
        <v>16639.885644172107</v>
      </c>
      <c r="BE38" s="154">
        <f t="shared" si="36"/>
        <v>3480.159999999989</v>
      </c>
    </row>
    <row r="39" spans="1:57" ht="12.75">
      <c r="A39" s="157" t="s">
        <v>43</v>
      </c>
      <c r="B39" s="97">
        <v>5864.7</v>
      </c>
      <c r="C39" s="132">
        <f t="shared" si="19"/>
        <v>50729.655</v>
      </c>
      <c r="D39" s="131">
        <f t="shared" si="20"/>
        <v>4682.465000000004</v>
      </c>
      <c r="E39" s="139">
        <v>5314.97</v>
      </c>
      <c r="F39" s="139">
        <v>0</v>
      </c>
      <c r="G39" s="139">
        <v>7199.48</v>
      </c>
      <c r="H39" s="139">
        <v>0</v>
      </c>
      <c r="I39" s="139">
        <v>17297.87</v>
      </c>
      <c r="J39" s="139">
        <v>0</v>
      </c>
      <c r="K39" s="139">
        <v>11982.88</v>
      </c>
      <c r="L39" s="139">
        <v>0</v>
      </c>
      <c r="M39" s="139">
        <v>4251.99</v>
      </c>
      <c r="N39" s="139">
        <v>0</v>
      </c>
      <c r="O39" s="139">
        <v>0</v>
      </c>
      <c r="P39" s="140">
        <v>0</v>
      </c>
      <c r="Q39" s="140"/>
      <c r="R39" s="140"/>
      <c r="S39" s="98">
        <f t="shared" si="21"/>
        <v>46047.189999999995</v>
      </c>
      <c r="T39" s="116">
        <f t="shared" si="22"/>
        <v>0</v>
      </c>
      <c r="U39" s="98">
        <v>7203.26</v>
      </c>
      <c r="V39" s="98">
        <v>9756.74</v>
      </c>
      <c r="W39" s="98">
        <v>25183.76</v>
      </c>
      <c r="X39" s="98">
        <v>15893.97</v>
      </c>
      <c r="Y39" s="98">
        <v>5762.33</v>
      </c>
      <c r="Z39" s="104">
        <v>0</v>
      </c>
      <c r="AA39" s="104">
        <v>10846.26</v>
      </c>
      <c r="AB39" s="104">
        <f>SUM(U39:AA39)</f>
        <v>74646.31999999999</v>
      </c>
      <c r="AC39" s="119">
        <f t="shared" si="24"/>
        <v>79328.785</v>
      </c>
      <c r="AD39" s="120">
        <f t="shared" si="25"/>
        <v>0</v>
      </c>
      <c r="AE39" s="120">
        <f t="shared" si="26"/>
        <v>10846.26</v>
      </c>
      <c r="AF39" s="120">
        <v>150</v>
      </c>
      <c r="AG39" s="31">
        <f t="shared" si="27"/>
        <v>3518.8199999999997</v>
      </c>
      <c r="AH39" s="31">
        <f t="shared" si="28"/>
        <v>1172.94</v>
      </c>
      <c r="AI39" s="31">
        <f t="shared" si="29"/>
        <v>5864.7</v>
      </c>
      <c r="AJ39" s="31">
        <v>0</v>
      </c>
      <c r="AK39" s="31">
        <f t="shared" si="30"/>
        <v>5747.406</v>
      </c>
      <c r="AL39" s="31">
        <v>0</v>
      </c>
      <c r="AM39" s="31">
        <f t="shared" si="31"/>
        <v>13195.574999999999</v>
      </c>
      <c r="AN39" s="31">
        <v>0</v>
      </c>
      <c r="AO39" s="31"/>
      <c r="AP39" s="31"/>
      <c r="AQ39" s="125"/>
      <c r="AR39" s="125"/>
      <c r="AS39" s="102">
        <v>24804</v>
      </c>
      <c r="AT39" s="102">
        <f>283.91+927.12+1924.58+314.24+105.41-0.01+84080.23+41807.7</f>
        <v>129443.18</v>
      </c>
      <c r="AU39" s="102">
        <f>AT39*0.18</f>
        <v>23299.772399999998</v>
      </c>
      <c r="AV39" s="126"/>
      <c r="AW39" s="141">
        <v>2851</v>
      </c>
      <c r="AX39" s="31">
        <f>AW39*1.4+32606</f>
        <v>36597.4</v>
      </c>
      <c r="AY39" s="128">
        <v>9778.5</v>
      </c>
      <c r="AZ39" s="130"/>
      <c r="BA39" s="130">
        <f t="shared" si="33"/>
        <v>0</v>
      </c>
      <c r="BB39" s="130">
        <f t="shared" si="34"/>
        <v>253422.29339999997</v>
      </c>
      <c r="BC39" s="174">
        <v>37.5</v>
      </c>
      <c r="BD39" s="19">
        <f>AC39-BB39-BC39+AF39</f>
        <v>-173981.00839999996</v>
      </c>
      <c r="BE39" s="154">
        <f t="shared" si="36"/>
        <v>28599.129999999997</v>
      </c>
    </row>
    <row r="40" spans="1:57" s="28" customFormat="1" ht="13.5" thickBot="1">
      <c r="A40" s="22" t="s">
        <v>5</v>
      </c>
      <c r="B40" s="23"/>
      <c r="C40" s="23">
        <f aca="true" t="shared" si="38" ref="C40:BA40">SUM(C28:C39)</f>
        <v>608598.4299999999</v>
      </c>
      <c r="D40" s="23">
        <f t="shared" si="38"/>
        <v>57219.16000000002</v>
      </c>
      <c r="E40" s="24">
        <f t="shared" si="38"/>
        <v>58393.07</v>
      </c>
      <c r="F40" s="24">
        <f t="shared" si="38"/>
        <v>5246.85</v>
      </c>
      <c r="G40" s="24">
        <f t="shared" si="38"/>
        <v>79099.98999999999</v>
      </c>
      <c r="H40" s="24">
        <f t="shared" si="38"/>
        <v>7112.35</v>
      </c>
      <c r="I40" s="24">
        <f t="shared" si="38"/>
        <v>190046.29</v>
      </c>
      <c r="J40" s="24">
        <f t="shared" si="38"/>
        <v>17081.16</v>
      </c>
      <c r="K40" s="24">
        <f t="shared" si="38"/>
        <v>131653.15999999997</v>
      </c>
      <c r="L40" s="24">
        <f t="shared" si="38"/>
        <v>11834.53</v>
      </c>
      <c r="M40" s="24">
        <f t="shared" si="38"/>
        <v>46714.58000000001</v>
      </c>
      <c r="N40" s="24">
        <f t="shared" si="38"/>
        <v>4197.29</v>
      </c>
      <c r="O40" s="24">
        <f t="shared" si="38"/>
        <v>0</v>
      </c>
      <c r="P40" s="24">
        <f t="shared" si="38"/>
        <v>0</v>
      </c>
      <c r="Q40" s="24">
        <f t="shared" si="38"/>
        <v>81710.37000000001</v>
      </c>
      <c r="R40" s="24">
        <f t="shared" si="38"/>
        <v>4235.120000000001</v>
      </c>
      <c r="S40" s="24">
        <f t="shared" si="38"/>
        <v>587617.46</v>
      </c>
      <c r="T40" s="24">
        <f t="shared" si="38"/>
        <v>49707.3</v>
      </c>
      <c r="U40" s="25">
        <f t="shared" si="38"/>
        <v>56805.9</v>
      </c>
      <c r="V40" s="25">
        <f t="shared" si="38"/>
        <v>76927.53</v>
      </c>
      <c r="W40" s="25">
        <f t="shared" si="38"/>
        <v>188576.32</v>
      </c>
      <c r="X40" s="25">
        <f t="shared" si="38"/>
        <v>129687.01000000001</v>
      </c>
      <c r="Y40" s="25">
        <f t="shared" si="38"/>
        <v>45443.43</v>
      </c>
      <c r="Z40" s="25">
        <f t="shared" si="38"/>
        <v>0</v>
      </c>
      <c r="AA40" s="25">
        <f t="shared" si="38"/>
        <v>87421.26</v>
      </c>
      <c r="AB40" s="25">
        <f t="shared" si="38"/>
        <v>584861.45</v>
      </c>
      <c r="AC40" s="25">
        <f t="shared" si="38"/>
        <v>691787.91</v>
      </c>
      <c r="AD40" s="109">
        <f t="shared" si="38"/>
        <v>0</v>
      </c>
      <c r="AE40" s="109">
        <f t="shared" si="38"/>
        <v>91656.37999999999</v>
      </c>
      <c r="AF40" s="109">
        <f t="shared" si="38"/>
        <v>450</v>
      </c>
      <c r="AG40" s="109">
        <f t="shared" si="38"/>
        <v>42214.92</v>
      </c>
      <c r="AH40" s="26">
        <f t="shared" si="38"/>
        <v>14071.640000000003</v>
      </c>
      <c r="AI40" s="26">
        <f t="shared" si="38"/>
        <v>70358.19999999998</v>
      </c>
      <c r="AJ40" s="26">
        <f t="shared" si="38"/>
        <v>0</v>
      </c>
      <c r="AK40" s="26">
        <f t="shared" si="38"/>
        <v>68951.03600000001</v>
      </c>
      <c r="AL40" s="26">
        <f t="shared" si="38"/>
        <v>0</v>
      </c>
      <c r="AM40" s="26">
        <f t="shared" si="38"/>
        <v>158305.95</v>
      </c>
      <c r="AN40" s="26">
        <f t="shared" si="38"/>
        <v>0</v>
      </c>
      <c r="AO40" s="26">
        <f t="shared" si="38"/>
        <v>4295.16</v>
      </c>
      <c r="AP40" s="26">
        <f t="shared" si="38"/>
        <v>0</v>
      </c>
      <c r="AQ40" s="26">
        <f>SUM(AQ28:AQ39)</f>
        <v>0</v>
      </c>
      <c r="AR40" s="26">
        <f>SUM(AR28:AR39)</f>
        <v>0</v>
      </c>
      <c r="AS40" s="92">
        <f>SUM(AS28:AS39)</f>
        <v>77858</v>
      </c>
      <c r="AT40" s="92">
        <f>SUM(AT28:AT39)</f>
        <v>139598.13</v>
      </c>
      <c r="AU40" s="92">
        <f>SUM(AU28:AU39)</f>
        <v>25103.7594</v>
      </c>
      <c r="AV40" s="26"/>
      <c r="AW40" s="26"/>
      <c r="AX40" s="26">
        <f>SUM(AX28:AX39)</f>
        <v>73081.4</v>
      </c>
      <c r="AY40" s="26">
        <f>SUM(AY28:AY39)</f>
        <v>118976.52314874125</v>
      </c>
      <c r="AZ40" s="26">
        <f t="shared" si="38"/>
        <v>0</v>
      </c>
      <c r="BA40" s="26">
        <f t="shared" si="38"/>
        <v>0</v>
      </c>
      <c r="BB40" s="26">
        <f>SUM(BB28:BB39)</f>
        <v>792814.7185487412</v>
      </c>
      <c r="BC40" s="179">
        <f>SUM(BC28:BC39)</f>
        <v>112.5</v>
      </c>
      <c r="BD40" s="179">
        <f>SUM(BD28:BD39)</f>
        <v>-100689.30854874125</v>
      </c>
      <c r="BE40" s="179">
        <f>SUM(BE28:BE39)</f>
        <v>-2756.010000000024</v>
      </c>
    </row>
    <row r="41" spans="1:57" ht="13.5" thickBot="1">
      <c r="A41" s="22"/>
      <c r="B41" s="23"/>
      <c r="C41" s="23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5"/>
      <c r="V41" s="25"/>
      <c r="W41" s="25"/>
      <c r="X41" s="25"/>
      <c r="Y41" s="25"/>
      <c r="Z41" s="25"/>
      <c r="AA41" s="25"/>
      <c r="AB41" s="25"/>
      <c r="AC41" s="25"/>
      <c r="AD41" s="109"/>
      <c r="AE41" s="109"/>
      <c r="AF41" s="109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92"/>
      <c r="AT41" s="92"/>
      <c r="AU41" s="92"/>
      <c r="AV41" s="26"/>
      <c r="AW41" s="26"/>
      <c r="AX41" s="26"/>
      <c r="AY41" s="26"/>
      <c r="AZ41" s="26"/>
      <c r="BA41" s="26"/>
      <c r="BB41" s="26"/>
      <c r="BC41" s="26"/>
      <c r="BD41" s="106"/>
      <c r="BE41" s="61"/>
    </row>
    <row r="42" spans="1:57" s="28" customFormat="1" ht="13.5" thickBot="1">
      <c r="A42" s="33" t="s">
        <v>54</v>
      </c>
      <c r="B42" s="34"/>
      <c r="C42" s="34">
        <f aca="true" t="shared" si="39" ref="C42:BD42">C12+C26+C40</f>
        <v>1369342.575</v>
      </c>
      <c r="D42" s="34">
        <f t="shared" si="39"/>
        <v>159095.07430530002</v>
      </c>
      <c r="E42" s="34">
        <f t="shared" si="39"/>
        <v>121129.63</v>
      </c>
      <c r="F42" s="34">
        <f t="shared" si="39"/>
        <v>17984.75</v>
      </c>
      <c r="G42" s="34">
        <f t="shared" si="39"/>
        <v>163960.53</v>
      </c>
      <c r="H42" s="34">
        <f t="shared" si="39"/>
        <v>24348.86</v>
      </c>
      <c r="I42" s="34">
        <f t="shared" si="39"/>
        <v>394097.99</v>
      </c>
      <c r="J42" s="34">
        <f t="shared" si="39"/>
        <v>58519.59999999999</v>
      </c>
      <c r="K42" s="34">
        <f t="shared" si="39"/>
        <v>272976.22</v>
      </c>
      <c r="L42" s="34">
        <f t="shared" si="39"/>
        <v>40535.200000000004</v>
      </c>
      <c r="M42" s="34">
        <f t="shared" si="39"/>
        <v>96903.05000000002</v>
      </c>
      <c r="N42" s="34">
        <f t="shared" si="39"/>
        <v>14387.510000000002</v>
      </c>
      <c r="O42" s="34">
        <f t="shared" si="39"/>
        <v>0</v>
      </c>
      <c r="P42" s="34">
        <f t="shared" si="39"/>
        <v>0</v>
      </c>
      <c r="Q42" s="34">
        <f t="shared" si="39"/>
        <v>168558.04000000004</v>
      </c>
      <c r="R42" s="34">
        <f t="shared" si="39"/>
        <v>12797.670000000002</v>
      </c>
      <c r="S42" s="34">
        <f t="shared" si="39"/>
        <v>1217625.46</v>
      </c>
      <c r="T42" s="34">
        <f t="shared" si="39"/>
        <v>168573.59</v>
      </c>
      <c r="U42" s="34">
        <f t="shared" si="39"/>
        <v>112563.56</v>
      </c>
      <c r="V42" s="34">
        <f t="shared" si="39"/>
        <v>152336.32</v>
      </c>
      <c r="W42" s="34">
        <f t="shared" si="39"/>
        <v>369916.75</v>
      </c>
      <c r="X42" s="34">
        <f t="shared" si="39"/>
        <v>255276.8</v>
      </c>
      <c r="Y42" s="34">
        <f t="shared" si="39"/>
        <v>90049.33</v>
      </c>
      <c r="Z42" s="34">
        <f t="shared" si="39"/>
        <v>0</v>
      </c>
      <c r="AA42" s="34">
        <f t="shared" si="39"/>
        <v>177607.95</v>
      </c>
      <c r="AB42" s="34">
        <f t="shared" si="39"/>
        <v>1157750.71</v>
      </c>
      <c r="AC42" s="34">
        <f t="shared" si="39"/>
        <v>1485419.3743053</v>
      </c>
      <c r="AD42" s="34">
        <f t="shared" si="39"/>
        <v>0</v>
      </c>
      <c r="AE42" s="34">
        <f t="shared" si="39"/>
        <v>190405.62</v>
      </c>
      <c r="AF42" s="34">
        <f t="shared" si="39"/>
        <v>450</v>
      </c>
      <c r="AG42" s="34">
        <f t="shared" si="39"/>
        <v>93575.66399999999</v>
      </c>
      <c r="AH42" s="34">
        <f t="shared" si="39"/>
        <v>31355.624964000006</v>
      </c>
      <c r="AI42" s="34">
        <f t="shared" si="39"/>
        <v>142375.8826895</v>
      </c>
      <c r="AJ42" s="34">
        <f t="shared" si="39"/>
        <v>12963.182884109998</v>
      </c>
      <c r="AK42" s="34">
        <f t="shared" si="39"/>
        <v>141824.68159968004</v>
      </c>
      <c r="AL42" s="34">
        <f t="shared" si="39"/>
        <v>13117.256207942399</v>
      </c>
      <c r="AM42" s="34">
        <f t="shared" si="39"/>
        <v>317881.90736850613</v>
      </c>
      <c r="AN42" s="34">
        <f t="shared" si="39"/>
        <v>28723.672326331096</v>
      </c>
      <c r="AO42" s="34">
        <f t="shared" si="39"/>
        <v>4295.16</v>
      </c>
      <c r="AP42" s="34">
        <f t="shared" si="39"/>
        <v>0</v>
      </c>
      <c r="AQ42" s="34">
        <f t="shared" si="39"/>
        <v>12281.37</v>
      </c>
      <c r="AR42" s="34">
        <f t="shared" si="39"/>
        <v>2210.6466</v>
      </c>
      <c r="AS42" s="34">
        <f t="shared" si="39"/>
        <v>199409.15</v>
      </c>
      <c r="AT42" s="34">
        <f t="shared" si="39"/>
        <v>147098.13</v>
      </c>
      <c r="AU42" s="34">
        <f t="shared" si="39"/>
        <v>48332.9764</v>
      </c>
      <c r="AV42" s="34">
        <f>AV12+AV26+AV40</f>
        <v>0</v>
      </c>
      <c r="AW42" s="34"/>
      <c r="AX42" s="34">
        <f>AX12+AX26+AX40</f>
        <v>126246.7248</v>
      </c>
      <c r="AY42" s="34">
        <f t="shared" si="39"/>
        <v>236559.96432598383</v>
      </c>
      <c r="AZ42" s="34">
        <f t="shared" si="39"/>
        <v>0</v>
      </c>
      <c r="BA42" s="34">
        <f t="shared" si="39"/>
        <v>0</v>
      </c>
      <c r="BB42" s="180">
        <f t="shared" si="39"/>
        <v>1558251.9941660534</v>
      </c>
      <c r="BC42" s="180">
        <f t="shared" si="39"/>
        <v>112.5</v>
      </c>
      <c r="BD42" s="180">
        <f t="shared" si="39"/>
        <v>-72495.1198607534</v>
      </c>
      <c r="BE42" s="180">
        <f>BE12+BE26+BE40</f>
        <v>-59874.75000000005</v>
      </c>
    </row>
  </sheetData>
  <sheetProtection/>
  <mergeCells count="66">
    <mergeCell ref="N5:N6"/>
    <mergeCell ref="O5:O6"/>
    <mergeCell ref="AG3:BB4"/>
    <mergeCell ref="AN5:AN6"/>
    <mergeCell ref="AO5:AO6"/>
    <mergeCell ref="AP5:AP6"/>
    <mergeCell ref="AT5:AT6"/>
    <mergeCell ref="AU5:AU6"/>
    <mergeCell ref="AY5:AY6"/>
    <mergeCell ref="AR5:AR6"/>
    <mergeCell ref="AZ5:AZ6"/>
    <mergeCell ref="Z5:Z6"/>
    <mergeCell ref="AA5:AA6"/>
    <mergeCell ref="AB5:AB6"/>
    <mergeCell ref="AG5:AG6"/>
    <mergeCell ref="AE3:AE6"/>
    <mergeCell ref="AQ5:AQ6"/>
    <mergeCell ref="AV5:AX5"/>
    <mergeCell ref="AS5:AS6"/>
    <mergeCell ref="X5:X6"/>
    <mergeCell ref="Y5:Y6"/>
    <mergeCell ref="P5:P6"/>
    <mergeCell ref="Q5:Q6"/>
    <mergeCell ref="R5:R6"/>
    <mergeCell ref="S5:S6"/>
    <mergeCell ref="W5:W6"/>
    <mergeCell ref="M4:N4"/>
    <mergeCell ref="O4:P4"/>
    <mergeCell ref="Q4:R4"/>
    <mergeCell ref="V5:V6"/>
    <mergeCell ref="E5:E6"/>
    <mergeCell ref="F5:F6"/>
    <mergeCell ref="G5:G6"/>
    <mergeCell ref="H5:H6"/>
    <mergeCell ref="L5:L6"/>
    <mergeCell ref="M5:M6"/>
    <mergeCell ref="I5:I6"/>
    <mergeCell ref="J5:J6"/>
    <mergeCell ref="K5:K6"/>
    <mergeCell ref="BD3:BD6"/>
    <mergeCell ref="S3:T4"/>
    <mergeCell ref="U3:AB4"/>
    <mergeCell ref="AC3:AC6"/>
    <mergeCell ref="AD3:AD6"/>
    <mergeCell ref="T5:T6"/>
    <mergeCell ref="U5:U6"/>
    <mergeCell ref="K4:L4"/>
    <mergeCell ref="BE3:BE6"/>
    <mergeCell ref="AH5:AH6"/>
    <mergeCell ref="AI5:AI6"/>
    <mergeCell ref="AJ5:AJ6"/>
    <mergeCell ref="AK5:AK6"/>
    <mergeCell ref="AL5:AL6"/>
    <mergeCell ref="AM5:AM6"/>
    <mergeCell ref="BA5:BA6"/>
    <mergeCell ref="BB5:BB6"/>
    <mergeCell ref="BC5:BC7"/>
    <mergeCell ref="A1:N1"/>
    <mergeCell ref="A3:A6"/>
    <mergeCell ref="B3:B6"/>
    <mergeCell ref="C3:C6"/>
    <mergeCell ref="D3:D6"/>
    <mergeCell ref="E3:R3"/>
    <mergeCell ref="E4:F4"/>
    <mergeCell ref="G4:H4"/>
    <mergeCell ref="I4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selection activeCell="C57" sqref="C57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1.875" style="2" customWidth="1"/>
    <col min="4" max="4" width="10.75390625" style="2" customWidth="1"/>
    <col min="5" max="5" width="11.75390625" style="2" customWidth="1"/>
    <col min="6" max="6" width="9.875" style="2" customWidth="1"/>
    <col min="7" max="7" width="11.375" style="2" customWidth="1"/>
    <col min="8" max="8" width="12.25390625" style="2" customWidth="1"/>
    <col min="9" max="9" width="10.00390625" style="2" customWidth="1"/>
    <col min="10" max="10" width="9.25390625" style="2" customWidth="1"/>
    <col min="11" max="11" width="10.875" style="2" customWidth="1"/>
    <col min="12" max="12" width="10.375" style="2" customWidth="1"/>
    <col min="13" max="13" width="10.125" style="2" customWidth="1"/>
    <col min="14" max="14" width="9.875" style="2" customWidth="1"/>
    <col min="15" max="15" width="8.375" style="2" customWidth="1"/>
    <col min="16" max="16" width="12.375" style="2" customWidth="1"/>
    <col min="17" max="17" width="10.75390625" style="2" customWidth="1"/>
    <col min="18" max="18" width="13.375" style="2" customWidth="1"/>
    <col min="19" max="16384" width="9.125" style="2" customWidth="1"/>
  </cols>
  <sheetData>
    <row r="1" ht="18.75">
      <c r="E1" s="35" t="s">
        <v>55</v>
      </c>
    </row>
    <row r="2" ht="18.75">
      <c r="E2" s="35" t="s">
        <v>56</v>
      </c>
    </row>
    <row r="6" spans="1:17" ht="12.75">
      <c r="A6" s="321" t="s">
        <v>88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</row>
    <row r="7" spans="1:17" ht="12.75">
      <c r="A7" s="360" t="s">
        <v>92</v>
      </c>
      <c r="B7" s="360"/>
      <c r="C7" s="360"/>
      <c r="D7" s="360"/>
      <c r="E7" s="360"/>
      <c r="F7" s="360"/>
      <c r="G7" s="360"/>
      <c r="H7" s="110"/>
      <c r="I7" s="110"/>
      <c r="J7" s="110"/>
      <c r="K7" s="110"/>
      <c r="L7" s="110"/>
      <c r="M7" s="110"/>
      <c r="N7" s="110"/>
      <c r="O7" s="110"/>
      <c r="P7" s="110"/>
      <c r="Q7" s="110"/>
    </row>
    <row r="8" spans="1:17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5" ht="13.5" thickBot="1">
      <c r="A9" s="37" t="s">
        <v>57</v>
      </c>
      <c r="D9" s="4"/>
      <c r="E9" s="37">
        <v>8.65</v>
      </c>
    </row>
    <row r="10" spans="1:18" ht="12.75" customHeight="1">
      <c r="A10" s="285" t="s">
        <v>58</v>
      </c>
      <c r="B10" s="323" t="s">
        <v>1</v>
      </c>
      <c r="C10" s="326" t="s">
        <v>59</v>
      </c>
      <c r="D10" s="329" t="s">
        <v>3</v>
      </c>
      <c r="E10" s="361" t="s">
        <v>60</v>
      </c>
      <c r="F10" s="362"/>
      <c r="G10" s="345" t="s">
        <v>76</v>
      </c>
      <c r="H10" s="345"/>
      <c r="I10" s="366" t="s">
        <v>117</v>
      </c>
      <c r="J10" s="354" t="s">
        <v>10</v>
      </c>
      <c r="K10" s="316"/>
      <c r="L10" s="316"/>
      <c r="M10" s="316"/>
      <c r="N10" s="316"/>
      <c r="O10" s="355"/>
      <c r="P10" s="356"/>
      <c r="Q10" s="334" t="s">
        <v>61</v>
      </c>
      <c r="R10" s="334" t="s">
        <v>12</v>
      </c>
    </row>
    <row r="11" spans="1:18" ht="12.75">
      <c r="A11" s="286"/>
      <c r="B11" s="324"/>
      <c r="C11" s="327"/>
      <c r="D11" s="330"/>
      <c r="E11" s="363"/>
      <c r="F11" s="364"/>
      <c r="G11" s="346"/>
      <c r="H11" s="346"/>
      <c r="I11" s="367"/>
      <c r="J11" s="357"/>
      <c r="K11" s="296"/>
      <c r="L11" s="296"/>
      <c r="M11" s="296"/>
      <c r="N11" s="296"/>
      <c r="O11" s="358"/>
      <c r="P11" s="359"/>
      <c r="Q11" s="335"/>
      <c r="R11" s="335"/>
    </row>
    <row r="12" spans="1:18" ht="26.25" customHeight="1">
      <c r="A12" s="286"/>
      <c r="B12" s="324"/>
      <c r="C12" s="327"/>
      <c r="D12" s="330"/>
      <c r="E12" s="339" t="s">
        <v>62</v>
      </c>
      <c r="F12" s="340"/>
      <c r="G12" s="39" t="s">
        <v>63</v>
      </c>
      <c r="H12" s="341" t="s">
        <v>7</v>
      </c>
      <c r="I12" s="367"/>
      <c r="J12" s="343" t="s">
        <v>64</v>
      </c>
      <c r="K12" s="332" t="s">
        <v>32</v>
      </c>
      <c r="L12" s="332" t="s">
        <v>65</v>
      </c>
      <c r="M12" s="332" t="s">
        <v>37</v>
      </c>
      <c r="N12" s="332" t="s">
        <v>66</v>
      </c>
      <c r="O12" s="333" t="s">
        <v>119</v>
      </c>
      <c r="P12" s="350" t="s">
        <v>39</v>
      </c>
      <c r="Q12" s="335"/>
      <c r="R12" s="335"/>
    </row>
    <row r="13" spans="1:18" ht="66.75" customHeight="1" thickBot="1">
      <c r="A13" s="322"/>
      <c r="B13" s="325"/>
      <c r="C13" s="328"/>
      <c r="D13" s="331"/>
      <c r="E13" s="40" t="s">
        <v>67</v>
      </c>
      <c r="F13" s="41" t="s">
        <v>21</v>
      </c>
      <c r="G13" s="42" t="s">
        <v>77</v>
      </c>
      <c r="H13" s="342"/>
      <c r="I13" s="368"/>
      <c r="J13" s="344"/>
      <c r="K13" s="333"/>
      <c r="L13" s="333"/>
      <c r="M13" s="333"/>
      <c r="N13" s="333"/>
      <c r="O13" s="365"/>
      <c r="P13" s="351"/>
      <c r="Q13" s="336"/>
      <c r="R13" s="336"/>
    </row>
    <row r="14" spans="1:18" ht="13.5" thickBot="1">
      <c r="A14" s="43">
        <v>1</v>
      </c>
      <c r="B14" s="44">
        <v>2</v>
      </c>
      <c r="C14" s="43">
        <v>3</v>
      </c>
      <c r="D14" s="44">
        <v>4</v>
      </c>
      <c r="E14" s="43">
        <v>5</v>
      </c>
      <c r="F14" s="44">
        <v>6</v>
      </c>
      <c r="G14" s="43">
        <v>7</v>
      </c>
      <c r="H14" s="44">
        <v>8</v>
      </c>
      <c r="I14" s="43">
        <v>9</v>
      </c>
      <c r="J14" s="44">
        <v>10</v>
      </c>
      <c r="K14" s="43">
        <v>11</v>
      </c>
      <c r="L14" s="44">
        <v>12</v>
      </c>
      <c r="M14" s="43">
        <v>13</v>
      </c>
      <c r="N14" s="44">
        <v>14</v>
      </c>
      <c r="O14" s="43">
        <v>15</v>
      </c>
      <c r="P14" s="44">
        <v>16</v>
      </c>
      <c r="Q14" s="43">
        <v>17</v>
      </c>
      <c r="R14" s="44">
        <v>18</v>
      </c>
    </row>
    <row r="15" spans="1:18" ht="12.75">
      <c r="A15" s="8" t="s">
        <v>40</v>
      </c>
      <c r="B15" s="9"/>
      <c r="C15" s="38"/>
      <c r="D15" s="8"/>
      <c r="E15" s="9"/>
      <c r="F15" s="10"/>
      <c r="G15" s="45"/>
      <c r="H15" s="38"/>
      <c r="I15" s="280"/>
      <c r="J15" s="8"/>
      <c r="K15" s="9"/>
      <c r="L15" s="9"/>
      <c r="M15" s="9"/>
      <c r="N15" s="9"/>
      <c r="O15" s="38"/>
      <c r="P15" s="10"/>
      <c r="Q15" s="46"/>
      <c r="R15" s="47"/>
    </row>
    <row r="16" spans="1:18" ht="12.75">
      <c r="A16" s="13" t="s">
        <v>41</v>
      </c>
      <c r="B16" s="14">
        <f>Лист1!B9</f>
        <v>5870.2</v>
      </c>
      <c r="C16" s="48">
        <f>Лист1!C9</f>
        <v>50777.23</v>
      </c>
      <c r="D16" s="49">
        <f>Лист1!D9</f>
        <v>12231.2191624</v>
      </c>
      <c r="E16" s="19">
        <f>Лист1!S9</f>
        <v>35061.18</v>
      </c>
      <c r="F16" s="21">
        <f>Лист1!T9</f>
        <v>6674.349999999999</v>
      </c>
      <c r="G16" s="50">
        <f>Лист1!AB9</f>
        <v>0</v>
      </c>
      <c r="H16" s="50">
        <f>Лист1!AC9</f>
        <v>18905.5691624</v>
      </c>
      <c r="I16" s="50"/>
      <c r="J16" s="51">
        <f>Лист1!AG9</f>
        <v>3522.12</v>
      </c>
      <c r="K16" s="19">
        <f>Лист1!AI9+Лист1!AJ9</f>
        <v>5900.267104799999</v>
      </c>
      <c r="L16" s="19">
        <f>Лист1!AH9+Лист1!AK9+Лист1!AL9+Лист1!AM9+Лист1!AN9+Лист1!AO9+Лист1!AP9</f>
        <v>20718.24337562</v>
      </c>
      <c r="M16" s="20">
        <f>Лист1!AS9+Лист1!AU9</f>
        <v>14667.223</v>
      </c>
      <c r="N16" s="20">
        <f>Лист1!AX9</f>
        <v>0</v>
      </c>
      <c r="O16" s="277"/>
      <c r="P16" s="21">
        <f>Лист1!BB9</f>
        <v>44807.85348042</v>
      </c>
      <c r="Q16" s="52">
        <f>Лист1!BD9</f>
        <v>-25902.284318020003</v>
      </c>
      <c r="R16" s="52">
        <f>Лист1!BE9</f>
        <v>-35061.18</v>
      </c>
    </row>
    <row r="17" spans="1:18" ht="12.75">
      <c r="A17" s="13" t="s">
        <v>42</v>
      </c>
      <c r="B17" s="14">
        <f>Лист1!B10</f>
        <v>5870.2</v>
      </c>
      <c r="C17" s="48">
        <f>Лист1!C10</f>
        <v>50777.23</v>
      </c>
      <c r="D17" s="49">
        <f>Лист1!D10</f>
        <v>12231.2191624</v>
      </c>
      <c r="E17" s="19">
        <f>Лист1!S10</f>
        <v>33368.490000000005</v>
      </c>
      <c r="F17" s="21">
        <f>Лист1!T10</f>
        <v>6707.9800000000005</v>
      </c>
      <c r="G17" s="50">
        <f>Лист1!AB10</f>
        <v>25459.02</v>
      </c>
      <c r="H17" s="50">
        <f>Лист1!AC10</f>
        <v>44398.2191624</v>
      </c>
      <c r="I17" s="50"/>
      <c r="J17" s="51">
        <f>Лист1!AG10</f>
        <v>3522.12</v>
      </c>
      <c r="K17" s="19">
        <f>Лист1!AI10+Лист1!AJ10</f>
        <v>5900.267104799999</v>
      </c>
      <c r="L17" s="19">
        <f>Лист1!AH10+Лист1!AK10+Лист1!AL10+Лист1!AM10+Лист1!AN10+Лист1!AO10+Лист1!AP10</f>
        <v>20655.71400522</v>
      </c>
      <c r="M17" s="20">
        <f>Лист1!AS10+Лист1!AU10</f>
        <v>52783.76</v>
      </c>
      <c r="N17" s="20">
        <f>Лист1!AX10</f>
        <v>0</v>
      </c>
      <c r="O17" s="277"/>
      <c r="P17" s="21">
        <f>Лист1!BB10</f>
        <v>82861.86111001999</v>
      </c>
      <c r="Q17" s="52">
        <f>Лист1!BD10</f>
        <v>-38463.641947619995</v>
      </c>
      <c r="R17" s="52">
        <f>Лист1!BE10</f>
        <v>-7909.470000000005</v>
      </c>
    </row>
    <row r="18" spans="1:20" ht="13.5" thickBot="1">
      <c r="A18" s="53" t="s">
        <v>43</v>
      </c>
      <c r="B18" s="76">
        <f>Лист1!B11</f>
        <v>5870.2</v>
      </c>
      <c r="C18" s="54">
        <f>Лист1!C11</f>
        <v>50777.23</v>
      </c>
      <c r="D18" s="77">
        <f>Лист1!D11</f>
        <v>12204.3072305</v>
      </c>
      <c r="E18" s="78">
        <f>Лист1!S11</f>
        <v>34417.93000000001</v>
      </c>
      <c r="F18" s="82">
        <f>Лист1!T11</f>
        <v>6806.360000000001</v>
      </c>
      <c r="G18" s="79">
        <f>Лист1!AB11</f>
        <v>35351.07</v>
      </c>
      <c r="H18" s="79">
        <f>Лист1!AC11</f>
        <v>54361.7372305</v>
      </c>
      <c r="I18" s="79"/>
      <c r="J18" s="80">
        <f>Лист1!AG11</f>
        <v>3522.12</v>
      </c>
      <c r="K18" s="78">
        <f>Лист1!AI11+Лист1!AJ11</f>
        <v>5883.100351519999</v>
      </c>
      <c r="L18" s="78">
        <f>Лист1!AH11+Лист1!AK11+Лист1!AL11+Лист1!AM11+Лист1!AN11+Лист1!AO11+Лист1!AP11</f>
        <v>20622.745934445997</v>
      </c>
      <c r="M18" s="81">
        <f>Лист1!AS11+Лист1!AU11</f>
        <v>14885.7</v>
      </c>
      <c r="N18" s="81">
        <f>Лист1!AX11</f>
        <v>0</v>
      </c>
      <c r="O18" s="278"/>
      <c r="P18" s="82">
        <f>Лист1!BB11</f>
        <v>44913.666285966</v>
      </c>
      <c r="Q18" s="83">
        <f>Лист1!BD11</f>
        <v>9448.070944534004</v>
      </c>
      <c r="R18" s="83">
        <f>Лист1!BE11</f>
        <v>933.1399999999921</v>
      </c>
      <c r="S18" s="1"/>
      <c r="T18" s="1"/>
    </row>
    <row r="19" spans="1:20" s="28" customFormat="1" ht="13.5" thickBot="1">
      <c r="A19" s="55" t="s">
        <v>5</v>
      </c>
      <c r="B19" s="87"/>
      <c r="C19" s="88">
        <f>SUM(C16:C18)</f>
        <v>152331.69</v>
      </c>
      <c r="D19" s="95">
        <f aca="true" t="shared" si="0" ref="D19:R19">SUM(D16:D18)</f>
        <v>36666.7455553</v>
      </c>
      <c r="E19" s="88">
        <f t="shared" si="0"/>
        <v>102847.60000000002</v>
      </c>
      <c r="F19" s="89">
        <f t="shared" si="0"/>
        <v>20188.690000000002</v>
      </c>
      <c r="G19" s="94">
        <f t="shared" si="0"/>
        <v>60810.09</v>
      </c>
      <c r="H19" s="88">
        <f t="shared" si="0"/>
        <v>117665.5255553</v>
      </c>
      <c r="I19" s="88"/>
      <c r="J19" s="88">
        <f t="shared" si="0"/>
        <v>10566.36</v>
      </c>
      <c r="K19" s="88">
        <f t="shared" si="0"/>
        <v>17683.634561119998</v>
      </c>
      <c r="L19" s="88">
        <f t="shared" si="0"/>
        <v>61996.703315285995</v>
      </c>
      <c r="M19" s="88">
        <f t="shared" si="0"/>
        <v>82336.683</v>
      </c>
      <c r="N19" s="88">
        <f t="shared" si="0"/>
        <v>0</v>
      </c>
      <c r="O19" s="88"/>
      <c r="P19" s="88">
        <f t="shared" si="0"/>
        <v>172583.38087640598</v>
      </c>
      <c r="Q19" s="88">
        <f t="shared" si="0"/>
        <v>-54917.85532110599</v>
      </c>
      <c r="R19" s="89">
        <f t="shared" si="0"/>
        <v>-42037.51000000002</v>
      </c>
      <c r="S19" s="62"/>
      <c r="T19" s="63"/>
    </row>
    <row r="20" spans="1:20" ht="12.75">
      <c r="A20" s="8" t="s">
        <v>44</v>
      </c>
      <c r="B20" s="84"/>
      <c r="C20" s="64"/>
      <c r="D20" s="65"/>
      <c r="E20" s="66"/>
      <c r="F20" s="67"/>
      <c r="G20" s="68"/>
      <c r="H20" s="68"/>
      <c r="I20" s="68"/>
      <c r="J20" s="69"/>
      <c r="K20" s="66"/>
      <c r="L20" s="66"/>
      <c r="M20" s="85"/>
      <c r="N20" s="85"/>
      <c r="O20" s="279"/>
      <c r="P20" s="67"/>
      <c r="Q20" s="86"/>
      <c r="R20" s="86"/>
      <c r="S20" s="1"/>
      <c r="T20" s="1"/>
    </row>
    <row r="21" spans="1:20" ht="12.75">
      <c r="A21" s="13" t="s">
        <v>45</v>
      </c>
      <c r="B21" s="14">
        <f>Лист1!B14</f>
        <v>5866.3</v>
      </c>
      <c r="C21" s="48">
        <f>Лист1!C14</f>
        <v>50743.495</v>
      </c>
      <c r="D21" s="49">
        <f>Лист1!D14</f>
        <v>6342.936875</v>
      </c>
      <c r="E21" s="19">
        <f>Лист1!S14</f>
        <v>41450.689999999995</v>
      </c>
      <c r="F21" s="21">
        <f>Лист1!T14</f>
        <v>7440.450000000001</v>
      </c>
      <c r="G21" s="50">
        <f>Лист1!AB14</f>
        <v>34943.9</v>
      </c>
      <c r="H21" s="50">
        <f>Лист1!AC14</f>
        <v>48727.286875000005</v>
      </c>
      <c r="I21" s="50"/>
      <c r="J21" s="51">
        <f>Лист1!AG14</f>
        <v>3167.802</v>
      </c>
      <c r="K21" s="19">
        <f>Лист1!AI14+Лист1!AJ14</f>
        <v>5101.316746299999</v>
      </c>
      <c r="L21" s="19">
        <f>Лист1!AH14+Лист1!AK14+Лист1!AL14+Лист1!AM14+Лист1!AN14+Лист1!AO14+Лист1!AP14+Лист1!AQ14+Лист1!AR14+Лист1!AY14+Лист1!AZ14+Лист1!BA14</f>
        <v>27326.27618902309</v>
      </c>
      <c r="M21" s="20">
        <f>Лист1!AS14+Лист1!AT14+Лист1!AU14+Лист1!AQ14+Лист1!AR14</f>
        <v>19344.93</v>
      </c>
      <c r="N21" s="20">
        <f>Лист1!AX14</f>
        <v>6244.56</v>
      </c>
      <c r="O21" s="277"/>
      <c r="P21" s="21">
        <f>Лист1!BB14</f>
        <v>54940.32493532308</v>
      </c>
      <c r="Q21" s="52">
        <f>Лист1!BD14</f>
        <v>-6213.038060323073</v>
      </c>
      <c r="R21" s="52">
        <f>Лист1!BE14</f>
        <v>-6506.789999999994</v>
      </c>
      <c r="S21" s="1"/>
      <c r="T21" s="1"/>
    </row>
    <row r="22" spans="1:20" ht="12.75">
      <c r="A22" s="13" t="s">
        <v>46</v>
      </c>
      <c r="B22" s="14">
        <f>Лист1!B15</f>
        <v>5866.3</v>
      </c>
      <c r="C22" s="48">
        <f>Лист1!C15</f>
        <v>50743.495</v>
      </c>
      <c r="D22" s="49">
        <f>Лист1!D15</f>
        <v>6342.936875</v>
      </c>
      <c r="E22" s="19">
        <f>Лист1!S15</f>
        <v>41702.53</v>
      </c>
      <c r="F22" s="21">
        <f>Лист1!T15</f>
        <v>7523.36</v>
      </c>
      <c r="G22" s="50">
        <f>Лист1!AB15</f>
        <v>35693.81</v>
      </c>
      <c r="H22" s="50">
        <f>Лист1!AC15</f>
        <v>49560.106875</v>
      </c>
      <c r="I22" s="50"/>
      <c r="J22" s="51">
        <f>Лист1!AG15</f>
        <v>3167.802</v>
      </c>
      <c r="K22" s="19">
        <f>Лист1!AI15+Лист1!AJ15</f>
        <v>5101.3403463</v>
      </c>
      <c r="L22" s="19">
        <f>Лист1!AH15+Лист1!AK15+Лист1!AL15+Лист1!AM15+Лист1!AN15+Лист1!AO15+Лист1!AP15+Лист1!AQ15+Лист1!AR15+Лист1!AY15+Лист1!AZ15+Лист1!BA15</f>
        <v>27351.567568213082</v>
      </c>
      <c r="M22" s="20">
        <f>Лист1!AS15+Лист1!AT15+Лист1!AU15+Лист1!AQ15+Лист1!AR15</f>
        <v>13652.6</v>
      </c>
      <c r="N22" s="20">
        <f>Лист1!AX15</f>
        <v>5037.939200000001</v>
      </c>
      <c r="O22" s="277"/>
      <c r="P22" s="21">
        <f>Лист1!BB15</f>
        <v>49273.309914513084</v>
      </c>
      <c r="Q22" s="52">
        <f>Лист1!BD15</f>
        <v>286.79696048691403</v>
      </c>
      <c r="R22" s="52">
        <f>Лист1!BE15</f>
        <v>-6008.720000000001</v>
      </c>
      <c r="S22" s="1"/>
      <c r="T22" s="1"/>
    </row>
    <row r="23" spans="1:20" ht="12.75">
      <c r="A23" s="13" t="s">
        <v>47</v>
      </c>
      <c r="B23" s="14">
        <f>Лист1!B16</f>
        <v>5864.6</v>
      </c>
      <c r="C23" s="48">
        <f>Лист1!C16</f>
        <v>50728.79000000001</v>
      </c>
      <c r="D23" s="49">
        <f>Лист1!D16</f>
        <v>6341.098750000001</v>
      </c>
      <c r="E23" s="19">
        <f>Лист1!S16</f>
        <v>38588.33</v>
      </c>
      <c r="F23" s="21">
        <f>Лист1!T16</f>
        <v>7620.04</v>
      </c>
      <c r="G23" s="50">
        <f>Лист1!AB16</f>
        <v>46302.81999999999</v>
      </c>
      <c r="H23" s="50">
        <f>Лист1!AC16</f>
        <v>60263.95874999999</v>
      </c>
      <c r="I23" s="50"/>
      <c r="J23" s="51">
        <f>Лист1!AG16</f>
        <v>3166.8840000000005</v>
      </c>
      <c r="K23" s="19">
        <f>Лист1!AI16+Лист1!AJ16</f>
        <v>5102.8031215</v>
      </c>
      <c r="L23" s="19">
        <f>Лист1!AH16+Лист1!AK16+Лист1!AL16+Лист1!AM16+Лист1!AN16+Лист1!AO16+Лист1!AP16+Лист1!AQ16+Лист1!AR16+Лист1!AY16+Лист1!AZ16+Лист1!BA16</f>
        <v>26761.660486459987</v>
      </c>
      <c r="M23" s="20">
        <f>Лист1!AS16+Лист1!AT16+Лист1!AU16+Лист1!AQ16+Лист1!AR16</f>
        <v>12558.74</v>
      </c>
      <c r="N23" s="20">
        <f>Лист1!AX16</f>
        <v>5163.4911999999995</v>
      </c>
      <c r="O23" s="277"/>
      <c r="P23" s="21">
        <f>Лист1!BB16</f>
        <v>47590.087607959984</v>
      </c>
      <c r="Q23" s="52">
        <f>Лист1!BD16</f>
        <v>12673.871142040007</v>
      </c>
      <c r="R23" s="52">
        <f>Лист1!BE16</f>
        <v>7714.489999999991</v>
      </c>
      <c r="S23" s="1"/>
      <c r="T23" s="1"/>
    </row>
    <row r="24" spans="1:20" ht="12.75">
      <c r="A24" s="13" t="s">
        <v>48</v>
      </c>
      <c r="B24" s="14">
        <f>Лист1!B17</f>
        <v>5863.4</v>
      </c>
      <c r="C24" s="48">
        <f>Лист1!C17</f>
        <v>50718.409999999996</v>
      </c>
      <c r="D24" s="49">
        <f>Лист1!D17</f>
        <v>6339.8012499999995</v>
      </c>
      <c r="E24" s="19">
        <f>Лист1!S17</f>
        <v>44595.020000000004</v>
      </c>
      <c r="F24" s="21">
        <f>Лист1!T17</f>
        <v>7764.820000000001</v>
      </c>
      <c r="G24" s="50">
        <f>Лист1!AB17</f>
        <v>36359.84</v>
      </c>
      <c r="H24" s="50">
        <f>Лист1!AC17</f>
        <v>50464.46124999999</v>
      </c>
      <c r="I24" s="50"/>
      <c r="J24" s="51">
        <f>Лист1!AG17</f>
        <v>3166.2359999999994</v>
      </c>
      <c r="K24" s="19">
        <f>Лист1!AI17+Лист1!AJ17</f>
        <v>5254.076644679999</v>
      </c>
      <c r="L24" s="19">
        <f>Лист1!AH17+Лист1!AK17+Лист1!AL17+Лист1!AM17+Лист1!AN17+Лист1!AO17+Лист1!AP17+Лист1!AQ17+Лист1!AR17+Лист1!AY17+Лист1!AZ17+Лист1!BA17</f>
        <v>26996.790325283233</v>
      </c>
      <c r="M24" s="20">
        <f>Лист1!AS17+Лист1!AT17+Лист1!AU17+Лист1!AQ17+Лист1!AR17</f>
        <v>2682.8952</v>
      </c>
      <c r="N24" s="20">
        <f>Лист1!AX17</f>
        <v>4839.6992</v>
      </c>
      <c r="O24" s="277"/>
      <c r="P24" s="21">
        <f>Лист1!BB17</f>
        <v>59385.687769963224</v>
      </c>
      <c r="Q24" s="52">
        <f>Лист1!BD17</f>
        <v>-8921.226519963231</v>
      </c>
      <c r="R24" s="52">
        <f>Лист1!BE17</f>
        <v>-8235.180000000008</v>
      </c>
      <c r="S24" s="1"/>
      <c r="T24" s="1"/>
    </row>
    <row r="25" spans="1:20" ht="12.75">
      <c r="A25" s="13" t="s">
        <v>49</v>
      </c>
      <c r="B25" s="14">
        <f>Лист1!B18</f>
        <v>5860.7</v>
      </c>
      <c r="C25" s="48">
        <f>Лист1!C18</f>
        <v>50695.055</v>
      </c>
      <c r="D25" s="49">
        <f>Лист1!D18</f>
        <v>5123.835000000001</v>
      </c>
      <c r="E25" s="19">
        <f>Лист1!S18</f>
        <v>44962.08</v>
      </c>
      <c r="F25" s="21">
        <f>Лист1!T18</f>
        <v>8588.14</v>
      </c>
      <c r="G25" s="50">
        <f>Лист1!AB18</f>
        <v>39420.14</v>
      </c>
      <c r="H25" s="50">
        <f>Лист1!AC18</f>
        <v>53132.115</v>
      </c>
      <c r="I25" s="50"/>
      <c r="J25" s="51">
        <f>Лист1!AG18</f>
        <v>3516.4199999999996</v>
      </c>
      <c r="K25" s="19">
        <f>Лист1!AI18+Лист1!AJ18</f>
        <v>5878.282099999999</v>
      </c>
      <c r="L25" s="19">
        <f>Лист1!AH18+Лист1!AK18+Лист1!AL18+Лист1!AM18+Лист1!AN18+Лист1!AO18+Лист1!AP18+Лист1!AQ18+Лист1!AR18+Лист1!AY18+Лист1!AZ18+Лист1!BA18</f>
        <v>29934.469701006004</v>
      </c>
      <c r="M25" s="20">
        <f>Лист1!AS18+Лист1!AT18+Лист1!AU18+Лист1!AQ18+Лист1!AR18</f>
        <v>0</v>
      </c>
      <c r="N25" s="20">
        <f>Лист1!AX18</f>
        <v>4244.979200000001</v>
      </c>
      <c r="O25" s="277"/>
      <c r="P25" s="21">
        <f>Лист1!BB18</f>
        <v>43574.15100100601</v>
      </c>
      <c r="Q25" s="52">
        <f>Лист1!BD18</f>
        <v>9557.96399899399</v>
      </c>
      <c r="R25" s="52">
        <f>Лист1!BE18</f>
        <v>-5541.940000000002</v>
      </c>
      <c r="S25" s="1"/>
      <c r="T25" s="1"/>
    </row>
    <row r="26" spans="1:20" ht="12.75">
      <c r="A26" s="13" t="s">
        <v>50</v>
      </c>
      <c r="B26" s="14">
        <f>Лист1!B19</f>
        <v>5860.7</v>
      </c>
      <c r="C26" s="48">
        <f>Лист1!C19</f>
        <v>50695.055</v>
      </c>
      <c r="D26" s="49">
        <f>Лист1!D19</f>
        <v>4971.215000000002</v>
      </c>
      <c r="E26" s="19">
        <f>Лист1!S19</f>
        <v>45032.1</v>
      </c>
      <c r="F26" s="21">
        <f>Лист1!T19</f>
        <v>8590.79</v>
      </c>
      <c r="G26" s="50">
        <f>Лист1!AB19</f>
        <v>47468.350000000006</v>
      </c>
      <c r="H26" s="50">
        <f>Лист1!AC19</f>
        <v>61030.35500000001</v>
      </c>
      <c r="I26" s="50"/>
      <c r="J26" s="51">
        <f>Лист1!AG19</f>
        <v>3516.4199999999996</v>
      </c>
      <c r="K26" s="19">
        <f>Лист1!AI19+Лист1!AJ19</f>
        <v>5878.282099999999</v>
      </c>
      <c r="L26" s="19">
        <f>Лист1!AH19+Лист1!AK19+Лист1!AL19+Лист1!AM19+Лист1!AN19+Лист1!AO19+Лист1!AP19+Лист1!AQ19+Лист1!AR19+Лист1!AY19+Лист1!AZ19+Лист1!BA19</f>
        <v>29934.98716400601</v>
      </c>
      <c r="M26" s="20">
        <f>Лист1!AS19+Лист1!AT19+Лист1!AU19+Лист1!AQ19+Лист1!AR19</f>
        <v>3299.9762</v>
      </c>
      <c r="N26" s="20">
        <f>Лист1!AX19</f>
        <v>4474.9376</v>
      </c>
      <c r="O26" s="277"/>
      <c r="P26" s="21">
        <f>Лист1!BB19</f>
        <v>47104.603064006</v>
      </c>
      <c r="Q26" s="52">
        <f>Лист1!BD19</f>
        <v>13925.751935994012</v>
      </c>
      <c r="R26" s="52">
        <f>Лист1!BE19</f>
        <v>2436.2500000000073</v>
      </c>
      <c r="S26" s="1"/>
      <c r="T26" s="1"/>
    </row>
    <row r="27" spans="1:20" ht="12.75">
      <c r="A27" s="13" t="s">
        <v>51</v>
      </c>
      <c r="B27" s="14">
        <f>Лист1!B20</f>
        <v>5860.7</v>
      </c>
      <c r="C27" s="48">
        <f>Лист1!C20</f>
        <v>50695.055</v>
      </c>
      <c r="D27" s="49">
        <f>Лист1!D20</f>
        <v>4982.6849999999995</v>
      </c>
      <c r="E27" s="19">
        <f>Лист1!S20</f>
        <v>44881.49</v>
      </c>
      <c r="F27" s="21">
        <f>Лист1!T20</f>
        <v>8611.83</v>
      </c>
      <c r="G27" s="50">
        <f>Лист1!AB20</f>
        <v>42745.26</v>
      </c>
      <c r="H27" s="50">
        <f>Лист1!AC20</f>
        <v>56339.775</v>
      </c>
      <c r="I27" s="50"/>
      <c r="J27" s="51">
        <f>Лист1!AG20</f>
        <v>3516.42</v>
      </c>
      <c r="K27" s="19">
        <f>Лист1!AI20+Лист1!AJ20</f>
        <v>5794.222665969999</v>
      </c>
      <c r="L27" s="19">
        <f>Лист1!AH20+Лист1!AK20+Лист1!AL20+Лист1!AM20+Лист1!AN20+Лист1!AO20+Лист1!AP20+Лист1!AQ20+Лист1!AR20+Лист1!AY20+Лист1!AZ20+Лист1!BA20</f>
        <v>29738.393928847556</v>
      </c>
      <c r="M27" s="20">
        <f>Лист1!AS20+Лист1!AT20+Лист1!AU20+Лист1!AQ20+Лист1!AR20</f>
        <v>4196.08</v>
      </c>
      <c r="N27" s="20">
        <f>Лист1!AX20</f>
        <v>3578.8928000000005</v>
      </c>
      <c r="O27" s="277"/>
      <c r="P27" s="21">
        <f>Лист1!BB20</f>
        <v>46824.00939481755</v>
      </c>
      <c r="Q27" s="52">
        <f>Лист1!BD20</f>
        <v>9515.765605182452</v>
      </c>
      <c r="R27" s="52">
        <f>Лист1!BE20</f>
        <v>-2136.229999999996</v>
      </c>
      <c r="S27" s="1"/>
      <c r="T27" s="1"/>
    </row>
    <row r="28" spans="1:20" ht="12.75">
      <c r="A28" s="13" t="s">
        <v>52</v>
      </c>
      <c r="B28" s="14">
        <f>Лист1!B21</f>
        <v>5858.8</v>
      </c>
      <c r="C28" s="48">
        <f>Лист1!C21</f>
        <v>50678.62</v>
      </c>
      <c r="D28" s="49">
        <f>Лист1!D21</f>
        <v>4940.039999999997</v>
      </c>
      <c r="E28" s="19">
        <f>Лист1!S21</f>
        <v>45542.71000000001</v>
      </c>
      <c r="F28" s="21">
        <f>Лист1!T21</f>
        <v>8555.22</v>
      </c>
      <c r="G28" s="50">
        <f>Лист1!AB21</f>
        <v>43571.479999999996</v>
      </c>
      <c r="H28" s="50">
        <f>Лист1!AC21</f>
        <v>57066.73999999999</v>
      </c>
      <c r="I28" s="50"/>
      <c r="J28" s="51">
        <f>Лист1!AG21</f>
        <v>3515.28</v>
      </c>
      <c r="K28" s="19">
        <f>Лист1!AI21+Лист1!AJ21</f>
        <v>5789.758611864</v>
      </c>
      <c r="L28" s="19">
        <f>Лист1!AH21+Лист1!AK21+Лист1!AL21+Лист1!AM21+Лист1!AN21+Лист1!AO21+Лист1!AP21+Лист1!AQ21+Лист1!AR21+Лист1!AY21+Лист1!AZ21+Лист1!BA21</f>
        <v>44218.51494428488</v>
      </c>
      <c r="M28" s="20">
        <f>Лист1!AS21+Лист1!AT21+Лист1!AU21+Лист1!AQ21+Лист1!AR21</f>
        <v>15001.776600000001</v>
      </c>
      <c r="N28" s="20">
        <f>Лист1!AX21</f>
        <v>3559.0688</v>
      </c>
      <c r="O28" s="277"/>
      <c r="P28" s="21">
        <f>Лист1!BB21</f>
        <v>57592.38235614888</v>
      </c>
      <c r="Q28" s="52">
        <f>Лист1!BD21</f>
        <v>-525.6423561488918</v>
      </c>
      <c r="R28" s="52">
        <f>Лист1!BE21</f>
        <v>-1971.2300000000105</v>
      </c>
      <c r="S28" s="1"/>
      <c r="T28" s="1"/>
    </row>
    <row r="29" spans="1:20" ht="12.75">
      <c r="A29" s="13" t="s">
        <v>53</v>
      </c>
      <c r="B29" s="14">
        <f>Лист1!B22</f>
        <v>5858.8</v>
      </c>
      <c r="C29" s="48">
        <f>Лист1!C22</f>
        <v>50678.62</v>
      </c>
      <c r="D29" s="49">
        <f>Лист1!D22</f>
        <v>4939.219999999997</v>
      </c>
      <c r="E29" s="19">
        <f>Лист1!S22</f>
        <v>45065.28</v>
      </c>
      <c r="F29" s="21">
        <f>Лист1!T22</f>
        <v>8470.38</v>
      </c>
      <c r="G29" s="50">
        <f>Лист1!AB22</f>
        <v>40733.130000000005</v>
      </c>
      <c r="H29" s="50">
        <f>Лист1!AC22</f>
        <v>54142.729999999996</v>
      </c>
      <c r="I29" s="50"/>
      <c r="J29" s="51">
        <f>Лист1!AG22</f>
        <v>3515.28</v>
      </c>
      <c r="K29" s="19">
        <f>Лист1!AI22+Лист1!AJ22</f>
        <v>5788.759627876001</v>
      </c>
      <c r="L29" s="19">
        <f>Лист1!AH22+Лист1!AK22+Лист1!AL22+Лист1!AM22+Лист1!AN22+Лист1!AO22+Лист1!AP22+Лист1!AQ22+Лист1!AR22+Лист1!AY22+Лист1!AZ22+Лист1!BA22</f>
        <v>29707.313973292345</v>
      </c>
      <c r="M29" s="20">
        <f>Лист1!AS22+Лист1!AT22+Лист1!AU22+Лист1!AQ22+Лист1!AR22</f>
        <v>0</v>
      </c>
      <c r="N29" s="20">
        <f>Лист1!AX22</f>
        <v>4090.3520000000003</v>
      </c>
      <c r="O29" s="277"/>
      <c r="P29" s="21">
        <f>Лист1!BB22</f>
        <v>43101.705601168345</v>
      </c>
      <c r="Q29" s="52">
        <f>Лист1!BD22</f>
        <v>11041.02439883165</v>
      </c>
      <c r="R29" s="52">
        <f>Лист1!BE22</f>
        <v>-4332.149999999994</v>
      </c>
      <c r="S29" s="1"/>
      <c r="T29" s="1"/>
    </row>
    <row r="30" spans="1:20" ht="12.75">
      <c r="A30" s="13" t="s">
        <v>41</v>
      </c>
      <c r="B30" s="14">
        <f>Лист1!B23</f>
        <v>5858.8</v>
      </c>
      <c r="C30" s="48">
        <f>Лист1!C23</f>
        <v>50678.62</v>
      </c>
      <c r="D30" s="49">
        <f>Лист1!D23</f>
        <v>5059.28</v>
      </c>
      <c r="E30" s="19">
        <f>Лист1!S23</f>
        <v>44648.22</v>
      </c>
      <c r="F30" s="21">
        <f>Лист1!T23</f>
        <v>8472.95</v>
      </c>
      <c r="G30" s="50">
        <f>Лист1!AB23</f>
        <v>53619.93</v>
      </c>
      <c r="H30" s="50">
        <f>Лист1!AC23</f>
        <v>67152.16</v>
      </c>
      <c r="I30" s="50"/>
      <c r="J30" s="51">
        <f>Лист1!AG23</f>
        <v>3515.28</v>
      </c>
      <c r="K30" s="19">
        <f>Лист1!AI23+Лист1!AJ23</f>
        <v>5855.636248</v>
      </c>
      <c r="L30" s="19">
        <f>Лист1!AH23+Лист1!AK23+Лист1!AL23+Лист1!AM23+Лист1!AN23+Лист1!AO23+Лист1!AP23+Лист1!AQ23+Лист1!AR23+Лист1!AY23+Лист1!AZ23+Лист1!BA23</f>
        <v>29878.688240000003</v>
      </c>
      <c r="M30" s="20">
        <f>Лист1!AS23+Лист1!AT23+Лист1!AU23+Лист1!AQ23+Лист1!AR23</f>
        <v>2042.6625999999999</v>
      </c>
      <c r="N30" s="20">
        <f>Лист1!AX23</f>
        <v>3585.5008000000003</v>
      </c>
      <c r="O30" s="277"/>
      <c r="P30" s="21">
        <f>Лист1!BB23</f>
        <v>44877.767888</v>
      </c>
      <c r="Q30" s="52">
        <f>Лист1!BD23</f>
        <v>22274.392112</v>
      </c>
      <c r="R30" s="52">
        <f>Лист1!BE23</f>
        <v>8971.71</v>
      </c>
      <c r="S30" s="1"/>
      <c r="T30" s="1"/>
    </row>
    <row r="31" spans="1:20" ht="12.75">
      <c r="A31" s="13" t="s">
        <v>42</v>
      </c>
      <c r="B31" s="14">
        <f>Лист1!B24</f>
        <v>5858.8</v>
      </c>
      <c r="C31" s="48">
        <f>Лист1!C24</f>
        <v>50678.62</v>
      </c>
      <c r="D31" s="49">
        <f>Лист1!D24</f>
        <v>4931.330000000007</v>
      </c>
      <c r="E31" s="19">
        <f>Лист1!S24</f>
        <v>45348.3</v>
      </c>
      <c r="F31" s="21">
        <f>Лист1!T24</f>
        <v>8500.07</v>
      </c>
      <c r="G31" s="50">
        <f>Лист1!AB24</f>
        <v>44474.13</v>
      </c>
      <c r="H31" s="50">
        <f>Лист1!AC24</f>
        <v>57905.53</v>
      </c>
      <c r="I31" s="50"/>
      <c r="J31" s="51">
        <f>Лист1!AG24</f>
        <v>3515.28</v>
      </c>
      <c r="K31" s="19">
        <f>Лист1!AI24+Лист1!AJ24</f>
        <v>5876.376399999999</v>
      </c>
      <c r="L31" s="19">
        <f>Лист1!AH24+Лист1!AK24+Лист1!AL24+Лист1!AM24+Лист1!AN24+Лист1!AO24+Лист1!AP24+Лист1!AQ24+Лист1!AR24+Лист1!AY24+Лист1!AZ24+Лист1!BA24</f>
        <v>29901.206032000002</v>
      </c>
      <c r="M31" s="20">
        <f>Лист1!AS24+Лист1!AT24+Лист1!AU24+Лист1!AQ24+Лист1!AR24</f>
        <v>4171.3</v>
      </c>
      <c r="N31" s="20">
        <f>Лист1!AX24</f>
        <v>4103.568</v>
      </c>
      <c r="O31" s="277"/>
      <c r="P31" s="21">
        <f>Лист1!BB24</f>
        <v>47567.730432000004</v>
      </c>
      <c r="Q31" s="52">
        <f>Лист1!BD24</f>
        <v>10337.799567999995</v>
      </c>
      <c r="R31" s="52">
        <f>Лист1!BE24</f>
        <v>-874.1700000000055</v>
      </c>
      <c r="S31" s="1"/>
      <c r="T31" s="1"/>
    </row>
    <row r="32" spans="1:20" ht="13.5" thickBot="1">
      <c r="A32" s="53" t="s">
        <v>43</v>
      </c>
      <c r="B32" s="14">
        <f>Лист1!B25</f>
        <v>5858.8</v>
      </c>
      <c r="C32" s="48">
        <f>Лист1!C25</f>
        <v>50678.62</v>
      </c>
      <c r="D32" s="49">
        <f>Лист1!D25</f>
        <v>4894.7900000000045</v>
      </c>
      <c r="E32" s="19">
        <f>Лист1!S25</f>
        <v>45343.65</v>
      </c>
      <c r="F32" s="21">
        <f>Лист1!T25</f>
        <v>8539.55</v>
      </c>
      <c r="G32" s="50">
        <f>Лист1!AB25</f>
        <v>46746.380000000005</v>
      </c>
      <c r="H32" s="50">
        <f>Лист1!AC25</f>
        <v>60180.72000000001</v>
      </c>
      <c r="I32" s="50"/>
      <c r="J32" s="51">
        <f>Лист1!AG25</f>
        <v>3515.28</v>
      </c>
      <c r="K32" s="19">
        <f>Лист1!AI25+Лист1!AJ25</f>
        <v>5876.376400000001</v>
      </c>
      <c r="L32" s="19">
        <f>Лист1!AH25+Лист1!AK25+Лист1!AL25+Лист1!AM25+Лист1!AN25+Лист1!AO25+Лист1!AP25+Лист1!AQ25+Лист1!AR25+Лист1!AY25+Лист1!AZ25+Лист1!BA25</f>
        <v>29903.402376</v>
      </c>
      <c r="M32" s="20">
        <f>Лист1!AS25+Лист1!AT25+Лист1!AU25+Лист1!AQ25+Лист1!AR25</f>
        <v>7484.74</v>
      </c>
      <c r="N32" s="20">
        <f>Лист1!AX25</f>
        <v>4242.336</v>
      </c>
      <c r="O32" s="277"/>
      <c r="P32" s="21">
        <f>Лист1!BB25</f>
        <v>51022.134776000006</v>
      </c>
      <c r="Q32" s="52">
        <f>Лист1!BD25</f>
        <v>9158.585224000002</v>
      </c>
      <c r="R32" s="52">
        <f>Лист1!BE25</f>
        <v>1402.7300000000032</v>
      </c>
      <c r="S32" s="1"/>
      <c r="T32" s="1"/>
    </row>
    <row r="33" spans="1:20" s="28" customFormat="1" ht="13.5" thickBot="1">
      <c r="A33" s="55" t="s">
        <v>5</v>
      </c>
      <c r="B33" s="56"/>
      <c r="C33" s="57">
        <f aca="true" t="shared" si="1" ref="C33:R33">SUM(C21:C32)</f>
        <v>608412.4550000001</v>
      </c>
      <c r="D33" s="58">
        <f t="shared" si="1"/>
        <v>65209.16875000001</v>
      </c>
      <c r="E33" s="57">
        <f t="shared" si="1"/>
        <v>527160.4</v>
      </c>
      <c r="F33" s="59">
        <f t="shared" si="1"/>
        <v>98677.59999999999</v>
      </c>
      <c r="G33" s="60">
        <f t="shared" si="1"/>
        <v>512079.17</v>
      </c>
      <c r="H33" s="57">
        <f t="shared" si="1"/>
        <v>675965.93875</v>
      </c>
      <c r="I33" s="60"/>
      <c r="J33" s="58">
        <f t="shared" si="1"/>
        <v>40794.38399999999</v>
      </c>
      <c r="K33" s="57">
        <f t="shared" si="1"/>
        <v>67297.23101249</v>
      </c>
      <c r="L33" s="57">
        <f t="shared" si="1"/>
        <v>361653.2709284162</v>
      </c>
      <c r="M33" s="57">
        <f t="shared" si="1"/>
        <v>84435.7006</v>
      </c>
      <c r="N33" s="57">
        <f t="shared" si="1"/>
        <v>53165.32480000001</v>
      </c>
      <c r="O33" s="57"/>
      <c r="P33" s="59">
        <f>SUM(P21:P32)</f>
        <v>592853.8947409063</v>
      </c>
      <c r="Q33" s="61">
        <f t="shared" si="1"/>
        <v>83112.04400909384</v>
      </c>
      <c r="R33" s="61">
        <f t="shared" si="1"/>
        <v>-15081.23000000001</v>
      </c>
      <c r="S33" s="63"/>
      <c r="T33" s="63"/>
    </row>
    <row r="34" spans="1:20" ht="12.75">
      <c r="A34" s="8" t="s">
        <v>86</v>
      </c>
      <c r="B34" s="84"/>
      <c r="C34" s="64"/>
      <c r="D34" s="65"/>
      <c r="E34" s="66"/>
      <c r="F34" s="67"/>
      <c r="G34" s="68"/>
      <c r="H34" s="68"/>
      <c r="I34" s="68"/>
      <c r="J34" s="69"/>
      <c r="K34" s="66"/>
      <c r="L34" s="66"/>
      <c r="M34" s="85"/>
      <c r="N34" s="85"/>
      <c r="O34" s="279"/>
      <c r="P34" s="67"/>
      <c r="Q34" s="86"/>
      <c r="R34" s="86"/>
      <c r="S34" s="1"/>
      <c r="T34" s="1"/>
    </row>
    <row r="35" spans="1:20" ht="12.75">
      <c r="A35" s="13" t="s">
        <v>45</v>
      </c>
      <c r="B35" s="14">
        <f>Лист1!B28</f>
        <v>5858.8</v>
      </c>
      <c r="C35" s="48">
        <f>Лист1!C28</f>
        <v>50678.62</v>
      </c>
      <c r="D35" s="49">
        <f>Лист1!D28</f>
        <v>4879.239999999997</v>
      </c>
      <c r="E35" s="19">
        <f>Лист1!S28</f>
        <v>45147.96</v>
      </c>
      <c r="F35" s="21">
        <f>Лист1!T28</f>
        <v>8302.199999999999</v>
      </c>
      <c r="G35" s="50">
        <f>Лист1!AB28</f>
        <v>38129.149999999994</v>
      </c>
      <c r="H35" s="50">
        <f>Лист1!AC28</f>
        <v>51310.58999999999</v>
      </c>
      <c r="I35" s="50">
        <f>Лист1!AF28</f>
        <v>0</v>
      </c>
      <c r="J35" s="51">
        <f>Лист1!AG28</f>
        <v>3515.28</v>
      </c>
      <c r="K35" s="19">
        <f>Лист1!AI28+Лист1!AJ28</f>
        <v>5858.8</v>
      </c>
      <c r="L35" s="19">
        <f>Лист1!AH28+Лист1!AK28+Лист1!AL28+Лист1!AM28+Лист1!AN28+Лист1!AO28+Лист1!AP28+Лист1!AQ28+Лист1!AR28+Лист1!AY28+Лист1!AZ28+Лист1!BA28</f>
        <v>29884.655628</v>
      </c>
      <c r="M35" s="20">
        <f>Лист1!AS28+Лист1!AT28+Лист1!AU28</f>
        <v>11059</v>
      </c>
      <c r="N35" s="20">
        <f>Лист1!AX28</f>
        <v>3691.7999999999997</v>
      </c>
      <c r="O35" s="277">
        <f>Лист1!BC28</f>
        <v>0</v>
      </c>
      <c r="P35" s="21">
        <f>J35+K35+L35+M35+N35+O35</f>
        <v>54009.535628000005</v>
      </c>
      <c r="Q35" s="52">
        <f>Лист1!BD28</f>
        <v>-2698.945628000016</v>
      </c>
      <c r="R35" s="52">
        <f>Лист1!BE28</f>
        <v>-7018.810000000005</v>
      </c>
      <c r="S35" s="1"/>
      <c r="T35" s="1"/>
    </row>
    <row r="36" spans="1:20" ht="12.75">
      <c r="A36" s="13" t="s">
        <v>46</v>
      </c>
      <c r="B36" s="14">
        <f>Лист1!B29</f>
        <v>5858.8</v>
      </c>
      <c r="C36" s="48">
        <f>Лист1!C29</f>
        <v>50678.62</v>
      </c>
      <c r="D36" s="49">
        <f>Лист1!D29</f>
        <v>4888.660000000001</v>
      </c>
      <c r="E36" s="19">
        <f>Лист1!S29</f>
        <v>45364.44</v>
      </c>
      <c r="F36" s="21">
        <f>Лист1!T29</f>
        <v>8286.18</v>
      </c>
      <c r="G36" s="50">
        <f>Лист1!AB29</f>
        <v>43792.89</v>
      </c>
      <c r="H36" s="50">
        <f>Лист1!AC29</f>
        <v>56967.729999999996</v>
      </c>
      <c r="I36" s="50">
        <f>Лист1!AF29</f>
        <v>0</v>
      </c>
      <c r="J36" s="51">
        <f>Лист1!AG29</f>
        <v>3515.28</v>
      </c>
      <c r="K36" s="19">
        <f>Лист1!AI29+Лист1!AJ29</f>
        <v>5858.8</v>
      </c>
      <c r="L36" s="19">
        <f>Лист1!AH29+Лист1!AK29+Лист1!AL29+Лист1!AM29+Лист1!AN29+Лист1!AO29+Лист1!AP29+Лист1!AQ29+Лист1!AR29+Лист1!AY29+Лист1!AZ29+Лист1!BA29</f>
        <v>29885.280096000002</v>
      </c>
      <c r="M36" s="20">
        <f>Лист1!AS29+Лист1!AT29+Лист1!AU29</f>
        <v>11606</v>
      </c>
      <c r="N36" s="20">
        <f>Лист1!AX29</f>
        <v>0</v>
      </c>
      <c r="O36" s="277">
        <f>Лист1!BC29</f>
        <v>0</v>
      </c>
      <c r="P36" s="21">
        <f aca="true" t="shared" si="2" ref="P36:P46">J36+K36+L36+M36+N36+O36</f>
        <v>50865.360096000004</v>
      </c>
      <c r="Q36" s="52">
        <f>Лист1!BD29</f>
        <v>6102.369903999992</v>
      </c>
      <c r="R36" s="52">
        <f>Лист1!BE29</f>
        <v>-1571.550000000003</v>
      </c>
      <c r="S36" s="1"/>
      <c r="T36" s="1"/>
    </row>
    <row r="37" spans="1:20" ht="12.75">
      <c r="A37" s="13" t="s">
        <v>47</v>
      </c>
      <c r="B37" s="14">
        <f>Лист1!B30</f>
        <v>5858.8</v>
      </c>
      <c r="C37" s="48">
        <f>Лист1!C30</f>
        <v>50678.62</v>
      </c>
      <c r="D37" s="49">
        <f>Лист1!D30</f>
        <v>4893.410000000011</v>
      </c>
      <c r="E37" s="19">
        <f>Лист1!S30</f>
        <v>45462.19</v>
      </c>
      <c r="F37" s="21">
        <f>Лист1!T30</f>
        <v>8286.150000000001</v>
      </c>
      <c r="G37" s="50">
        <f>Лист1!AB30</f>
        <v>54567.89</v>
      </c>
      <c r="H37" s="50">
        <f>Лист1!AC30</f>
        <v>67747.45000000001</v>
      </c>
      <c r="I37" s="50">
        <f>Лист1!AF30</f>
        <v>0</v>
      </c>
      <c r="J37" s="51">
        <f>Лист1!AG30</f>
        <v>3515.28</v>
      </c>
      <c r="K37" s="19">
        <f>Лист1!AI30+Лист1!AJ30</f>
        <v>5858.8</v>
      </c>
      <c r="L37" s="19">
        <f>Лист1!AH30+Лист1!AK30+Лист1!AL30+Лист1!AM30+Лист1!AN30+Лист1!AO30+Лист1!AP30+Лист1!AQ30+Лист1!AR30+Лист1!AY30+Лист1!AZ30+Лист1!BA30</f>
        <v>29885.280096000002</v>
      </c>
      <c r="M37" s="20">
        <f>Лист1!AS30+Лист1!AT30+Лист1!AU30</f>
        <v>2660</v>
      </c>
      <c r="N37" s="20">
        <f>Лист1!AX30</f>
        <v>7440.999999999999</v>
      </c>
      <c r="O37" s="277">
        <f>Лист1!BC30</f>
        <v>0</v>
      </c>
      <c r="P37" s="21">
        <f t="shared" si="2"/>
        <v>49360.360096000004</v>
      </c>
      <c r="Q37" s="52">
        <f>Лист1!BD30</f>
        <v>18387.089904000008</v>
      </c>
      <c r="R37" s="52">
        <f>Лист1!BE30</f>
        <v>9105.699999999997</v>
      </c>
      <c r="S37" s="1"/>
      <c r="T37" s="1"/>
    </row>
    <row r="38" spans="1:20" ht="12.75">
      <c r="A38" s="13" t="s">
        <v>48</v>
      </c>
      <c r="B38" s="14">
        <f>Лист1!B31</f>
        <v>5858.8</v>
      </c>
      <c r="C38" s="48">
        <f>Лист1!C31</f>
        <v>50678.62</v>
      </c>
      <c r="D38" s="49">
        <f>Лист1!D31</f>
        <v>4892.360000000004</v>
      </c>
      <c r="E38" s="19">
        <f>Лист1!S31</f>
        <v>45480.969999999994</v>
      </c>
      <c r="F38" s="21">
        <f>Лист1!T31</f>
        <v>8259.83</v>
      </c>
      <c r="G38" s="50">
        <f>Лист1!AB31</f>
        <v>36359.84</v>
      </c>
      <c r="H38" s="50">
        <f>Лист1!AC31</f>
        <v>49512.03</v>
      </c>
      <c r="I38" s="50">
        <f>Лист1!AF31</f>
        <v>0</v>
      </c>
      <c r="J38" s="51">
        <f>Лист1!AG31</f>
        <v>3515.28</v>
      </c>
      <c r="K38" s="19">
        <f>Лист1!AI31+Лист1!AJ31</f>
        <v>5858.8</v>
      </c>
      <c r="L38" s="19">
        <f>Лист1!AH31+Лист1!AK31+Лист1!AL31+Лист1!AM31+Лист1!AN31+Лист1!AO31+Лист1!AP31+Лист1!AQ31+Лист1!AR31+Лист1!AY31+Лист1!AZ31+Лист1!BA31</f>
        <v>29885.280096000002</v>
      </c>
      <c r="M38" s="20">
        <f>Лист1!AS31+Лист1!AT31+Лист1!AU31</f>
        <v>4377</v>
      </c>
      <c r="N38" s="20">
        <f>Лист1!AX31</f>
        <v>3880.7999999999997</v>
      </c>
      <c r="O38" s="277">
        <f>Лист1!BC31</f>
        <v>0</v>
      </c>
      <c r="P38" s="21">
        <f t="shared" si="2"/>
        <v>47517.16009600001</v>
      </c>
      <c r="Q38" s="52">
        <f>Лист1!BD31</f>
        <v>1994.869903999992</v>
      </c>
      <c r="R38" s="52">
        <f>Лист1!BE31</f>
        <v>-9121.129999999997</v>
      </c>
      <c r="S38" s="1"/>
      <c r="T38" s="1"/>
    </row>
    <row r="39" spans="1:20" ht="12.75">
      <c r="A39" s="13" t="s">
        <v>49</v>
      </c>
      <c r="B39" s="14">
        <f>Лист1!B32</f>
        <v>5867.6</v>
      </c>
      <c r="C39" s="48">
        <f>Лист1!C32</f>
        <v>50754.740000000005</v>
      </c>
      <c r="D39" s="49">
        <f>Лист1!D32</f>
        <v>4876.229999999994</v>
      </c>
      <c r="E39" s="19">
        <f>Лист1!S32</f>
        <v>45584.94</v>
      </c>
      <c r="F39" s="21">
        <f>Лист1!T32</f>
        <v>8286.17</v>
      </c>
      <c r="G39" s="50">
        <f>Лист1!AB32</f>
        <v>37184.06</v>
      </c>
      <c r="H39" s="50">
        <f>Лист1!AC32</f>
        <v>50346.45999999999</v>
      </c>
      <c r="I39" s="50">
        <f>Лист1!AF32</f>
        <v>0</v>
      </c>
      <c r="J39" s="51">
        <f>Лист1!AG32</f>
        <v>3520.56</v>
      </c>
      <c r="K39" s="19">
        <f>Лист1!AI32+Лист1!AJ32</f>
        <v>5867.6</v>
      </c>
      <c r="L39" s="19">
        <f>Лист1!AH32+Лист1!AK32+Лист1!AL32+Лист1!AM32+Лист1!AN32+Лист1!AO32+Лист1!AP32+Лист1!AQ32+Лист1!AR32+Лист1!AY32+Лист1!AZ32+Лист1!BA32</f>
        <v>29920.084781685036</v>
      </c>
      <c r="M39" s="20">
        <f>Лист1!AS32+Лист1!AT32+Лист1!AU32</f>
        <v>1685</v>
      </c>
      <c r="N39" s="20">
        <f>Лист1!AX32</f>
        <v>3130.3999999999996</v>
      </c>
      <c r="O39" s="277">
        <f>Лист1!BC32</f>
        <v>0</v>
      </c>
      <c r="P39" s="21">
        <f t="shared" si="2"/>
        <v>44123.644781685034</v>
      </c>
      <c r="Q39" s="52">
        <f>Лист1!BD32</f>
        <v>6222.815218314958</v>
      </c>
      <c r="R39" s="52">
        <f>Лист1!BE32</f>
        <v>-8400.880000000005</v>
      </c>
      <c r="S39" s="1"/>
      <c r="T39" s="1"/>
    </row>
    <row r="40" spans="1:20" ht="12.75">
      <c r="A40" s="13" t="s">
        <v>50</v>
      </c>
      <c r="B40" s="14">
        <f>Лист1!B33</f>
        <v>5865.2</v>
      </c>
      <c r="C40" s="48">
        <f>Лист1!C33</f>
        <v>50733.98</v>
      </c>
      <c r="D40" s="49">
        <f>Лист1!D33</f>
        <v>4862.5199999999995</v>
      </c>
      <c r="E40" s="19">
        <f>Лист1!S33</f>
        <v>45583.62</v>
      </c>
      <c r="F40" s="21">
        <f>Лист1!T33</f>
        <v>8286.77</v>
      </c>
      <c r="G40" s="50">
        <f>Лист1!AB33</f>
        <v>38683.65000000001</v>
      </c>
      <c r="H40" s="50">
        <f>Лист1!AC33</f>
        <v>51832.94000000001</v>
      </c>
      <c r="I40" s="50">
        <f>Лист1!AF33</f>
        <v>0</v>
      </c>
      <c r="J40" s="51">
        <f>Лист1!AG33</f>
        <v>3519.12</v>
      </c>
      <c r="K40" s="19">
        <f>Лист1!AI33+Лист1!AJ33</f>
        <v>5865.2</v>
      </c>
      <c r="L40" s="19">
        <f>Лист1!AH33+Лист1!AK33+Лист1!AL33+Лист1!AM33+Лист1!AN33+Лист1!AO33+Лист1!AP33+Лист1!AQ33+Лист1!AR33+Лист1!AY33+Лист1!AZ33+Лист1!BA33</f>
        <v>29908.631311629695</v>
      </c>
      <c r="M40" s="20">
        <f>Лист1!AS33+Лист1!AT33+Лист1!AU33</f>
        <v>2896</v>
      </c>
      <c r="N40" s="20">
        <f>Лист1!AX33</f>
        <v>2760.7999999999997</v>
      </c>
      <c r="O40" s="277">
        <f>Лист1!BC33</f>
        <v>0</v>
      </c>
      <c r="P40" s="21">
        <f t="shared" si="2"/>
        <v>44949.7513116297</v>
      </c>
      <c r="Q40" s="52">
        <f>Лист1!BD33</f>
        <v>6883.188688370312</v>
      </c>
      <c r="R40" s="52">
        <f>Лист1!BE33</f>
        <v>-6899.969999999994</v>
      </c>
      <c r="S40" s="1"/>
      <c r="T40" s="1"/>
    </row>
    <row r="41" spans="1:20" ht="12.75">
      <c r="A41" s="13" t="s">
        <v>51</v>
      </c>
      <c r="B41" s="14">
        <f>Лист1!B34</f>
        <v>5865.2</v>
      </c>
      <c r="C41" s="48">
        <f>Лист1!C34</f>
        <v>50733.98</v>
      </c>
      <c r="D41" s="49">
        <f>Лист1!D34</f>
        <v>4748.9500000000035</v>
      </c>
      <c r="E41" s="19">
        <f>Лист1!S34</f>
        <v>54119.719999999994</v>
      </c>
      <c r="F41" s="21">
        <f>Лист1!T34</f>
        <v>0</v>
      </c>
      <c r="G41" s="50">
        <f>Лист1!AB34</f>
        <v>53253.049999999996</v>
      </c>
      <c r="H41" s="50">
        <f>Лист1!AC34</f>
        <v>58002</v>
      </c>
      <c r="I41" s="50">
        <f>Лист1!AF34</f>
        <v>0</v>
      </c>
      <c r="J41" s="51">
        <f>Лист1!AG34</f>
        <v>3519.12</v>
      </c>
      <c r="K41" s="19">
        <f>Лист1!AI34+Лист1!AJ34</f>
        <v>5865.2</v>
      </c>
      <c r="L41" s="19">
        <f>Лист1!AH34+Лист1!AK34+Лист1!AL34+Лист1!AM34+Лист1!AN34+Лист1!AO34+Лист1!AP34+Лист1!AQ34+Лист1!AR34+Лист1!AY34+Лист1!AZ34+Лист1!BA34</f>
        <v>30408.683735974097</v>
      </c>
      <c r="M41" s="20">
        <f>Лист1!AS34+Лист1!AT34+Лист1!AU34</f>
        <v>11826.136999999999</v>
      </c>
      <c r="N41" s="20">
        <f>Лист1!AX34</f>
        <v>3252.2</v>
      </c>
      <c r="O41" s="277">
        <f>Лист1!BC34</f>
        <v>0</v>
      </c>
      <c r="P41" s="21">
        <f t="shared" si="2"/>
        <v>54871.340735974096</v>
      </c>
      <c r="Q41" s="52">
        <f>Лист1!BD34</f>
        <v>3130.659264025904</v>
      </c>
      <c r="R41" s="52">
        <f>Лист1!BE34</f>
        <v>-866.6699999999983</v>
      </c>
      <c r="S41" s="1"/>
      <c r="T41" s="1"/>
    </row>
    <row r="42" spans="1:20" ht="12.75">
      <c r="A42" s="13" t="s">
        <v>52</v>
      </c>
      <c r="B42" s="14">
        <f>Лист1!B35</f>
        <v>5865.2</v>
      </c>
      <c r="C42" s="48">
        <f>Лист1!C35</f>
        <v>50733.98</v>
      </c>
      <c r="D42" s="49">
        <f>Лист1!D35</f>
        <v>4713.310000000001</v>
      </c>
      <c r="E42" s="19">
        <f>Лист1!S35</f>
        <v>53034.759999999995</v>
      </c>
      <c r="F42" s="21">
        <f>Лист1!T35</f>
        <v>0</v>
      </c>
      <c r="G42" s="50">
        <f>Лист1!AB35</f>
        <v>56008.99999999999</v>
      </c>
      <c r="H42" s="50">
        <f>Лист1!AC35</f>
        <v>60722.31</v>
      </c>
      <c r="I42" s="50">
        <f>Лист1!AF35</f>
        <v>0</v>
      </c>
      <c r="J42" s="51">
        <f>Лист1!AG35</f>
        <v>3519.12</v>
      </c>
      <c r="K42" s="19">
        <f>Лист1!AI35+Лист1!AJ35</f>
        <v>5865.2</v>
      </c>
      <c r="L42" s="19">
        <f>Лист1!AH35+Лист1!AK35+Лист1!AL35+Лист1!AM35+Лист1!AN35+Лист1!AO35+Лист1!AP35+Лист1!AQ35+Лист1!AR35+Лист1!AY35+Лист1!AZ35+Лист1!BA35</f>
        <v>30408.683735974097</v>
      </c>
      <c r="M42" s="20">
        <f>Лист1!AS35+Лист1!AT35+Лист1!AU35</f>
        <v>89.8</v>
      </c>
      <c r="N42" s="20">
        <f>Лист1!AX35</f>
        <v>2653</v>
      </c>
      <c r="O42" s="277">
        <f>Лист1!BC35</f>
        <v>0</v>
      </c>
      <c r="P42" s="21">
        <f t="shared" si="2"/>
        <v>42535.8037359741</v>
      </c>
      <c r="Q42" s="52">
        <f>Лист1!BD35</f>
        <v>18186.506264025906</v>
      </c>
      <c r="R42" s="52">
        <f>Лист1!BE35</f>
        <v>2974.239999999998</v>
      </c>
      <c r="S42" s="1"/>
      <c r="T42" s="1"/>
    </row>
    <row r="43" spans="1:20" ht="12.75">
      <c r="A43" s="13" t="s">
        <v>53</v>
      </c>
      <c r="B43" s="14">
        <f>Лист1!B36</f>
        <v>5865.2</v>
      </c>
      <c r="C43" s="48">
        <f>Лист1!C36</f>
        <v>50733.98</v>
      </c>
      <c r="D43" s="49">
        <f>Лист1!D36</f>
        <v>4712.720000000009</v>
      </c>
      <c r="E43" s="19">
        <f>Лист1!S36</f>
        <v>53922.51</v>
      </c>
      <c r="F43" s="21">
        <f>Лист1!T36</f>
        <v>0</v>
      </c>
      <c r="G43" s="50">
        <f>Лист1!AB36</f>
        <v>43730.36</v>
      </c>
      <c r="H43" s="50">
        <f>Лист1!AC36</f>
        <v>48443.08000000001</v>
      </c>
      <c r="I43" s="50">
        <f>Лист1!AF36</f>
        <v>0</v>
      </c>
      <c r="J43" s="51">
        <f>Лист1!AG36</f>
        <v>3519.12</v>
      </c>
      <c r="K43" s="19">
        <f>Лист1!AI36+Лист1!AJ36</f>
        <v>5865.2</v>
      </c>
      <c r="L43" s="19">
        <f>Лист1!AH36+Лист1!AK36+Лист1!AL36+Лист1!AM36+Лист1!AN36+Лист1!AO36+Лист1!AP36+Лист1!AQ36+Лист1!AR36+Лист1!AY36+Лист1!AZ36+Лист1!BA36</f>
        <v>30408.683735974097</v>
      </c>
      <c r="M43" s="20">
        <f>Лист1!AS36+Лист1!AT36+Лист1!AU36</f>
        <v>15219</v>
      </c>
      <c r="N43" s="20">
        <f>Лист1!AX36</f>
        <v>3231.2</v>
      </c>
      <c r="O43" s="277">
        <f>Лист1!BC36</f>
        <v>0</v>
      </c>
      <c r="P43" s="21">
        <f t="shared" si="2"/>
        <v>58243.20373597409</v>
      </c>
      <c r="Q43" s="52">
        <f>Лист1!BD36</f>
        <v>-9800.123735974084</v>
      </c>
      <c r="R43" s="52">
        <f>Лист1!BE36</f>
        <v>-10192.150000000001</v>
      </c>
      <c r="S43" s="1"/>
      <c r="T43" s="1"/>
    </row>
    <row r="44" spans="1:20" ht="12.75">
      <c r="A44" s="13" t="s">
        <v>41</v>
      </c>
      <c r="B44" s="14">
        <f>Лист1!B37</f>
        <v>5865.2</v>
      </c>
      <c r="C44" s="48">
        <f>Лист1!C37</f>
        <v>50733.98</v>
      </c>
      <c r="D44" s="49">
        <f>Лист1!D37</f>
        <v>4695.950000000002</v>
      </c>
      <c r="E44" s="19">
        <f>Лист1!S37</f>
        <v>53784.22000000001</v>
      </c>
      <c r="F44" s="21">
        <f>Лист1!T37</f>
        <v>0</v>
      </c>
      <c r="G44" s="50">
        <f>Лист1!AB37</f>
        <v>50940.14000000001</v>
      </c>
      <c r="H44" s="50">
        <f>Лист1!AC37</f>
        <v>55636.09000000001</v>
      </c>
      <c r="I44" s="50">
        <f>Лист1!AF37</f>
        <v>150</v>
      </c>
      <c r="J44" s="51">
        <f>Лист1!AG37</f>
        <v>3519.12</v>
      </c>
      <c r="K44" s="19">
        <f>Лист1!AI37+Лист1!AJ37</f>
        <v>5865.2</v>
      </c>
      <c r="L44" s="19">
        <f>Лист1!AH37+Лист1!AK37+Лист1!AL37+Лист1!AM37+Лист1!AN37+Лист1!AO37+Лист1!AP37+Лист1!AQ37+Лист1!AR37+Лист1!AY37+Лист1!AZ37+Лист1!BA37</f>
        <v>34204.08557567638</v>
      </c>
      <c r="M44" s="20">
        <f>Лист1!AS37+Лист1!AT37+Лист1!AU37</f>
        <v>869</v>
      </c>
      <c r="N44" s="20">
        <f>Лист1!AX37</f>
        <v>3047.7999999999997</v>
      </c>
      <c r="O44" s="277">
        <f>Лист1!BC37</f>
        <v>37.5</v>
      </c>
      <c r="P44" s="21">
        <f t="shared" si="2"/>
        <v>47542.70557567638</v>
      </c>
      <c r="Q44" s="52">
        <f>Лист1!BD37</f>
        <v>8243.384424323638</v>
      </c>
      <c r="R44" s="52">
        <f>Лист1!BE37</f>
        <v>-2844.0800000000017</v>
      </c>
      <c r="S44" s="1"/>
      <c r="T44" s="1"/>
    </row>
    <row r="45" spans="1:20" ht="12.75">
      <c r="A45" s="13" t="s">
        <v>42</v>
      </c>
      <c r="B45" s="14">
        <f>Лист1!B38</f>
        <v>5864.7</v>
      </c>
      <c r="C45" s="48">
        <f>Лист1!C38</f>
        <v>50729.655</v>
      </c>
      <c r="D45" s="49">
        <f>Лист1!D38</f>
        <v>4373.344999999995</v>
      </c>
      <c r="E45" s="19">
        <f>Лист1!S38</f>
        <v>54084.94</v>
      </c>
      <c r="F45" s="21">
        <f>Лист1!T38</f>
        <v>0</v>
      </c>
      <c r="G45" s="50">
        <f>Лист1!AB38</f>
        <v>57565.09999999999</v>
      </c>
      <c r="H45" s="50">
        <f>Лист1!AC38</f>
        <v>61938.444999999985</v>
      </c>
      <c r="I45" s="50">
        <f>Лист1!AF38</f>
        <v>150</v>
      </c>
      <c r="J45" s="51">
        <f>Лист1!AG38</f>
        <v>3518.8199999999997</v>
      </c>
      <c r="K45" s="19">
        <f>Лист1!AI38+Лист1!AJ38</f>
        <v>5864.7</v>
      </c>
      <c r="L45" s="19">
        <f>Лист1!AH38+Лист1!AK38+Лист1!AL38+Лист1!AM38+Лист1!AN38+Лист1!AO38+Лист1!AP38+Лист1!AQ38+Лист1!AR38+Лист1!AY38+Лист1!AZ38+Лист1!BA38</f>
        <v>29906.539355827874</v>
      </c>
      <c r="M45" s="20">
        <f>Лист1!AS38+Лист1!AT38+Лист1!AU38</f>
        <v>2726</v>
      </c>
      <c r="N45" s="20">
        <f>Лист1!AX38</f>
        <v>3395</v>
      </c>
      <c r="O45" s="277">
        <f>Лист1!BC38</f>
        <v>37.5</v>
      </c>
      <c r="P45" s="21">
        <f t="shared" si="2"/>
        <v>45448.55935582788</v>
      </c>
      <c r="Q45" s="52">
        <f>Лист1!BD38</f>
        <v>16639.885644172107</v>
      </c>
      <c r="R45" s="52">
        <f>Лист1!BE38</f>
        <v>3480.159999999989</v>
      </c>
      <c r="S45" s="1"/>
      <c r="T45" s="1"/>
    </row>
    <row r="46" spans="1:20" ht="13.5" thickBot="1">
      <c r="A46" s="53" t="s">
        <v>43</v>
      </c>
      <c r="B46" s="14">
        <f>Лист1!B39</f>
        <v>5864.7</v>
      </c>
      <c r="C46" s="48">
        <f>Лист1!C39</f>
        <v>50729.655</v>
      </c>
      <c r="D46" s="49">
        <f>Лист1!D39</f>
        <v>4682.465000000004</v>
      </c>
      <c r="E46" s="19">
        <f>Лист1!S39</f>
        <v>46047.189999999995</v>
      </c>
      <c r="F46" s="21">
        <f>Лист1!T39</f>
        <v>0</v>
      </c>
      <c r="G46" s="50">
        <f>Лист1!AB39</f>
        <v>74646.31999999999</v>
      </c>
      <c r="H46" s="50">
        <f>Лист1!AC39</f>
        <v>79328.785</v>
      </c>
      <c r="I46" s="50">
        <f>Лист1!AF39</f>
        <v>150</v>
      </c>
      <c r="J46" s="51">
        <f>Лист1!AG39</f>
        <v>3518.8199999999997</v>
      </c>
      <c r="K46" s="19">
        <f>Лист1!AI39+Лист1!AJ39</f>
        <v>5864.7</v>
      </c>
      <c r="L46" s="19">
        <f>Лист1!AH39+Лист1!AK39+Лист1!AL39+Лист1!AM39+Лист1!AN39+Лист1!AO39+Лист1!AP39+Лист1!AQ39+Лист1!AR39+Лист1!AY39+Лист1!AZ39+Лист1!BA39</f>
        <v>29894.421</v>
      </c>
      <c r="M46" s="20">
        <f>Лист1!AS39+Лист1!AT39+Лист1!AU39</f>
        <v>177546.95239999998</v>
      </c>
      <c r="N46" s="20">
        <f>Лист1!AX39</f>
        <v>36597.4</v>
      </c>
      <c r="O46" s="277">
        <f>Лист1!BC39</f>
        <v>37.5</v>
      </c>
      <c r="P46" s="21">
        <f t="shared" si="2"/>
        <v>253459.79339999997</v>
      </c>
      <c r="Q46" s="52">
        <f>Лист1!BD39</f>
        <v>-173981.00839999996</v>
      </c>
      <c r="R46" s="52">
        <f>Лист1!BE39</f>
        <v>28599.129999999997</v>
      </c>
      <c r="S46" s="1"/>
      <c r="T46" s="1"/>
    </row>
    <row r="47" spans="1:20" s="28" customFormat="1" ht="13.5" thickBot="1">
      <c r="A47" s="55" t="s">
        <v>5</v>
      </c>
      <c r="B47" s="56"/>
      <c r="C47" s="57">
        <f aca="true" t="shared" si="3" ref="C47:R47">SUM(C35:C46)</f>
        <v>608598.4299999999</v>
      </c>
      <c r="D47" s="58">
        <f t="shared" si="3"/>
        <v>57219.16000000002</v>
      </c>
      <c r="E47" s="57">
        <f t="shared" si="3"/>
        <v>587617.46</v>
      </c>
      <c r="F47" s="59">
        <f t="shared" si="3"/>
        <v>49707.3</v>
      </c>
      <c r="G47" s="60">
        <f t="shared" si="3"/>
        <v>584861.45</v>
      </c>
      <c r="H47" s="57">
        <f t="shared" si="3"/>
        <v>691787.91</v>
      </c>
      <c r="I47" s="57">
        <f t="shared" si="3"/>
        <v>450</v>
      </c>
      <c r="J47" s="58">
        <f t="shared" si="3"/>
        <v>42214.92</v>
      </c>
      <c r="K47" s="57">
        <f t="shared" si="3"/>
        <v>70358.19999999998</v>
      </c>
      <c r="L47" s="57">
        <f t="shared" si="3"/>
        <v>364600.3091487412</v>
      </c>
      <c r="M47" s="57">
        <f t="shared" si="3"/>
        <v>242559.8894</v>
      </c>
      <c r="N47" s="57">
        <f t="shared" si="3"/>
        <v>73081.4</v>
      </c>
      <c r="O47" s="57">
        <f t="shared" si="3"/>
        <v>112.5</v>
      </c>
      <c r="P47" s="59">
        <f t="shared" si="3"/>
        <v>792927.2185487413</v>
      </c>
      <c r="Q47" s="61">
        <f t="shared" si="3"/>
        <v>-100689.30854874125</v>
      </c>
      <c r="R47" s="61">
        <f t="shared" si="3"/>
        <v>-2756.010000000024</v>
      </c>
      <c r="S47" s="63"/>
      <c r="T47" s="63"/>
    </row>
    <row r="48" spans="1:20" ht="13.5" thickBot="1">
      <c r="A48" s="347" t="s">
        <v>68</v>
      </c>
      <c r="B48" s="348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9"/>
      <c r="R48" s="70"/>
      <c r="S48" s="1"/>
      <c r="T48" s="1"/>
    </row>
    <row r="49" spans="1:20" s="28" customFormat="1" ht="13.5" thickBot="1">
      <c r="A49" s="71" t="s">
        <v>54</v>
      </c>
      <c r="B49" s="72"/>
      <c r="C49" s="73">
        <f>C19+C33+C47</f>
        <v>1369342.575</v>
      </c>
      <c r="D49" s="73">
        <f aca="true" t="shared" si="4" ref="D49:R49">D19+D33+D47</f>
        <v>159095.07430530002</v>
      </c>
      <c r="E49" s="73">
        <f t="shared" si="4"/>
        <v>1217625.46</v>
      </c>
      <c r="F49" s="73">
        <f t="shared" si="4"/>
        <v>168573.59</v>
      </c>
      <c r="G49" s="73">
        <f t="shared" si="4"/>
        <v>1157750.71</v>
      </c>
      <c r="H49" s="73">
        <f t="shared" si="4"/>
        <v>1485419.3743053</v>
      </c>
      <c r="I49" s="73">
        <f t="shared" si="4"/>
        <v>450</v>
      </c>
      <c r="J49" s="73">
        <f t="shared" si="4"/>
        <v>93575.66399999999</v>
      </c>
      <c r="K49" s="73">
        <f t="shared" si="4"/>
        <v>155339.06557360996</v>
      </c>
      <c r="L49" s="73">
        <f t="shared" si="4"/>
        <v>788250.2833924434</v>
      </c>
      <c r="M49" s="73">
        <f t="shared" si="4"/>
        <v>409332.273</v>
      </c>
      <c r="N49" s="73">
        <f t="shared" si="4"/>
        <v>126246.7248</v>
      </c>
      <c r="O49" s="73">
        <f t="shared" si="4"/>
        <v>112.5</v>
      </c>
      <c r="P49" s="73">
        <f t="shared" si="4"/>
        <v>1558364.4941660536</v>
      </c>
      <c r="Q49" s="73">
        <f t="shared" si="4"/>
        <v>-72495.1198607534</v>
      </c>
      <c r="R49" s="73">
        <f t="shared" si="4"/>
        <v>-59874.75000000005</v>
      </c>
      <c r="S49" s="74"/>
      <c r="T49" s="63"/>
    </row>
    <row r="50" spans="1:20" s="28" customFormat="1" ht="12.75">
      <c r="A50" s="36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63"/>
    </row>
    <row r="52" spans="1:20" ht="12.75" hidden="1">
      <c r="A52" s="28" t="s">
        <v>69</v>
      </c>
      <c r="D52" s="2" t="s">
        <v>91</v>
      </c>
      <c r="S52" s="1"/>
      <c r="T52" s="1"/>
    </row>
    <row r="53" spans="1:20" ht="12.75" hidden="1">
      <c r="A53" s="32" t="s">
        <v>70</v>
      </c>
      <c r="B53" s="32" t="s">
        <v>71</v>
      </c>
      <c r="C53" s="352" t="s">
        <v>72</v>
      </c>
      <c r="D53" s="353"/>
      <c r="S53" s="1"/>
      <c r="T53" s="1"/>
    </row>
    <row r="54" spans="1:20" ht="12.75" hidden="1">
      <c r="A54" s="133">
        <v>206248.12</v>
      </c>
      <c r="B54" s="133">
        <v>0</v>
      </c>
      <c r="C54" s="337">
        <f>A54-B54</f>
        <v>206248.12</v>
      </c>
      <c r="D54" s="338"/>
      <c r="S54" s="1"/>
      <c r="T54" s="1"/>
    </row>
    <row r="55" spans="1:20" ht="12.75" hidden="1">
      <c r="A55" s="75"/>
      <c r="S55" s="1"/>
      <c r="T55" s="1"/>
    </row>
    <row r="56" spans="1:20" ht="12.75">
      <c r="A56" s="2" t="s">
        <v>73</v>
      </c>
      <c r="G56" s="2" t="s">
        <v>74</v>
      </c>
      <c r="S56" s="1"/>
      <c r="T56" s="1"/>
    </row>
    <row r="57" ht="12.75">
      <c r="A57" s="1"/>
    </row>
    <row r="58" ht="12.75" hidden="1">
      <c r="A58" s="1" t="s">
        <v>85</v>
      </c>
    </row>
    <row r="59" ht="12.75" hidden="1">
      <c r="A59" s="2" t="s">
        <v>75</v>
      </c>
    </row>
  </sheetData>
  <sheetProtection/>
  <mergeCells count="24">
    <mergeCell ref="C53:D53"/>
    <mergeCell ref="J10:P11"/>
    <mergeCell ref="A7:G7"/>
    <mergeCell ref="E10:F11"/>
    <mergeCell ref="O12:O13"/>
    <mergeCell ref="I10:I13"/>
    <mergeCell ref="C54:D54"/>
    <mergeCell ref="R10:R13"/>
    <mergeCell ref="E12:F12"/>
    <mergeCell ref="H12:H13"/>
    <mergeCell ref="J12:J13"/>
    <mergeCell ref="K12:K13"/>
    <mergeCell ref="G10:H11"/>
    <mergeCell ref="A48:Q48"/>
    <mergeCell ref="N12:N13"/>
    <mergeCell ref="P12:P13"/>
    <mergeCell ref="A6:Q6"/>
    <mergeCell ref="A10:A13"/>
    <mergeCell ref="B10:B13"/>
    <mergeCell ref="C10:C13"/>
    <mergeCell ref="D10:D13"/>
    <mergeCell ref="L12:L13"/>
    <mergeCell ref="M12:M13"/>
    <mergeCell ref="Q10:Q1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C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6" sqref="C36"/>
    </sheetView>
  </sheetViews>
  <sheetFormatPr defaultColWidth="9.00390625" defaultRowHeight="12.75"/>
  <cols>
    <col min="1" max="1" width="8.75390625" style="158" bestFit="1" customWidth="1"/>
    <col min="2" max="2" width="9.125" style="158" customWidth="1"/>
    <col min="3" max="3" width="11.375" style="158" customWidth="1"/>
    <col min="4" max="4" width="10.375" style="158" customWidth="1"/>
    <col min="5" max="5" width="10.125" style="158" bestFit="1" customWidth="1"/>
    <col min="6" max="6" width="9.125" style="158" customWidth="1"/>
    <col min="7" max="7" width="10.25390625" style="158" customWidth="1"/>
    <col min="8" max="8" width="9.125" style="158" customWidth="1"/>
    <col min="9" max="9" width="9.875" style="158" customWidth="1"/>
    <col min="10" max="10" width="9.125" style="158" customWidth="1"/>
    <col min="11" max="11" width="10.375" style="158" customWidth="1"/>
    <col min="12" max="12" width="9.125" style="158" customWidth="1"/>
    <col min="13" max="13" width="10.125" style="158" bestFit="1" customWidth="1"/>
    <col min="14" max="14" width="9.125" style="158" customWidth="1"/>
    <col min="15" max="15" width="10.125" style="158" bestFit="1" customWidth="1"/>
    <col min="16" max="16" width="9.125" style="158" customWidth="1"/>
    <col min="17" max="17" width="10.125" style="158" bestFit="1" customWidth="1"/>
    <col min="18" max="18" width="9.125" style="158" customWidth="1"/>
    <col min="19" max="19" width="10.125" style="158" bestFit="1" customWidth="1"/>
    <col min="20" max="20" width="10.125" style="158" customWidth="1"/>
    <col min="21" max="21" width="11.75390625" style="158" bestFit="1" customWidth="1"/>
    <col min="22" max="22" width="10.25390625" style="158" customWidth="1"/>
    <col min="23" max="23" width="10.625" style="158" customWidth="1"/>
    <col min="24" max="24" width="10.125" style="158" customWidth="1"/>
    <col min="25" max="28" width="10.125" style="158" bestFit="1" customWidth="1"/>
    <col min="29" max="30" width="11.375" style="158" customWidth="1"/>
    <col min="31" max="31" width="9.25390625" style="158" bestFit="1" customWidth="1"/>
    <col min="32" max="32" width="11.75390625" style="158" bestFit="1" customWidth="1"/>
    <col min="33" max="33" width="14.625" style="158" customWidth="1"/>
    <col min="34" max="34" width="9.25390625" style="158" bestFit="1" customWidth="1"/>
    <col min="35" max="35" width="10.125" style="158" bestFit="1" customWidth="1"/>
    <col min="36" max="36" width="12.625" style="158" customWidth="1"/>
    <col min="37" max="38" width="9.25390625" style="158" bestFit="1" customWidth="1"/>
    <col min="39" max="39" width="10.125" style="158" bestFit="1" customWidth="1"/>
    <col min="40" max="40" width="9.25390625" style="158" bestFit="1" customWidth="1"/>
    <col min="41" max="42" width="10.125" style="158" bestFit="1" customWidth="1"/>
    <col min="43" max="44" width="9.25390625" style="158" customWidth="1"/>
    <col min="45" max="45" width="10.125" style="158" bestFit="1" customWidth="1"/>
    <col min="46" max="46" width="11.625" style="158" customWidth="1"/>
    <col min="47" max="47" width="10.875" style="158" customWidth="1"/>
    <col min="48" max="48" width="10.625" style="158" customWidth="1"/>
    <col min="49" max="49" width="10.25390625" style="158" customWidth="1"/>
    <col min="50" max="50" width="10.625" style="158" customWidth="1"/>
    <col min="51" max="51" width="10.375" style="158" customWidth="1"/>
    <col min="52" max="53" width="10.125" style="158" bestFit="1" customWidth="1"/>
    <col min="54" max="54" width="11.625" style="158" customWidth="1"/>
    <col min="55" max="55" width="11.75390625" style="158" customWidth="1"/>
    <col min="56" max="56" width="12.125" style="158" customWidth="1"/>
    <col min="57" max="57" width="13.625" style="158" customWidth="1"/>
    <col min="58" max="58" width="11.00390625" style="158" customWidth="1"/>
    <col min="59" max="59" width="10.625" style="158" customWidth="1"/>
    <col min="60" max="16384" width="9.125" style="158" customWidth="1"/>
  </cols>
  <sheetData>
    <row r="1" spans="1:18" ht="21" customHeight="1">
      <c r="A1" s="284" t="s">
        <v>87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161"/>
      <c r="P1" s="161"/>
      <c r="Q1" s="161"/>
      <c r="R1" s="161"/>
    </row>
    <row r="2" spans="1:18" ht="13.5" thickBot="1">
      <c r="A2" s="161"/>
      <c r="B2" s="186"/>
      <c r="C2" s="187"/>
      <c r="D2" s="187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</row>
    <row r="3" spans="1:59" ht="29.25" customHeight="1" thickBot="1">
      <c r="A3" s="369" t="s">
        <v>0</v>
      </c>
      <c r="B3" s="371" t="s">
        <v>1</v>
      </c>
      <c r="C3" s="373" t="s">
        <v>2</v>
      </c>
      <c r="D3" s="375" t="s">
        <v>3</v>
      </c>
      <c r="E3" s="369" t="s">
        <v>93</v>
      </c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62"/>
      <c r="S3" s="369"/>
      <c r="T3" s="377"/>
      <c r="U3" s="369" t="s">
        <v>5</v>
      </c>
      <c r="V3" s="377"/>
      <c r="W3" s="398" t="s">
        <v>6</v>
      </c>
      <c r="X3" s="399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400"/>
      <c r="AJ3" s="422" t="s">
        <v>94</v>
      </c>
      <c r="AK3" s="425" t="s">
        <v>10</v>
      </c>
      <c r="AL3" s="426"/>
      <c r="AM3" s="426"/>
      <c r="AN3" s="426"/>
      <c r="AO3" s="426"/>
      <c r="AP3" s="426"/>
      <c r="AQ3" s="426"/>
      <c r="AR3" s="426"/>
      <c r="AS3" s="426"/>
      <c r="AT3" s="426"/>
      <c r="AU3" s="426"/>
      <c r="AV3" s="426"/>
      <c r="AW3" s="426"/>
      <c r="AX3" s="426"/>
      <c r="AY3" s="426"/>
      <c r="AZ3" s="426"/>
      <c r="BA3" s="426"/>
      <c r="BB3" s="426"/>
      <c r="BC3" s="426"/>
      <c r="BD3" s="426"/>
      <c r="BE3" s="427"/>
      <c r="BF3" s="379" t="s">
        <v>11</v>
      </c>
      <c r="BG3" s="404" t="s">
        <v>12</v>
      </c>
    </row>
    <row r="4" spans="1:59" ht="51.75" customHeight="1" hidden="1" thickBot="1">
      <c r="A4" s="370"/>
      <c r="B4" s="372"/>
      <c r="C4" s="374"/>
      <c r="D4" s="376"/>
      <c r="E4" s="370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40"/>
      <c r="S4" s="394"/>
      <c r="T4" s="395"/>
      <c r="U4" s="394"/>
      <c r="V4" s="395"/>
      <c r="W4" s="401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3"/>
      <c r="AJ4" s="423"/>
      <c r="AK4" s="428"/>
      <c r="AL4" s="429"/>
      <c r="AM4" s="429"/>
      <c r="AN4" s="429"/>
      <c r="AO4" s="429"/>
      <c r="AP4" s="429"/>
      <c r="AQ4" s="429"/>
      <c r="AR4" s="429"/>
      <c r="AS4" s="429"/>
      <c r="AT4" s="429"/>
      <c r="AU4" s="429"/>
      <c r="AV4" s="429"/>
      <c r="AW4" s="429"/>
      <c r="AX4" s="429"/>
      <c r="AY4" s="429"/>
      <c r="AZ4" s="429"/>
      <c r="BA4" s="429"/>
      <c r="BB4" s="429"/>
      <c r="BC4" s="429"/>
      <c r="BD4" s="429"/>
      <c r="BE4" s="430"/>
      <c r="BF4" s="380"/>
      <c r="BG4" s="405"/>
    </row>
    <row r="5" spans="1:59" ht="19.5" customHeight="1">
      <c r="A5" s="370"/>
      <c r="B5" s="372"/>
      <c r="C5" s="374"/>
      <c r="D5" s="376"/>
      <c r="E5" s="407" t="s">
        <v>13</v>
      </c>
      <c r="F5" s="389"/>
      <c r="G5" s="407" t="s">
        <v>95</v>
      </c>
      <c r="H5" s="389"/>
      <c r="I5" s="407" t="s">
        <v>14</v>
      </c>
      <c r="J5" s="389"/>
      <c r="K5" s="407" t="s">
        <v>16</v>
      </c>
      <c r="L5" s="389"/>
      <c r="M5" s="407" t="s">
        <v>15</v>
      </c>
      <c r="N5" s="389"/>
      <c r="O5" s="388" t="s">
        <v>17</v>
      </c>
      <c r="P5" s="388"/>
      <c r="Q5" s="407" t="s">
        <v>96</v>
      </c>
      <c r="R5" s="389"/>
      <c r="S5" s="388" t="s">
        <v>97</v>
      </c>
      <c r="T5" s="389"/>
      <c r="U5" s="392" t="s">
        <v>20</v>
      </c>
      <c r="V5" s="396" t="s">
        <v>21</v>
      </c>
      <c r="W5" s="382" t="s">
        <v>22</v>
      </c>
      <c r="X5" s="382" t="s">
        <v>98</v>
      </c>
      <c r="Y5" s="382" t="s">
        <v>23</v>
      </c>
      <c r="Z5" s="382" t="s">
        <v>25</v>
      </c>
      <c r="AA5" s="382" t="s">
        <v>24</v>
      </c>
      <c r="AB5" s="382" t="s">
        <v>26</v>
      </c>
      <c r="AC5" s="382" t="s">
        <v>27</v>
      </c>
      <c r="AD5" s="384" t="s">
        <v>28</v>
      </c>
      <c r="AE5" s="384" t="s">
        <v>99</v>
      </c>
      <c r="AF5" s="410" t="s">
        <v>29</v>
      </c>
      <c r="AG5" s="412" t="s">
        <v>100</v>
      </c>
      <c r="AH5" s="414" t="s">
        <v>8</v>
      </c>
      <c r="AI5" s="416" t="s">
        <v>9</v>
      </c>
      <c r="AJ5" s="423"/>
      <c r="AK5" s="418" t="s">
        <v>101</v>
      </c>
      <c r="AL5" s="420" t="s">
        <v>102</v>
      </c>
      <c r="AM5" s="420" t="s">
        <v>103</v>
      </c>
      <c r="AN5" s="386" t="s">
        <v>104</v>
      </c>
      <c r="AO5" s="420" t="s">
        <v>105</v>
      </c>
      <c r="AP5" s="386" t="s">
        <v>106</v>
      </c>
      <c r="AQ5" s="386" t="s">
        <v>107</v>
      </c>
      <c r="AR5" s="386" t="s">
        <v>108</v>
      </c>
      <c r="AS5" s="386" t="s">
        <v>109</v>
      </c>
      <c r="AT5" s="386" t="s">
        <v>36</v>
      </c>
      <c r="AU5" s="314" t="s">
        <v>110</v>
      </c>
      <c r="AV5" s="319" t="s">
        <v>111</v>
      </c>
      <c r="AW5" s="314" t="s">
        <v>112</v>
      </c>
      <c r="AX5" s="317" t="s">
        <v>113</v>
      </c>
      <c r="AY5" s="181"/>
      <c r="AZ5" s="431" t="s">
        <v>19</v>
      </c>
      <c r="BA5" s="386" t="s">
        <v>38</v>
      </c>
      <c r="BB5" s="386" t="s">
        <v>33</v>
      </c>
      <c r="BC5" s="433" t="s">
        <v>39</v>
      </c>
      <c r="BD5" s="281" t="s">
        <v>90</v>
      </c>
      <c r="BE5" s="386" t="s">
        <v>114</v>
      </c>
      <c r="BF5" s="380"/>
      <c r="BG5" s="405"/>
    </row>
    <row r="6" spans="1:59" ht="56.25" customHeight="1" thickBot="1">
      <c r="A6" s="370"/>
      <c r="B6" s="372"/>
      <c r="C6" s="374"/>
      <c r="D6" s="376"/>
      <c r="E6" s="408"/>
      <c r="F6" s="391"/>
      <c r="G6" s="408"/>
      <c r="H6" s="391"/>
      <c r="I6" s="408"/>
      <c r="J6" s="391"/>
      <c r="K6" s="408"/>
      <c r="L6" s="391"/>
      <c r="M6" s="408"/>
      <c r="N6" s="391"/>
      <c r="O6" s="409"/>
      <c r="P6" s="409"/>
      <c r="Q6" s="408"/>
      <c r="R6" s="391"/>
      <c r="S6" s="390"/>
      <c r="T6" s="391"/>
      <c r="U6" s="393"/>
      <c r="V6" s="397"/>
      <c r="W6" s="383"/>
      <c r="X6" s="383"/>
      <c r="Y6" s="383"/>
      <c r="Z6" s="383"/>
      <c r="AA6" s="383"/>
      <c r="AB6" s="383"/>
      <c r="AC6" s="383"/>
      <c r="AD6" s="385"/>
      <c r="AE6" s="385"/>
      <c r="AF6" s="411"/>
      <c r="AG6" s="413"/>
      <c r="AH6" s="415"/>
      <c r="AI6" s="417"/>
      <c r="AJ6" s="424"/>
      <c r="AK6" s="419"/>
      <c r="AL6" s="421"/>
      <c r="AM6" s="421"/>
      <c r="AN6" s="387"/>
      <c r="AO6" s="421"/>
      <c r="AP6" s="387"/>
      <c r="AQ6" s="387"/>
      <c r="AR6" s="387"/>
      <c r="AS6" s="387"/>
      <c r="AT6" s="387"/>
      <c r="AU6" s="315"/>
      <c r="AV6" s="320"/>
      <c r="AW6" s="315"/>
      <c r="AX6" s="318"/>
      <c r="AY6" s="182" t="s">
        <v>115</v>
      </c>
      <c r="AZ6" s="432"/>
      <c r="BA6" s="387"/>
      <c r="BB6" s="387"/>
      <c r="BC6" s="434"/>
      <c r="BD6" s="283"/>
      <c r="BE6" s="387"/>
      <c r="BF6" s="381"/>
      <c r="BG6" s="406"/>
    </row>
    <row r="7" spans="1:59" ht="19.5" customHeight="1" thickBot="1">
      <c r="A7" s="188">
        <v>1</v>
      </c>
      <c r="B7" s="189">
        <v>2</v>
      </c>
      <c r="C7" s="189">
        <v>3</v>
      </c>
      <c r="D7" s="188">
        <v>4</v>
      </c>
      <c r="E7" s="189">
        <v>5</v>
      </c>
      <c r="F7" s="189">
        <v>6</v>
      </c>
      <c r="G7" s="188">
        <v>7</v>
      </c>
      <c r="H7" s="189">
        <v>8</v>
      </c>
      <c r="I7" s="189">
        <v>9</v>
      </c>
      <c r="J7" s="188">
        <v>10</v>
      </c>
      <c r="K7" s="189">
        <v>11</v>
      </c>
      <c r="L7" s="189">
        <v>12</v>
      </c>
      <c r="M7" s="188">
        <v>13</v>
      </c>
      <c r="N7" s="189">
        <v>14</v>
      </c>
      <c r="O7" s="189">
        <v>15</v>
      </c>
      <c r="P7" s="188">
        <v>16</v>
      </c>
      <c r="Q7" s="189">
        <v>17</v>
      </c>
      <c r="R7" s="189">
        <v>18</v>
      </c>
      <c r="S7" s="188">
        <v>19</v>
      </c>
      <c r="T7" s="189">
        <v>20</v>
      </c>
      <c r="U7" s="189">
        <v>21</v>
      </c>
      <c r="V7" s="188">
        <v>22</v>
      </c>
      <c r="W7" s="189">
        <v>23</v>
      </c>
      <c r="X7" s="188">
        <v>24</v>
      </c>
      <c r="Y7" s="189">
        <v>25</v>
      </c>
      <c r="Z7" s="188">
        <v>26</v>
      </c>
      <c r="AA7" s="189">
        <v>27</v>
      </c>
      <c r="AB7" s="188">
        <v>28</v>
      </c>
      <c r="AC7" s="189">
        <v>29</v>
      </c>
      <c r="AD7" s="188">
        <v>30</v>
      </c>
      <c r="AE7" s="188">
        <v>31</v>
      </c>
      <c r="AF7" s="189">
        <v>32</v>
      </c>
      <c r="AG7" s="188">
        <v>33</v>
      </c>
      <c r="AH7" s="189">
        <v>34</v>
      </c>
      <c r="AI7" s="188">
        <v>35</v>
      </c>
      <c r="AJ7" s="189">
        <v>36</v>
      </c>
      <c r="AK7" s="188">
        <v>37</v>
      </c>
      <c r="AL7" s="189">
        <v>38</v>
      </c>
      <c r="AM7" s="188">
        <v>39</v>
      </c>
      <c r="AN7" s="188">
        <v>40</v>
      </c>
      <c r="AO7" s="189">
        <v>41</v>
      </c>
      <c r="AP7" s="188">
        <v>42</v>
      </c>
      <c r="AQ7" s="189">
        <v>43</v>
      </c>
      <c r="AR7" s="188"/>
      <c r="AS7" s="188">
        <v>44</v>
      </c>
      <c r="AT7" s="189">
        <v>45</v>
      </c>
      <c r="AU7" s="188">
        <v>46</v>
      </c>
      <c r="AV7" s="189">
        <v>47</v>
      </c>
      <c r="AW7" s="188">
        <v>48</v>
      </c>
      <c r="AX7" s="188">
        <v>49</v>
      </c>
      <c r="AY7" s="189"/>
      <c r="AZ7" s="189">
        <v>50</v>
      </c>
      <c r="BA7" s="189">
        <v>51</v>
      </c>
      <c r="BB7" s="189">
        <v>52</v>
      </c>
      <c r="BC7" s="189">
        <v>53</v>
      </c>
      <c r="BD7" s="189">
        <v>54</v>
      </c>
      <c r="BE7" s="189"/>
      <c r="BF7" s="189">
        <v>55</v>
      </c>
      <c r="BG7" s="189">
        <v>56</v>
      </c>
    </row>
    <row r="8" spans="1:59" s="28" customFormat="1" ht="13.5" thickBot="1">
      <c r="A8" s="33" t="s">
        <v>54</v>
      </c>
      <c r="B8" s="190"/>
      <c r="C8" s="190">
        <f>Лист1!C42</f>
        <v>1369342.575</v>
      </c>
      <c r="D8" s="190">
        <f>Лист1!D42</f>
        <v>159095.07430530002</v>
      </c>
      <c r="E8" s="190">
        <f>Лист1!E42</f>
        <v>121129.63</v>
      </c>
      <c r="F8" s="190">
        <f>Лист1!F42</f>
        <v>17984.75</v>
      </c>
      <c r="G8" s="190">
        <f>0</f>
        <v>0</v>
      </c>
      <c r="H8" s="190">
        <f>0</f>
        <v>0</v>
      </c>
      <c r="I8" s="190">
        <f>Лист1!G42</f>
        <v>163960.53</v>
      </c>
      <c r="J8" s="190">
        <f>Лист1!H42</f>
        <v>24348.86</v>
      </c>
      <c r="K8" s="190">
        <f>Лист1!K42</f>
        <v>272976.22</v>
      </c>
      <c r="L8" s="190">
        <f>Лист1!L42</f>
        <v>40535.200000000004</v>
      </c>
      <c r="M8" s="190">
        <f>Лист1!I42</f>
        <v>394097.99</v>
      </c>
      <c r="N8" s="190">
        <f>Лист1!J42</f>
        <v>58519.59999999999</v>
      </c>
      <c r="O8" s="190">
        <f>Лист1!M42</f>
        <v>96903.05000000002</v>
      </c>
      <c r="P8" s="190">
        <f>Лист1!N42</f>
        <v>14387.510000000002</v>
      </c>
      <c r="Q8" s="190">
        <f>Лист1!Q42</f>
        <v>168558.04000000004</v>
      </c>
      <c r="R8" s="190">
        <f>Лист1!R42</f>
        <v>12797.670000000002</v>
      </c>
      <c r="S8" s="190">
        <f>'[4]Лист1'!Q44</f>
        <v>0</v>
      </c>
      <c r="T8" s="190">
        <f>'[4]Лист1'!R44</f>
        <v>0</v>
      </c>
      <c r="U8" s="190">
        <f>Лист1!S42</f>
        <v>1217625.46</v>
      </c>
      <c r="V8" s="190">
        <f>Лист1!T42</f>
        <v>168573.59</v>
      </c>
      <c r="W8" s="190">
        <f>Лист1!U42</f>
        <v>112563.56</v>
      </c>
      <c r="X8" s="190">
        <v>0</v>
      </c>
      <c r="Y8" s="190">
        <f>Лист1!V42</f>
        <v>152336.32</v>
      </c>
      <c r="Z8" s="190">
        <f>Лист1!X42</f>
        <v>255276.8</v>
      </c>
      <c r="AA8" s="190">
        <f>Лист1!W42</f>
        <v>369916.75</v>
      </c>
      <c r="AB8" s="190">
        <f>Лист1!Y42</f>
        <v>90049.33</v>
      </c>
      <c r="AC8" s="190">
        <f>'[5]Лист1'!Z42</f>
        <v>0</v>
      </c>
      <c r="AD8" s="190">
        <f>Лист1!AA42</f>
        <v>177607.95</v>
      </c>
      <c r="AE8" s="190">
        <f>'[6]Лист1'!AA44</f>
        <v>0</v>
      </c>
      <c r="AF8" s="190">
        <f>Лист1!AB42</f>
        <v>1157750.71</v>
      </c>
      <c r="AG8" s="190">
        <f>Лист1!AC42</f>
        <v>1485419.3743053</v>
      </c>
      <c r="AH8" s="190">
        <f>'[7]Лист1 (2)'!AD44</f>
        <v>0</v>
      </c>
      <c r="AI8" s="190">
        <f>Лист1!AE42</f>
        <v>190405.62</v>
      </c>
      <c r="AJ8" s="190">
        <f>Лист1!AF42</f>
        <v>450</v>
      </c>
      <c r="AK8" s="190">
        <f>Лист1!AG42</f>
        <v>93575.66399999999</v>
      </c>
      <c r="AL8" s="190">
        <f>Лист1!AH42</f>
        <v>31355.624964000006</v>
      </c>
      <c r="AM8" s="190">
        <f>Лист1!AI42+Лист1!AJ42</f>
        <v>155339.06557361</v>
      </c>
      <c r="AN8" s="190">
        <v>0</v>
      </c>
      <c r="AO8" s="190">
        <f>Лист1!AK42+Лист1!AL42</f>
        <v>154941.93780762245</v>
      </c>
      <c r="AP8" s="190">
        <f>Лист1!AM42+Лист1!AN42</f>
        <v>346605.5796948372</v>
      </c>
      <c r="AQ8" s="190">
        <v>0</v>
      </c>
      <c r="AR8" s="190">
        <v>0</v>
      </c>
      <c r="AS8" s="190">
        <v>0</v>
      </c>
      <c r="AT8" s="190">
        <f>Лист1!AO42+Лист1!AP42</f>
        <v>4295.16</v>
      </c>
      <c r="AU8" s="190">
        <f>Лист1!AS42+Лист1!AU42</f>
        <v>247742.1264</v>
      </c>
      <c r="AV8" s="190">
        <v>0</v>
      </c>
      <c r="AW8" s="190">
        <f>Лист1!AT42</f>
        <v>147098.13</v>
      </c>
      <c r="AX8" s="190">
        <f>Лист1!AQ42+Лист1!AR42</f>
        <v>14492.0166</v>
      </c>
      <c r="AY8" s="191">
        <f>Лист1!AX42</f>
        <v>126246.7248</v>
      </c>
      <c r="AZ8" s="191">
        <f>Лист1!AY42</f>
        <v>236559.96432598383</v>
      </c>
      <c r="BA8" s="191">
        <v>0</v>
      </c>
      <c r="BB8" s="191">
        <v>0</v>
      </c>
      <c r="BC8" s="191">
        <f>Лист1!BB42</f>
        <v>1558251.9941660534</v>
      </c>
      <c r="BD8" s="190">
        <f>Лист1!BC42</f>
        <v>112.5</v>
      </c>
      <c r="BE8" s="192">
        <f>BC8+BD8</f>
        <v>1558364.4941660534</v>
      </c>
      <c r="BF8" s="193">
        <f>Лист1!BD42</f>
        <v>-72495.1198607534</v>
      </c>
      <c r="BG8" s="193">
        <f>Лист1!BE42</f>
        <v>-59874.75000000005</v>
      </c>
    </row>
    <row r="9" spans="1:59" ht="12.75">
      <c r="A9" s="5" t="s">
        <v>116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94"/>
      <c r="BF9" s="193"/>
      <c r="BG9" s="195"/>
    </row>
    <row r="10" spans="1:59" ht="12.75">
      <c r="A10" s="157" t="s">
        <v>45</v>
      </c>
      <c r="B10" s="155">
        <v>5864.7</v>
      </c>
      <c r="C10" s="132">
        <f aca="true" t="shared" si="0" ref="C10:C21">B10*8.55</f>
        <v>50143.185000000005</v>
      </c>
      <c r="D10" s="115">
        <v>3115.59</v>
      </c>
      <c r="E10" s="196">
        <v>0</v>
      </c>
      <c r="F10" s="197">
        <v>0</v>
      </c>
      <c r="G10" s="196">
        <v>31741.63</v>
      </c>
      <c r="H10" s="196">
        <v>0</v>
      </c>
      <c r="I10" s="196">
        <v>0</v>
      </c>
      <c r="J10" s="196">
        <v>0</v>
      </c>
      <c r="K10" s="196">
        <v>0</v>
      </c>
      <c r="L10" s="196">
        <v>0</v>
      </c>
      <c r="M10" s="196">
        <v>15484.5</v>
      </c>
      <c r="N10" s="196">
        <v>0</v>
      </c>
      <c r="O10" s="196">
        <v>5379.95</v>
      </c>
      <c r="P10" s="197">
        <v>0</v>
      </c>
      <c r="Q10" s="270">
        <v>27993.69</v>
      </c>
      <c r="R10" s="199">
        <v>0</v>
      </c>
      <c r="S10" s="198">
        <v>0</v>
      </c>
      <c r="T10" s="199">
        <v>0</v>
      </c>
      <c r="U10" s="200">
        <f aca="true" t="shared" si="1" ref="U10:V21">E10+G10+I10+K10+M10+O10+Q10+S10</f>
        <v>80599.77</v>
      </c>
      <c r="V10" s="201">
        <f t="shared" si="1"/>
        <v>0</v>
      </c>
      <c r="W10" s="150">
        <v>3552.81</v>
      </c>
      <c r="X10" s="150"/>
      <c r="Y10" s="150">
        <v>4812.28</v>
      </c>
      <c r="Z10" s="150">
        <v>7889.81</v>
      </c>
      <c r="AA10" s="150">
        <v>11409.8</v>
      </c>
      <c r="AB10" s="150">
        <v>2904.18</v>
      </c>
      <c r="AC10" s="202">
        <v>0</v>
      </c>
      <c r="AD10" s="202">
        <v>4909.9</v>
      </c>
      <c r="AE10" s="203">
        <v>0</v>
      </c>
      <c r="AF10" s="203">
        <f>SUM(W10:AE10)</f>
        <v>35478.78</v>
      </c>
      <c r="AG10" s="204">
        <f>AF10+V10+D10</f>
        <v>38594.369999999995</v>
      </c>
      <c r="AH10" s="205">
        <f aca="true" t="shared" si="2" ref="AH10:AI21">AC10</f>
        <v>0</v>
      </c>
      <c r="AI10" s="205">
        <f t="shared" si="2"/>
        <v>4909.9</v>
      </c>
      <c r="AJ10" s="206">
        <f>'[8]Т01'!$I$173</f>
        <v>114</v>
      </c>
      <c r="AK10" s="152">
        <f aca="true" t="shared" si="3" ref="AK10:AK21">0.67*B10</f>
        <v>3929.349</v>
      </c>
      <c r="AL10" s="152">
        <f aca="true" t="shared" si="4" ref="AL10:AL21">B10*0.2</f>
        <v>1172.94</v>
      </c>
      <c r="AM10" s="152">
        <f aca="true" t="shared" si="5" ref="AM10:AM21">B10*1</f>
        <v>5864.7</v>
      </c>
      <c r="AN10" s="152">
        <f aca="true" t="shared" si="6" ref="AN10:AN21">B10*0.21</f>
        <v>1231.587</v>
      </c>
      <c r="AO10" s="152">
        <f aca="true" t="shared" si="7" ref="AO10:AO21">2.02*B10</f>
        <v>11846.694</v>
      </c>
      <c r="AP10" s="152">
        <f aca="true" t="shared" si="8" ref="AP10:AP21">B10*1.03</f>
        <v>6040.641</v>
      </c>
      <c r="AQ10" s="152">
        <f aca="true" t="shared" si="9" ref="AQ10:AQ21">B10*0.75</f>
        <v>4398.525</v>
      </c>
      <c r="AR10" s="152">
        <f aca="true" t="shared" si="10" ref="AR10:AR21">B10*0.75</f>
        <v>4398.525</v>
      </c>
      <c r="AS10" s="152">
        <f>B10*1.15</f>
        <v>6744.404999999999</v>
      </c>
      <c r="AT10" s="152">
        <f>795.4*0.45</f>
        <v>357.93</v>
      </c>
      <c r="AU10" s="207">
        <v>17543</v>
      </c>
      <c r="AV10" s="208"/>
      <c r="AW10" s="207"/>
      <c r="AX10" s="207">
        <f>1113+1.85</f>
        <v>1114.85</v>
      </c>
      <c r="AY10" s="207"/>
      <c r="AZ10" s="128">
        <v>19994.36</v>
      </c>
      <c r="BA10" s="209"/>
      <c r="BB10" s="209">
        <f>BA10*0.18</f>
        <v>0</v>
      </c>
      <c r="BC10" s="209">
        <f aca="true" t="shared" si="11" ref="BC10:BC21">SUM(AK10:BB10)</f>
        <v>84637.506</v>
      </c>
      <c r="BD10" s="210">
        <f>'[8]Т01'!$R$173</f>
        <v>28.5</v>
      </c>
      <c r="BE10" s="210">
        <f>BC10+BD10</f>
        <v>84666.006</v>
      </c>
      <c r="BF10" s="210">
        <f>AG10+AJ10-BE10</f>
        <v>-45957.636</v>
      </c>
      <c r="BG10" s="210">
        <f>AF10-U10</f>
        <v>-45120.990000000005</v>
      </c>
    </row>
    <row r="11" spans="1:59" ht="12.75">
      <c r="A11" s="157" t="s">
        <v>46</v>
      </c>
      <c r="B11" s="155">
        <v>5864.7</v>
      </c>
      <c r="C11" s="132">
        <f t="shared" si="0"/>
        <v>50143.185000000005</v>
      </c>
      <c r="D11" s="115">
        <v>3115.59</v>
      </c>
      <c r="E11" s="196">
        <v>0</v>
      </c>
      <c r="F11" s="197">
        <v>0</v>
      </c>
      <c r="G11" s="196">
        <v>31004.36</v>
      </c>
      <c r="H11" s="196">
        <v>0</v>
      </c>
      <c r="I11" s="196">
        <v>0</v>
      </c>
      <c r="J11" s="196">
        <v>0</v>
      </c>
      <c r="K11" s="196">
        <v>0</v>
      </c>
      <c r="L11" s="196">
        <v>0</v>
      </c>
      <c r="M11" s="196">
        <v>15477.32</v>
      </c>
      <c r="N11" s="196">
        <v>0</v>
      </c>
      <c r="O11" s="196">
        <v>5377.47</v>
      </c>
      <c r="P11" s="196">
        <v>0</v>
      </c>
      <c r="Q11" s="197">
        <v>28091.91</v>
      </c>
      <c r="R11" s="197">
        <v>0</v>
      </c>
      <c r="S11" s="202">
        <v>0</v>
      </c>
      <c r="T11" s="150">
        <v>0</v>
      </c>
      <c r="U11" s="211">
        <f t="shared" si="1"/>
        <v>79951.06</v>
      </c>
      <c r="V11" s="201">
        <f t="shared" si="1"/>
        <v>0</v>
      </c>
      <c r="W11" s="150">
        <v>783.98</v>
      </c>
      <c r="X11" s="202">
        <v>22273.68</v>
      </c>
      <c r="Y11" s="150">
        <v>1062.54</v>
      </c>
      <c r="Z11" s="150">
        <v>1691.87</v>
      </c>
      <c r="AA11" s="150">
        <v>12286.65</v>
      </c>
      <c r="AB11" s="150">
        <v>4590.36</v>
      </c>
      <c r="AC11" s="202">
        <v>0</v>
      </c>
      <c r="AD11" s="202">
        <v>21895.1</v>
      </c>
      <c r="AE11" s="202">
        <v>0</v>
      </c>
      <c r="AF11" s="203">
        <f>SUM(W11:AE11)</f>
        <v>64584.18</v>
      </c>
      <c r="AG11" s="204">
        <f>AF11+V11+D11</f>
        <v>67699.77</v>
      </c>
      <c r="AH11" s="205">
        <f t="shared" si="2"/>
        <v>0</v>
      </c>
      <c r="AI11" s="205">
        <f t="shared" si="2"/>
        <v>21895.1</v>
      </c>
      <c r="AJ11" s="206">
        <f>'[8]Т02'!$G$175</f>
        <v>114</v>
      </c>
      <c r="AK11" s="152">
        <f t="shared" si="3"/>
        <v>3929.349</v>
      </c>
      <c r="AL11" s="152">
        <f t="shared" si="4"/>
        <v>1172.94</v>
      </c>
      <c r="AM11" s="152">
        <f t="shared" si="5"/>
        <v>5864.7</v>
      </c>
      <c r="AN11" s="152">
        <f t="shared" si="6"/>
        <v>1231.587</v>
      </c>
      <c r="AO11" s="152">
        <f t="shared" si="7"/>
        <v>11846.694</v>
      </c>
      <c r="AP11" s="152">
        <f t="shared" si="8"/>
        <v>6040.641</v>
      </c>
      <c r="AQ11" s="152">
        <f t="shared" si="9"/>
        <v>4398.525</v>
      </c>
      <c r="AR11" s="152">
        <f t="shared" si="10"/>
        <v>4398.525</v>
      </c>
      <c r="AS11" s="152">
        <f>B11*1.15</f>
        <v>6744.404999999999</v>
      </c>
      <c r="AT11" s="152">
        <f>795.4*0.45</f>
        <v>357.93</v>
      </c>
      <c r="AU11" s="207">
        <v>18738</v>
      </c>
      <c r="AV11" s="208">
        <v>320</v>
      </c>
      <c r="AW11" s="207">
        <v>1147</v>
      </c>
      <c r="AX11" s="207">
        <f>45.12+123.9+935</f>
        <v>1104.02</v>
      </c>
      <c r="AY11" s="207"/>
      <c r="AZ11" s="128">
        <v>19058.46</v>
      </c>
      <c r="BA11" s="209"/>
      <c r="BB11" s="209">
        <f>BA11*0.18</f>
        <v>0</v>
      </c>
      <c r="BC11" s="209">
        <f t="shared" si="11"/>
        <v>86352.77600000001</v>
      </c>
      <c r="BD11" s="210">
        <f>'[8]Т02'!$S$174</f>
        <v>28.5</v>
      </c>
      <c r="BE11" s="210">
        <f aca="true" t="shared" si="12" ref="BE11:BE21">BC11+BD11</f>
        <v>86381.27600000001</v>
      </c>
      <c r="BF11" s="210">
        <f aca="true" t="shared" si="13" ref="BF11:BF21">AG11+AJ11-BE11</f>
        <v>-18567.50600000001</v>
      </c>
      <c r="BG11" s="210">
        <f aca="true" t="shared" si="14" ref="BG11:BG21">AF11-U11</f>
        <v>-15366.879999999997</v>
      </c>
    </row>
    <row r="12" spans="1:59" ht="12.75">
      <c r="A12" s="157" t="s">
        <v>47</v>
      </c>
      <c r="B12" s="155">
        <v>5863.1</v>
      </c>
      <c r="C12" s="132">
        <f t="shared" si="0"/>
        <v>50129.505000000005</v>
      </c>
      <c r="D12" s="115">
        <v>3115.59</v>
      </c>
      <c r="E12" s="196">
        <v>0</v>
      </c>
      <c r="F12" s="197">
        <v>0</v>
      </c>
      <c r="G12" s="196">
        <v>31359.3</v>
      </c>
      <c r="H12" s="196">
        <v>0</v>
      </c>
      <c r="I12" s="196">
        <v>0</v>
      </c>
      <c r="J12" s="196">
        <v>0</v>
      </c>
      <c r="K12" s="196">
        <v>0</v>
      </c>
      <c r="L12" s="196">
        <v>0</v>
      </c>
      <c r="M12" s="196">
        <v>15473.87</v>
      </c>
      <c r="N12" s="196">
        <v>0</v>
      </c>
      <c r="O12" s="196">
        <v>5976.27</v>
      </c>
      <c r="P12" s="196">
        <v>0</v>
      </c>
      <c r="Q12" s="196">
        <v>27794.06</v>
      </c>
      <c r="R12" s="196">
        <v>0</v>
      </c>
      <c r="S12" s="196">
        <v>600</v>
      </c>
      <c r="T12" s="150">
        <v>0</v>
      </c>
      <c r="U12" s="150">
        <f t="shared" si="1"/>
        <v>81203.5</v>
      </c>
      <c r="V12" s="151">
        <f t="shared" si="1"/>
        <v>0</v>
      </c>
      <c r="W12" s="212">
        <v>280.01</v>
      </c>
      <c r="X12" s="202">
        <v>26383</v>
      </c>
      <c r="Y12" s="150">
        <v>379.02</v>
      </c>
      <c r="Z12" s="150">
        <v>1061.67</v>
      </c>
      <c r="AA12" s="150">
        <v>13837.42</v>
      </c>
      <c r="AB12" s="150">
        <v>4558.4</v>
      </c>
      <c r="AC12" s="202">
        <v>0</v>
      </c>
      <c r="AD12" s="202">
        <v>23889.78</v>
      </c>
      <c r="AE12" s="150">
        <v>268.82</v>
      </c>
      <c r="AF12" s="213">
        <f>SUM(W12:AE12)</f>
        <v>70658.12</v>
      </c>
      <c r="AG12" s="204">
        <f>AF12+V12+D12</f>
        <v>73773.70999999999</v>
      </c>
      <c r="AH12" s="205">
        <f t="shared" si="2"/>
        <v>0</v>
      </c>
      <c r="AI12" s="205">
        <f t="shared" si="2"/>
        <v>23889.78</v>
      </c>
      <c r="AJ12" s="206">
        <f>'[8]Т03'!$J$175</f>
        <v>114</v>
      </c>
      <c r="AK12" s="152">
        <f t="shared" si="3"/>
        <v>3928.2770000000005</v>
      </c>
      <c r="AL12" s="152">
        <f t="shared" si="4"/>
        <v>1172.6200000000001</v>
      </c>
      <c r="AM12" s="152">
        <f t="shared" si="5"/>
        <v>5863.1</v>
      </c>
      <c r="AN12" s="152">
        <f t="shared" si="6"/>
        <v>1231.251</v>
      </c>
      <c r="AO12" s="152">
        <f t="shared" si="7"/>
        <v>11843.462000000001</v>
      </c>
      <c r="AP12" s="152">
        <f t="shared" si="8"/>
        <v>6038.993</v>
      </c>
      <c r="AQ12" s="152">
        <f t="shared" si="9"/>
        <v>4397.325000000001</v>
      </c>
      <c r="AR12" s="152">
        <f t="shared" si="10"/>
        <v>4397.325000000001</v>
      </c>
      <c r="AS12" s="152">
        <f>B12*1.15</f>
        <v>6742.565</v>
      </c>
      <c r="AT12" s="152">
        <f>795.4*0.45</f>
        <v>357.93</v>
      </c>
      <c r="AU12" s="207">
        <v>940</v>
      </c>
      <c r="AV12" s="208"/>
      <c r="AW12" s="207"/>
      <c r="AX12" s="207">
        <f>'[12]март 2011'!$F$35+'[12]март 2011'!$F$47+'[12]март 2011'!$F$49</f>
        <v>170</v>
      </c>
      <c r="AY12" s="207"/>
      <c r="AZ12" s="128">
        <v>19774.11</v>
      </c>
      <c r="BA12" s="209"/>
      <c r="BB12" s="209">
        <f>BA12*0.18</f>
        <v>0</v>
      </c>
      <c r="BC12" s="209">
        <f t="shared" si="11"/>
        <v>66856.95800000001</v>
      </c>
      <c r="BD12" s="210">
        <f>'[8]Т03'!$S$175</f>
        <v>28.5</v>
      </c>
      <c r="BE12" s="210">
        <f t="shared" si="12"/>
        <v>66885.45800000001</v>
      </c>
      <c r="BF12" s="210">
        <f t="shared" si="13"/>
        <v>7002.251999999979</v>
      </c>
      <c r="BG12" s="210">
        <f t="shared" si="14"/>
        <v>-10545.380000000005</v>
      </c>
    </row>
    <row r="13" spans="1:59" ht="12.75">
      <c r="A13" s="157" t="s">
        <v>48</v>
      </c>
      <c r="B13" s="271">
        <v>5860.4</v>
      </c>
      <c r="C13" s="132">
        <f t="shared" si="0"/>
        <v>50106.42</v>
      </c>
      <c r="D13" s="115">
        <v>3115.59</v>
      </c>
      <c r="E13" s="198">
        <v>0</v>
      </c>
      <c r="F13" s="197">
        <v>0</v>
      </c>
      <c r="G13" s="214">
        <v>31352.11</v>
      </c>
      <c r="H13" s="196">
        <v>0</v>
      </c>
      <c r="I13" s="196">
        <v>0</v>
      </c>
      <c r="J13" s="196">
        <v>0</v>
      </c>
      <c r="K13" s="196">
        <v>0</v>
      </c>
      <c r="L13" s="196">
        <v>0</v>
      </c>
      <c r="M13" s="196">
        <v>15470.46</v>
      </c>
      <c r="N13" s="196">
        <v>0</v>
      </c>
      <c r="O13" s="196">
        <v>6375.08</v>
      </c>
      <c r="P13" s="196">
        <v>0</v>
      </c>
      <c r="Q13" s="197">
        <v>27708.55</v>
      </c>
      <c r="R13" s="184">
        <v>0</v>
      </c>
      <c r="S13" s="270">
        <v>1000</v>
      </c>
      <c r="T13" s="216">
        <v>0</v>
      </c>
      <c r="U13" s="211">
        <f t="shared" si="1"/>
        <v>81906.2</v>
      </c>
      <c r="V13" s="151">
        <f t="shared" si="1"/>
        <v>0</v>
      </c>
      <c r="W13" s="150">
        <v>339.15</v>
      </c>
      <c r="X13" s="202">
        <v>30160.65</v>
      </c>
      <c r="Y13" s="150">
        <v>459.17</v>
      </c>
      <c r="Z13" s="150">
        <v>716.85</v>
      </c>
      <c r="AA13" s="150">
        <v>14259.78</v>
      </c>
      <c r="AB13" s="202">
        <v>5040.37</v>
      </c>
      <c r="AC13" s="150">
        <v>0</v>
      </c>
      <c r="AD13" s="202">
        <v>26019.94</v>
      </c>
      <c r="AE13" s="202">
        <v>1118.92</v>
      </c>
      <c r="AF13" s="203">
        <f>SUM(W13:AE13)</f>
        <v>78114.83</v>
      </c>
      <c r="AG13" s="217">
        <f>AF13+V13+D13</f>
        <v>81230.42</v>
      </c>
      <c r="AH13" s="218">
        <f t="shared" si="2"/>
        <v>0</v>
      </c>
      <c r="AI13" s="218">
        <f t="shared" si="2"/>
        <v>26019.94</v>
      </c>
      <c r="AJ13" s="219">
        <f>'[9]Т04'!$J$177</f>
        <v>114</v>
      </c>
      <c r="AK13" s="152">
        <f t="shared" si="3"/>
        <v>3926.468</v>
      </c>
      <c r="AL13" s="152">
        <f t="shared" si="4"/>
        <v>1172.08</v>
      </c>
      <c r="AM13" s="152">
        <f t="shared" si="5"/>
        <v>5860.4</v>
      </c>
      <c r="AN13" s="152">
        <f t="shared" si="6"/>
        <v>1230.684</v>
      </c>
      <c r="AO13" s="152">
        <f t="shared" si="7"/>
        <v>11838.008</v>
      </c>
      <c r="AP13" s="152">
        <f t="shared" si="8"/>
        <v>6036.2119999999995</v>
      </c>
      <c r="AQ13" s="152">
        <f t="shared" si="9"/>
        <v>4395.299999999999</v>
      </c>
      <c r="AR13" s="152">
        <f t="shared" si="10"/>
        <v>4395.299999999999</v>
      </c>
      <c r="AS13" s="152"/>
      <c r="AT13" s="221">
        <f aca="true" t="shared" si="15" ref="AT13:AT21">0.45*795.4</f>
        <v>357.93</v>
      </c>
      <c r="AU13" s="220">
        <v>6550</v>
      </c>
      <c r="AV13" s="220"/>
      <c r="AW13" s="220"/>
      <c r="AX13" s="220">
        <f>2221</f>
        <v>2221</v>
      </c>
      <c r="AY13" s="220"/>
      <c r="AZ13" s="128">
        <v>19117.62</v>
      </c>
      <c r="BA13" s="221"/>
      <c r="BB13" s="221"/>
      <c r="BC13" s="196">
        <f t="shared" si="11"/>
        <v>67101.00200000001</v>
      </c>
      <c r="BD13" s="222">
        <f>'[8]Т04'!$S$177</f>
        <v>28.5</v>
      </c>
      <c r="BE13" s="210">
        <f t="shared" si="12"/>
        <v>67129.50200000001</v>
      </c>
      <c r="BF13" s="210">
        <f t="shared" si="13"/>
        <v>14214.91799999999</v>
      </c>
      <c r="BG13" s="210">
        <f t="shared" si="14"/>
        <v>-3791.3699999999953</v>
      </c>
    </row>
    <row r="14" spans="1:59" ht="12.75">
      <c r="A14" s="157" t="s">
        <v>49</v>
      </c>
      <c r="B14" s="223">
        <v>5860.4</v>
      </c>
      <c r="C14" s="132">
        <f t="shared" si="0"/>
        <v>50106.42</v>
      </c>
      <c r="D14" s="115">
        <v>3115.59</v>
      </c>
      <c r="E14" s="214">
        <v>0</v>
      </c>
      <c r="F14" s="197">
        <v>0</v>
      </c>
      <c r="G14" s="196">
        <v>31357.28</v>
      </c>
      <c r="H14" s="196">
        <v>0</v>
      </c>
      <c r="I14" s="196">
        <v>0</v>
      </c>
      <c r="J14" s="196">
        <v>0</v>
      </c>
      <c r="K14" s="196">
        <v>0</v>
      </c>
      <c r="L14" s="196">
        <v>0</v>
      </c>
      <c r="M14" s="196">
        <v>15473.01</v>
      </c>
      <c r="N14" s="196">
        <v>0</v>
      </c>
      <c r="O14" s="196">
        <v>5375.95</v>
      </c>
      <c r="P14" s="196">
        <v>0</v>
      </c>
      <c r="Q14" s="197">
        <v>28071.3</v>
      </c>
      <c r="R14" s="197">
        <v>0</v>
      </c>
      <c r="S14" s="196">
        <v>400</v>
      </c>
      <c r="T14" s="202">
        <v>0</v>
      </c>
      <c r="U14" s="215">
        <f t="shared" si="1"/>
        <v>80677.54</v>
      </c>
      <c r="V14" s="224">
        <f>F14+H14+J14+L14+N14++R14+T14</f>
        <v>0</v>
      </c>
      <c r="W14" s="150">
        <v>272.83</v>
      </c>
      <c r="X14" s="202">
        <v>23832.17</v>
      </c>
      <c r="Y14" s="150">
        <v>369.89</v>
      </c>
      <c r="Z14" s="150">
        <v>2779.94</v>
      </c>
      <c r="AA14" s="150">
        <v>11923.04</v>
      </c>
      <c r="AB14" s="150">
        <v>4307.58</v>
      </c>
      <c r="AC14" s="202">
        <v>0</v>
      </c>
      <c r="AD14" s="202">
        <v>20874.86</v>
      </c>
      <c r="AE14" s="203">
        <v>298.72</v>
      </c>
      <c r="AF14" s="225">
        <f>SUM(W14:AE14)</f>
        <v>64659.03</v>
      </c>
      <c r="AG14" s="217">
        <f>D14+V14+AF14</f>
        <v>67774.62</v>
      </c>
      <c r="AH14" s="218">
        <f t="shared" si="2"/>
        <v>0</v>
      </c>
      <c r="AI14" s="218">
        <f t="shared" si="2"/>
        <v>20874.86</v>
      </c>
      <c r="AJ14" s="219">
        <f>'[8]Т05'!$J$175</f>
        <v>114</v>
      </c>
      <c r="AK14" s="152">
        <f t="shared" si="3"/>
        <v>3926.468</v>
      </c>
      <c r="AL14" s="152">
        <f t="shared" si="4"/>
        <v>1172.08</v>
      </c>
      <c r="AM14" s="152">
        <f t="shared" si="5"/>
        <v>5860.4</v>
      </c>
      <c r="AN14" s="152">
        <f t="shared" si="6"/>
        <v>1230.684</v>
      </c>
      <c r="AO14" s="152">
        <f t="shared" si="7"/>
        <v>11838.008</v>
      </c>
      <c r="AP14" s="152">
        <f t="shared" si="8"/>
        <v>6036.2119999999995</v>
      </c>
      <c r="AQ14" s="152">
        <f t="shared" si="9"/>
        <v>4395.299999999999</v>
      </c>
      <c r="AR14" s="152">
        <f t="shared" si="10"/>
        <v>4395.299999999999</v>
      </c>
      <c r="AS14" s="152"/>
      <c r="AT14" s="221">
        <f t="shared" si="15"/>
        <v>357.93</v>
      </c>
      <c r="AU14" s="220">
        <v>56705</v>
      </c>
      <c r="AV14" s="273"/>
      <c r="AW14" s="220">
        <v>3148</v>
      </c>
      <c r="AX14" s="220">
        <f>156+42+62+44+390+58.8+12+33+12+373.5+1812</f>
        <v>2995.3</v>
      </c>
      <c r="AY14" s="220"/>
      <c r="AZ14" s="128">
        <v>21367.17</v>
      </c>
      <c r="BA14" s="221"/>
      <c r="BB14" s="221"/>
      <c r="BC14" s="196">
        <f t="shared" si="11"/>
        <v>123427.85200000001</v>
      </c>
      <c r="BD14" s="222">
        <f>'[8]Т05'!$S$175</f>
        <v>28.5</v>
      </c>
      <c r="BE14" s="210">
        <f t="shared" si="12"/>
        <v>123456.35200000001</v>
      </c>
      <c r="BF14" s="210">
        <f t="shared" si="13"/>
        <v>-55567.73200000002</v>
      </c>
      <c r="BG14" s="210">
        <f t="shared" si="14"/>
        <v>-16018.509999999995</v>
      </c>
    </row>
    <row r="15" spans="1:59" ht="12.75">
      <c r="A15" s="157" t="s">
        <v>50</v>
      </c>
      <c r="B15" s="272">
        <v>5858.5</v>
      </c>
      <c r="C15" s="132">
        <f t="shared" si="0"/>
        <v>50090.175</v>
      </c>
      <c r="D15" s="115">
        <v>3115.59</v>
      </c>
      <c r="E15" s="226">
        <v>0</v>
      </c>
      <c r="F15" s="226"/>
      <c r="G15" s="226">
        <v>31343.45</v>
      </c>
      <c r="H15" s="226"/>
      <c r="I15" s="227">
        <v>0</v>
      </c>
      <c r="J15" s="227"/>
      <c r="K15" s="227">
        <v>0</v>
      </c>
      <c r="L15" s="227"/>
      <c r="M15" s="227">
        <v>15466.24</v>
      </c>
      <c r="N15" s="227"/>
      <c r="O15" s="227">
        <v>5373.61</v>
      </c>
      <c r="P15" s="227"/>
      <c r="Q15" s="227">
        <v>28062.2</v>
      </c>
      <c r="R15" s="228"/>
      <c r="S15" s="228">
        <v>400</v>
      </c>
      <c r="T15" s="227"/>
      <c r="U15" s="229">
        <f t="shared" si="1"/>
        <v>80645.5</v>
      </c>
      <c r="V15" s="230">
        <f t="shared" si="1"/>
        <v>0</v>
      </c>
      <c r="W15" s="231">
        <v>320.11</v>
      </c>
      <c r="X15" s="226">
        <v>31252.26</v>
      </c>
      <c r="Y15" s="226">
        <v>433.29</v>
      </c>
      <c r="Z15" s="226">
        <v>-1978.6</v>
      </c>
      <c r="AA15" s="226">
        <v>14455.37</v>
      </c>
      <c r="AB15" s="226">
        <v>5595.82</v>
      </c>
      <c r="AC15" s="226">
        <v>0</v>
      </c>
      <c r="AD15" s="226">
        <v>30186.32</v>
      </c>
      <c r="AE15" s="232">
        <v>403.69</v>
      </c>
      <c r="AF15" s="233">
        <f aca="true" t="shared" si="16" ref="AF15:AF21">SUM(W15:AE15)</f>
        <v>80668.26000000001</v>
      </c>
      <c r="AG15" s="217">
        <f aca="true" t="shared" si="17" ref="AG15:AG21">D15+V15+AF15</f>
        <v>83783.85</v>
      </c>
      <c r="AH15" s="218">
        <f t="shared" si="2"/>
        <v>0</v>
      </c>
      <c r="AI15" s="218">
        <f t="shared" si="2"/>
        <v>30186.32</v>
      </c>
      <c r="AJ15" s="219">
        <f>'[8]Т06'!$J$175</f>
        <v>114</v>
      </c>
      <c r="AK15" s="152">
        <f t="shared" si="3"/>
        <v>3925.195</v>
      </c>
      <c r="AL15" s="152">
        <f t="shared" si="4"/>
        <v>1171.7</v>
      </c>
      <c r="AM15" s="152">
        <f t="shared" si="5"/>
        <v>5858.5</v>
      </c>
      <c r="AN15" s="152">
        <f t="shared" si="6"/>
        <v>1230.2849999999999</v>
      </c>
      <c r="AO15" s="152">
        <f t="shared" si="7"/>
        <v>11834.17</v>
      </c>
      <c r="AP15" s="152">
        <f t="shared" si="8"/>
        <v>6034.255</v>
      </c>
      <c r="AQ15" s="152">
        <f t="shared" si="9"/>
        <v>4393.875</v>
      </c>
      <c r="AR15" s="152">
        <f t="shared" si="10"/>
        <v>4393.875</v>
      </c>
      <c r="AS15" s="152"/>
      <c r="AT15" s="221">
        <f t="shared" si="15"/>
        <v>357.93</v>
      </c>
      <c r="AU15" s="220">
        <v>6773</v>
      </c>
      <c r="AV15" s="220">
        <v>517</v>
      </c>
      <c r="AW15" s="220"/>
      <c r="AX15" s="220">
        <f>8.5+107.01+480+39.2+18+52+66+36+230.13+1020</f>
        <v>2056.84</v>
      </c>
      <c r="AY15" s="220"/>
      <c r="AZ15" s="152">
        <v>20023.56</v>
      </c>
      <c r="BA15" s="221"/>
      <c r="BB15" s="221"/>
      <c r="BC15" s="234">
        <f t="shared" si="11"/>
        <v>68570.185</v>
      </c>
      <c r="BD15" s="222">
        <f>'[8]Т06'!$S$175</f>
        <v>28.5</v>
      </c>
      <c r="BE15" s="210">
        <f t="shared" si="12"/>
        <v>68598.685</v>
      </c>
      <c r="BF15" s="210">
        <f t="shared" si="13"/>
        <v>15299.165000000008</v>
      </c>
      <c r="BG15" s="210">
        <f t="shared" si="14"/>
        <v>22.760000000009313</v>
      </c>
    </row>
    <row r="16" spans="1:59" ht="12.75">
      <c r="A16" s="157" t="s">
        <v>51</v>
      </c>
      <c r="B16" s="155">
        <v>5858.5</v>
      </c>
      <c r="C16" s="132">
        <f t="shared" si="0"/>
        <v>50090.175</v>
      </c>
      <c r="D16" s="115">
        <v>3115.59</v>
      </c>
      <c r="E16" s="235"/>
      <c r="F16" s="235"/>
      <c r="G16" s="235">
        <v>31327.1</v>
      </c>
      <c r="H16" s="235"/>
      <c r="I16" s="235"/>
      <c r="J16" s="235"/>
      <c r="K16" s="235"/>
      <c r="L16" s="235"/>
      <c r="M16" s="235">
        <v>15458.21</v>
      </c>
      <c r="N16" s="235"/>
      <c r="O16" s="235">
        <v>5370.85</v>
      </c>
      <c r="P16" s="235"/>
      <c r="Q16" s="235">
        <v>28062.2</v>
      </c>
      <c r="R16" s="235"/>
      <c r="S16" s="236">
        <v>1000</v>
      </c>
      <c r="T16" s="231"/>
      <c r="U16" s="237">
        <f t="shared" si="1"/>
        <v>81218.36</v>
      </c>
      <c r="V16" s="238">
        <f t="shared" si="1"/>
        <v>0</v>
      </c>
      <c r="W16" s="239">
        <v>-43.44</v>
      </c>
      <c r="X16" s="235">
        <v>23364.65</v>
      </c>
      <c r="Y16" s="235">
        <v>-58.49</v>
      </c>
      <c r="Z16" s="235">
        <v>2501.53</v>
      </c>
      <c r="AA16" s="235">
        <v>12046.51</v>
      </c>
      <c r="AB16" s="235">
        <v>4167.84</v>
      </c>
      <c r="AC16" s="226"/>
      <c r="AD16" s="235">
        <v>20940.24</v>
      </c>
      <c r="AE16" s="236">
        <v>510.16</v>
      </c>
      <c r="AF16" s="233">
        <f t="shared" si="16"/>
        <v>63429.000000000015</v>
      </c>
      <c r="AG16" s="240">
        <f t="shared" si="17"/>
        <v>66544.59000000001</v>
      </c>
      <c r="AH16" s="218">
        <f t="shared" si="2"/>
        <v>0</v>
      </c>
      <c r="AI16" s="218">
        <f t="shared" si="2"/>
        <v>20940.24</v>
      </c>
      <c r="AJ16" s="219">
        <f>'[8]Т07'!$J$179</f>
        <v>114</v>
      </c>
      <c r="AK16" s="152">
        <f t="shared" si="3"/>
        <v>3925.195</v>
      </c>
      <c r="AL16" s="152">
        <f t="shared" si="4"/>
        <v>1171.7</v>
      </c>
      <c r="AM16" s="152">
        <f t="shared" si="5"/>
        <v>5858.5</v>
      </c>
      <c r="AN16" s="152">
        <f t="shared" si="6"/>
        <v>1230.2849999999999</v>
      </c>
      <c r="AO16" s="152">
        <f t="shared" si="7"/>
        <v>11834.17</v>
      </c>
      <c r="AP16" s="152">
        <f t="shared" si="8"/>
        <v>6034.255</v>
      </c>
      <c r="AQ16" s="152">
        <f t="shared" si="9"/>
        <v>4393.875</v>
      </c>
      <c r="AR16" s="152">
        <f t="shared" si="10"/>
        <v>4393.875</v>
      </c>
      <c r="AS16" s="152"/>
      <c r="AT16" s="221">
        <f t="shared" si="15"/>
        <v>357.93</v>
      </c>
      <c r="AU16" s="220">
        <v>5683</v>
      </c>
      <c r="AV16" s="220"/>
      <c r="AW16" s="220">
        <v>1041</v>
      </c>
      <c r="AX16" s="220">
        <f>160+36+1410.18+240+96.43+18.86+32.56+1020</f>
        <v>3014.0299999999997</v>
      </c>
      <c r="AY16" s="220"/>
      <c r="AZ16" s="128">
        <v>21766.48</v>
      </c>
      <c r="BA16" s="221">
        <v>32606</v>
      </c>
      <c r="BB16" s="221"/>
      <c r="BC16" s="196">
        <f>SUM(AK16:AZ16)</f>
        <v>70704.295</v>
      </c>
      <c r="BD16" s="222">
        <f>'[8]Т07'!$S$179</f>
        <v>28.5</v>
      </c>
      <c r="BE16" s="210">
        <f t="shared" si="12"/>
        <v>70732.795</v>
      </c>
      <c r="BF16" s="210">
        <f t="shared" si="13"/>
        <v>-4074.204999999987</v>
      </c>
      <c r="BG16" s="210">
        <f t="shared" si="14"/>
        <v>-17789.359999999986</v>
      </c>
    </row>
    <row r="17" spans="1:59" ht="12.75">
      <c r="A17" s="157" t="s">
        <v>52</v>
      </c>
      <c r="B17" s="155">
        <v>5858.5</v>
      </c>
      <c r="C17" s="132">
        <f t="shared" si="0"/>
        <v>50090.175</v>
      </c>
      <c r="D17" s="274">
        <f>3115.59+40000</f>
        <v>43115.59</v>
      </c>
      <c r="E17" s="235"/>
      <c r="F17" s="235"/>
      <c r="G17" s="235">
        <v>31320.29</v>
      </c>
      <c r="H17" s="235"/>
      <c r="I17" s="235"/>
      <c r="J17" s="235"/>
      <c r="K17" s="235"/>
      <c r="L17" s="235"/>
      <c r="M17" s="235">
        <v>15454.89</v>
      </c>
      <c r="N17" s="235"/>
      <c r="O17" s="235">
        <v>5369.68</v>
      </c>
      <c r="P17" s="235"/>
      <c r="Q17" s="235">
        <v>27844.11</v>
      </c>
      <c r="R17" s="235"/>
      <c r="S17" s="236">
        <v>600</v>
      </c>
      <c r="T17" s="232"/>
      <c r="U17" s="241">
        <f t="shared" si="1"/>
        <v>80588.97</v>
      </c>
      <c r="V17" s="242">
        <f t="shared" si="1"/>
        <v>0</v>
      </c>
      <c r="W17" s="235">
        <v>51.39</v>
      </c>
      <c r="X17" s="235">
        <v>24572.97</v>
      </c>
      <c r="Y17" s="235">
        <v>70.12</v>
      </c>
      <c r="Z17" s="235">
        <v>116.34</v>
      </c>
      <c r="AA17" s="235">
        <v>12966.93</v>
      </c>
      <c r="AB17" s="235">
        <v>4693.8</v>
      </c>
      <c r="AC17" s="235"/>
      <c r="AD17" s="235">
        <v>21085.2</v>
      </c>
      <c r="AE17" s="236">
        <v>712.14</v>
      </c>
      <c r="AF17" s="233">
        <f t="shared" si="16"/>
        <v>64268.89</v>
      </c>
      <c r="AG17" s="240">
        <f t="shared" si="17"/>
        <v>107384.48</v>
      </c>
      <c r="AH17" s="218">
        <f t="shared" si="2"/>
        <v>0</v>
      </c>
      <c r="AI17" s="218">
        <f t="shared" si="2"/>
        <v>21085.2</v>
      </c>
      <c r="AJ17" s="219">
        <f>'[8]Т08'!$J$183</f>
        <v>114</v>
      </c>
      <c r="AK17" s="152">
        <f t="shared" si="3"/>
        <v>3925.195</v>
      </c>
      <c r="AL17" s="152">
        <f t="shared" si="4"/>
        <v>1171.7</v>
      </c>
      <c r="AM17" s="152">
        <f t="shared" si="5"/>
        <v>5858.5</v>
      </c>
      <c r="AN17" s="152">
        <f t="shared" si="6"/>
        <v>1230.2849999999999</v>
      </c>
      <c r="AO17" s="152">
        <f t="shared" si="7"/>
        <v>11834.17</v>
      </c>
      <c r="AP17" s="152">
        <f t="shared" si="8"/>
        <v>6034.255</v>
      </c>
      <c r="AQ17" s="152">
        <f t="shared" si="9"/>
        <v>4393.875</v>
      </c>
      <c r="AR17" s="152">
        <f t="shared" si="10"/>
        <v>4393.875</v>
      </c>
      <c r="AS17" s="152"/>
      <c r="AT17" s="221">
        <f t="shared" si="15"/>
        <v>357.93</v>
      </c>
      <c r="AU17" s="220">
        <v>7451</v>
      </c>
      <c r="AV17" s="220"/>
      <c r="AW17" s="220">
        <v>791</v>
      </c>
      <c r="AX17" s="220">
        <f>8+480+18+27+297.39+4455+40000+528+123+1020</f>
        <v>46956.39</v>
      </c>
      <c r="AY17" s="220"/>
      <c r="AZ17" s="128">
        <v>21778.14</v>
      </c>
      <c r="BA17" s="221"/>
      <c r="BB17" s="221"/>
      <c r="BC17" s="196">
        <f t="shared" si="11"/>
        <v>116176.31499999999</v>
      </c>
      <c r="BD17" s="222">
        <f>'[8]Т08'!$S$183</f>
        <v>28.5</v>
      </c>
      <c r="BE17" s="210">
        <f t="shared" si="12"/>
        <v>116204.81499999999</v>
      </c>
      <c r="BF17" s="210">
        <f t="shared" si="13"/>
        <v>-8706.334999999992</v>
      </c>
      <c r="BG17" s="210">
        <f t="shared" si="14"/>
        <v>-16320.080000000002</v>
      </c>
    </row>
    <row r="18" spans="1:59" ht="12.75">
      <c r="A18" s="157" t="s">
        <v>53</v>
      </c>
      <c r="B18" s="155">
        <v>5858.5</v>
      </c>
      <c r="C18" s="132">
        <f t="shared" si="0"/>
        <v>50090.175</v>
      </c>
      <c r="D18" s="249">
        <v>2387.5139999999997</v>
      </c>
      <c r="E18" s="235"/>
      <c r="F18" s="235"/>
      <c r="G18" s="235">
        <v>31681.02</v>
      </c>
      <c r="H18" s="235"/>
      <c r="I18" s="235"/>
      <c r="J18" s="235"/>
      <c r="K18" s="235"/>
      <c r="L18" s="235"/>
      <c r="M18" s="235">
        <v>15454.87</v>
      </c>
      <c r="N18" s="235"/>
      <c r="O18" s="235">
        <v>5369.67</v>
      </c>
      <c r="P18" s="235"/>
      <c r="Q18" s="235">
        <v>27844.19</v>
      </c>
      <c r="R18" s="235"/>
      <c r="S18" s="236">
        <v>600</v>
      </c>
      <c r="T18" s="243"/>
      <c r="U18" s="243">
        <f t="shared" si="1"/>
        <v>80949.75</v>
      </c>
      <c r="V18" s="244">
        <f t="shared" si="1"/>
        <v>0</v>
      </c>
      <c r="W18" s="235">
        <v>692.57</v>
      </c>
      <c r="X18" s="235">
        <v>30947.12</v>
      </c>
      <c r="Y18" s="235">
        <v>938.24</v>
      </c>
      <c r="Z18" s="235">
        <v>1560.69</v>
      </c>
      <c r="AA18" s="235">
        <v>17451.55</v>
      </c>
      <c r="AB18" s="235">
        <v>5839.66</v>
      </c>
      <c r="AC18" s="235"/>
      <c r="AD18" s="235">
        <v>27918.18</v>
      </c>
      <c r="AE18" s="236">
        <v>705.5</v>
      </c>
      <c r="AF18" s="233">
        <f t="shared" si="16"/>
        <v>86053.51000000001</v>
      </c>
      <c r="AG18" s="240">
        <f t="shared" si="17"/>
        <v>88441.024</v>
      </c>
      <c r="AH18" s="218">
        <f t="shared" si="2"/>
        <v>0</v>
      </c>
      <c r="AI18" s="218">
        <f t="shared" si="2"/>
        <v>27918.18</v>
      </c>
      <c r="AJ18" s="219">
        <f>'[8]Т09'!$J$183</f>
        <v>114</v>
      </c>
      <c r="AK18" s="152">
        <f t="shared" si="3"/>
        <v>3925.195</v>
      </c>
      <c r="AL18" s="152">
        <f t="shared" si="4"/>
        <v>1171.7</v>
      </c>
      <c r="AM18" s="152">
        <f t="shared" si="5"/>
        <v>5858.5</v>
      </c>
      <c r="AN18" s="152">
        <f t="shared" si="6"/>
        <v>1230.2849999999999</v>
      </c>
      <c r="AO18" s="152">
        <f t="shared" si="7"/>
        <v>11834.17</v>
      </c>
      <c r="AP18" s="152">
        <f t="shared" si="8"/>
        <v>6034.255</v>
      </c>
      <c r="AQ18" s="152">
        <f t="shared" si="9"/>
        <v>4393.875</v>
      </c>
      <c r="AR18" s="152">
        <f t="shared" si="10"/>
        <v>4393.875</v>
      </c>
      <c r="AS18" s="152"/>
      <c r="AT18" s="221">
        <f t="shared" si="15"/>
        <v>357.93</v>
      </c>
      <c r="AU18" s="220"/>
      <c r="AV18" s="220"/>
      <c r="AW18" s="220"/>
      <c r="AX18" s="220">
        <f>453.9</f>
        <v>453.9</v>
      </c>
      <c r="AY18" s="220"/>
      <c r="AZ18" s="128">
        <v>19704.39</v>
      </c>
      <c r="BA18" s="221"/>
      <c r="BB18" s="221"/>
      <c r="BC18" s="196">
        <f t="shared" si="11"/>
        <v>59358.075</v>
      </c>
      <c r="BD18" s="222">
        <f>'[8]Т08'!$S$183</f>
        <v>28.5</v>
      </c>
      <c r="BE18" s="210">
        <f t="shared" si="12"/>
        <v>59386.575</v>
      </c>
      <c r="BF18" s="210">
        <f t="shared" si="13"/>
        <v>29168.449000000008</v>
      </c>
      <c r="BG18" s="210">
        <f t="shared" si="14"/>
        <v>5103.760000000009</v>
      </c>
    </row>
    <row r="19" spans="1:59" ht="12.75">
      <c r="A19" s="157" t="s">
        <v>41</v>
      </c>
      <c r="B19" s="275">
        <v>5860.1</v>
      </c>
      <c r="C19" s="132">
        <f t="shared" si="0"/>
        <v>50103.85500000001</v>
      </c>
      <c r="D19" s="249">
        <v>2387.5139999999997</v>
      </c>
      <c r="E19" s="226"/>
      <c r="F19" s="226"/>
      <c r="G19" s="226">
        <v>31893.99</v>
      </c>
      <c r="H19" s="226"/>
      <c r="I19" s="226"/>
      <c r="J19" s="226"/>
      <c r="K19" s="226"/>
      <c r="L19" s="226"/>
      <c r="M19" s="226">
        <v>15461.24</v>
      </c>
      <c r="N19" s="226"/>
      <c r="O19" s="226">
        <v>5371.87</v>
      </c>
      <c r="P19" s="226"/>
      <c r="Q19" s="226">
        <v>28069.95</v>
      </c>
      <c r="R19" s="226"/>
      <c r="S19" s="232">
        <v>600</v>
      </c>
      <c r="T19" s="245"/>
      <c r="U19" s="246">
        <f t="shared" si="1"/>
        <v>81397.05</v>
      </c>
      <c r="V19" s="247">
        <f t="shared" si="1"/>
        <v>0</v>
      </c>
      <c r="W19" s="226">
        <v>0</v>
      </c>
      <c r="X19" s="226">
        <v>26998.57</v>
      </c>
      <c r="Y19" s="226">
        <v>0</v>
      </c>
      <c r="Z19" s="226">
        <v>0</v>
      </c>
      <c r="AA19" s="226">
        <v>13207.64</v>
      </c>
      <c r="AB19" s="226">
        <v>4637.12</v>
      </c>
      <c r="AC19" s="226"/>
      <c r="AD19" s="226">
        <v>23631.42</v>
      </c>
      <c r="AE19" s="232">
        <v>568.1</v>
      </c>
      <c r="AF19" s="233">
        <f t="shared" si="16"/>
        <v>69042.85</v>
      </c>
      <c r="AG19" s="240">
        <f t="shared" si="17"/>
        <v>71430.364</v>
      </c>
      <c r="AH19" s="218">
        <f t="shared" si="2"/>
        <v>0</v>
      </c>
      <c r="AI19" s="218">
        <f t="shared" si="2"/>
        <v>23631.42</v>
      </c>
      <c r="AJ19" s="219">
        <f>'[10]Т10'!$J$183</f>
        <v>114</v>
      </c>
      <c r="AK19" s="152">
        <f t="shared" si="3"/>
        <v>3926.2670000000003</v>
      </c>
      <c r="AL19" s="152">
        <f t="shared" si="4"/>
        <v>1172.0200000000002</v>
      </c>
      <c r="AM19" s="152">
        <f t="shared" si="5"/>
        <v>5860.1</v>
      </c>
      <c r="AN19" s="152">
        <f t="shared" si="6"/>
        <v>1230.621</v>
      </c>
      <c r="AO19" s="152">
        <f t="shared" si="7"/>
        <v>11837.402</v>
      </c>
      <c r="AP19" s="152">
        <f t="shared" si="8"/>
        <v>6035.903</v>
      </c>
      <c r="AQ19" s="152">
        <f t="shared" si="9"/>
        <v>4395.075000000001</v>
      </c>
      <c r="AR19" s="152">
        <f t="shared" si="10"/>
        <v>4395.075000000001</v>
      </c>
      <c r="AS19" s="248">
        <f>B19*1.15</f>
        <v>6739.115</v>
      </c>
      <c r="AT19" s="221">
        <f t="shared" si="15"/>
        <v>357.93</v>
      </c>
      <c r="AU19" s="220">
        <v>6234</v>
      </c>
      <c r="AV19" s="220"/>
      <c r="AW19" s="220">
        <v>311</v>
      </c>
      <c r="AX19" s="220">
        <f>41.8+244+32+12+282+244+79+28+32+12+40+16+40+198.26</f>
        <v>1301.06</v>
      </c>
      <c r="AY19" s="220"/>
      <c r="AZ19" s="128">
        <v>23757.79</v>
      </c>
      <c r="BA19" s="221"/>
      <c r="BB19" s="221"/>
      <c r="BC19" s="196">
        <f t="shared" si="11"/>
        <v>77553.35800000001</v>
      </c>
      <c r="BD19" s="222">
        <f>'[11]Т10'!$S$183</f>
        <v>28.5</v>
      </c>
      <c r="BE19" s="210">
        <f t="shared" si="12"/>
        <v>77581.85800000001</v>
      </c>
      <c r="BF19" s="210">
        <f t="shared" si="13"/>
        <v>-6037.494000000006</v>
      </c>
      <c r="BG19" s="210">
        <f t="shared" si="14"/>
        <v>-12354.199999999997</v>
      </c>
    </row>
    <row r="20" spans="1:59" ht="12.75">
      <c r="A20" s="157" t="s">
        <v>42</v>
      </c>
      <c r="B20" s="276">
        <v>5858.5</v>
      </c>
      <c r="C20" s="132">
        <f t="shared" si="0"/>
        <v>50090.175</v>
      </c>
      <c r="D20" s="249">
        <v>2387.5139999999997</v>
      </c>
      <c r="E20" s="226"/>
      <c r="F20" s="226"/>
      <c r="G20" s="226">
        <v>31694.89</v>
      </c>
      <c r="H20" s="226"/>
      <c r="I20" s="226"/>
      <c r="J20" s="226"/>
      <c r="K20" s="226"/>
      <c r="L20" s="226"/>
      <c r="M20" s="226">
        <v>15461.65</v>
      </c>
      <c r="N20" s="226"/>
      <c r="O20" s="226">
        <v>5372</v>
      </c>
      <c r="P20" s="226"/>
      <c r="Q20" s="226">
        <v>28069.93</v>
      </c>
      <c r="R20" s="226"/>
      <c r="S20" s="232">
        <v>600</v>
      </c>
      <c r="T20" s="245"/>
      <c r="U20" s="246">
        <f t="shared" si="1"/>
        <v>81198.47</v>
      </c>
      <c r="V20" s="247">
        <f t="shared" si="1"/>
        <v>0</v>
      </c>
      <c r="W20" s="226">
        <v>0</v>
      </c>
      <c r="X20" s="226">
        <v>30983.72</v>
      </c>
      <c r="Y20" s="226">
        <v>0</v>
      </c>
      <c r="Z20" s="226">
        <v>0</v>
      </c>
      <c r="AA20" s="226">
        <v>15115.02</v>
      </c>
      <c r="AB20" s="226">
        <v>5251.33</v>
      </c>
      <c r="AC20" s="226"/>
      <c r="AD20" s="226">
        <v>26976.2</v>
      </c>
      <c r="AE20" s="232">
        <v>499.24</v>
      </c>
      <c r="AF20" s="233">
        <f t="shared" si="16"/>
        <v>78825.51000000001</v>
      </c>
      <c r="AG20" s="240">
        <f t="shared" si="17"/>
        <v>81213.024</v>
      </c>
      <c r="AH20" s="218">
        <f t="shared" si="2"/>
        <v>0</v>
      </c>
      <c r="AI20" s="218">
        <f t="shared" si="2"/>
        <v>26976.2</v>
      </c>
      <c r="AJ20" s="219">
        <f>'[11]Т11'!$J$183</f>
        <v>114</v>
      </c>
      <c r="AK20" s="152">
        <f t="shared" si="3"/>
        <v>3925.195</v>
      </c>
      <c r="AL20" s="152">
        <f t="shared" si="4"/>
        <v>1171.7</v>
      </c>
      <c r="AM20" s="152">
        <f t="shared" si="5"/>
        <v>5858.5</v>
      </c>
      <c r="AN20" s="152">
        <f t="shared" si="6"/>
        <v>1230.2849999999999</v>
      </c>
      <c r="AO20" s="152">
        <f t="shared" si="7"/>
        <v>11834.17</v>
      </c>
      <c r="AP20" s="152">
        <f t="shared" si="8"/>
        <v>6034.255</v>
      </c>
      <c r="AQ20" s="152">
        <f t="shared" si="9"/>
        <v>4393.875</v>
      </c>
      <c r="AR20" s="152">
        <f t="shared" si="10"/>
        <v>4393.875</v>
      </c>
      <c r="AS20" s="248">
        <f>B20*1.15</f>
        <v>6737.275</v>
      </c>
      <c r="AT20" s="221">
        <f t="shared" si="15"/>
        <v>357.93</v>
      </c>
      <c r="AU20" s="220"/>
      <c r="AV20" s="220"/>
      <c r="AW20" s="220">
        <v>345</v>
      </c>
      <c r="AX20" s="220">
        <f>26.34+54.91</f>
        <v>81.25</v>
      </c>
      <c r="AY20" s="220"/>
      <c r="AZ20" s="128">
        <v>20805.11</v>
      </c>
      <c r="BA20" s="221"/>
      <c r="BB20" s="221"/>
      <c r="BC20" s="196">
        <f t="shared" si="11"/>
        <v>67168.42</v>
      </c>
      <c r="BD20" s="222">
        <f>'[11]Т11'!$S$183</f>
        <v>28.5</v>
      </c>
      <c r="BE20" s="210">
        <f t="shared" si="12"/>
        <v>67196.92</v>
      </c>
      <c r="BF20" s="210">
        <f t="shared" si="13"/>
        <v>14130.104000000007</v>
      </c>
      <c r="BG20" s="210">
        <f t="shared" si="14"/>
        <v>-2372.959999999992</v>
      </c>
    </row>
    <row r="21" spans="1:59" ht="13.5" thickBot="1">
      <c r="A21" s="157" t="s">
        <v>43</v>
      </c>
      <c r="B21" s="275">
        <v>5860.1</v>
      </c>
      <c r="C21" s="132">
        <f t="shared" si="0"/>
        <v>50103.85500000001</v>
      </c>
      <c r="D21" s="249">
        <v>2387.5139999999997</v>
      </c>
      <c r="E21" s="250"/>
      <c r="F21" s="250"/>
      <c r="G21" s="250">
        <v>31714.91</v>
      </c>
      <c r="H21" s="250"/>
      <c r="I21" s="250"/>
      <c r="J21" s="250"/>
      <c r="K21" s="250"/>
      <c r="L21" s="250"/>
      <c r="M21" s="250">
        <v>15471.5</v>
      </c>
      <c r="N21" s="250"/>
      <c r="O21" s="250">
        <v>50375.42</v>
      </c>
      <c r="P21" s="250"/>
      <c r="Q21" s="250">
        <v>27634.63</v>
      </c>
      <c r="R21" s="250"/>
      <c r="S21" s="251">
        <v>700</v>
      </c>
      <c r="T21" s="252"/>
      <c r="U21" s="246">
        <f t="shared" si="1"/>
        <v>125896.46</v>
      </c>
      <c r="V21" s="247">
        <f t="shared" si="1"/>
        <v>0</v>
      </c>
      <c r="W21" s="226">
        <v>0</v>
      </c>
      <c r="X21" s="226">
        <v>37633.74</v>
      </c>
      <c r="Y21" s="226">
        <v>0</v>
      </c>
      <c r="Z21" s="226">
        <v>0</v>
      </c>
      <c r="AA21" s="226">
        <v>21416.36</v>
      </c>
      <c r="AB21" s="226">
        <v>6263.12</v>
      </c>
      <c r="AC21" s="226"/>
      <c r="AD21" s="226">
        <v>31831.23</v>
      </c>
      <c r="AE21" s="232">
        <v>1316.84</v>
      </c>
      <c r="AF21" s="233">
        <f t="shared" si="16"/>
        <v>98461.29</v>
      </c>
      <c r="AG21" s="240">
        <f t="shared" si="17"/>
        <v>100848.80399999999</v>
      </c>
      <c r="AH21" s="218">
        <f t="shared" si="2"/>
        <v>0</v>
      </c>
      <c r="AI21" s="218">
        <f t="shared" si="2"/>
        <v>31831.23</v>
      </c>
      <c r="AJ21" s="219">
        <f>'[11]Т12'!$J$207</f>
        <v>114</v>
      </c>
      <c r="AK21" s="152">
        <f t="shared" si="3"/>
        <v>3926.2670000000003</v>
      </c>
      <c r="AL21" s="152">
        <f t="shared" si="4"/>
        <v>1172.0200000000002</v>
      </c>
      <c r="AM21" s="152">
        <f t="shared" si="5"/>
        <v>5860.1</v>
      </c>
      <c r="AN21" s="152">
        <f t="shared" si="6"/>
        <v>1230.621</v>
      </c>
      <c r="AO21" s="152">
        <f t="shared" si="7"/>
        <v>11837.402</v>
      </c>
      <c r="AP21" s="152">
        <f t="shared" si="8"/>
        <v>6035.903</v>
      </c>
      <c r="AQ21" s="152">
        <f t="shared" si="9"/>
        <v>4395.075000000001</v>
      </c>
      <c r="AR21" s="152">
        <f t="shared" si="10"/>
        <v>4395.075000000001</v>
      </c>
      <c r="AS21" s="248">
        <f>B21*1.15</f>
        <v>6739.115</v>
      </c>
      <c r="AT21" s="221">
        <f t="shared" si="15"/>
        <v>357.93</v>
      </c>
      <c r="AU21" s="220"/>
      <c r="AV21" s="220"/>
      <c r="AW21" s="220"/>
      <c r="AX21" s="220">
        <f>500</f>
        <v>500</v>
      </c>
      <c r="AY21" s="220"/>
      <c r="AZ21" s="128">
        <v>20439.36</v>
      </c>
      <c r="BA21" s="221"/>
      <c r="BB21" s="221"/>
      <c r="BC21" s="196">
        <f t="shared" si="11"/>
        <v>66888.868</v>
      </c>
      <c r="BD21" s="222">
        <f>'[11]Т12'!$S$207</f>
        <v>28.5</v>
      </c>
      <c r="BE21" s="210">
        <f t="shared" si="12"/>
        <v>66917.368</v>
      </c>
      <c r="BF21" s="210">
        <f t="shared" si="13"/>
        <v>34045.43599999999</v>
      </c>
      <c r="BG21" s="210">
        <f t="shared" si="14"/>
        <v>-27435.170000000013</v>
      </c>
    </row>
    <row r="22" spans="1:59" s="28" customFormat="1" ht="13.5" thickBot="1">
      <c r="A22" s="253" t="s">
        <v>5</v>
      </c>
      <c r="B22" s="254"/>
      <c r="C22" s="255">
        <f aca="true" t="shared" si="18" ref="C22:BF22">SUM(C10:C21)</f>
        <v>601287.2999999999</v>
      </c>
      <c r="D22" s="255">
        <f t="shared" si="18"/>
        <v>74474.77599999998</v>
      </c>
      <c r="E22" s="255">
        <f t="shared" si="18"/>
        <v>0</v>
      </c>
      <c r="F22" s="255">
        <f t="shared" si="18"/>
        <v>0</v>
      </c>
      <c r="G22" s="255">
        <f t="shared" si="18"/>
        <v>377790.33</v>
      </c>
      <c r="H22" s="255">
        <f t="shared" si="18"/>
        <v>0</v>
      </c>
      <c r="I22" s="255">
        <f t="shared" si="18"/>
        <v>0</v>
      </c>
      <c r="J22" s="255">
        <f t="shared" si="18"/>
        <v>0</v>
      </c>
      <c r="K22" s="255">
        <f t="shared" si="18"/>
        <v>0</v>
      </c>
      <c r="L22" s="255">
        <f t="shared" si="18"/>
        <v>0</v>
      </c>
      <c r="M22" s="255">
        <f t="shared" si="18"/>
        <v>185607.76</v>
      </c>
      <c r="N22" s="255">
        <f t="shared" si="18"/>
        <v>0</v>
      </c>
      <c r="O22" s="255">
        <f t="shared" si="18"/>
        <v>111087.82</v>
      </c>
      <c r="P22" s="255">
        <f t="shared" si="18"/>
        <v>0</v>
      </c>
      <c r="Q22" s="255">
        <f t="shared" si="18"/>
        <v>335246.72000000003</v>
      </c>
      <c r="R22" s="255">
        <f t="shared" si="18"/>
        <v>0</v>
      </c>
      <c r="S22" s="255">
        <f t="shared" si="18"/>
        <v>6500</v>
      </c>
      <c r="T22" s="255">
        <f t="shared" si="18"/>
        <v>0</v>
      </c>
      <c r="U22" s="255">
        <f t="shared" si="18"/>
        <v>1016232.63</v>
      </c>
      <c r="V22" s="255">
        <f t="shared" si="18"/>
        <v>0</v>
      </c>
      <c r="W22" s="255">
        <f t="shared" si="18"/>
        <v>6249.41</v>
      </c>
      <c r="X22" s="255">
        <f t="shared" si="18"/>
        <v>308402.53</v>
      </c>
      <c r="Y22" s="255">
        <f t="shared" si="18"/>
        <v>8466.060000000001</v>
      </c>
      <c r="Z22" s="255">
        <f t="shared" si="18"/>
        <v>16340.100000000002</v>
      </c>
      <c r="AA22" s="255">
        <f t="shared" si="18"/>
        <v>170376.07</v>
      </c>
      <c r="AB22" s="255">
        <f t="shared" si="18"/>
        <v>57849.58</v>
      </c>
      <c r="AC22" s="255">
        <f t="shared" si="18"/>
        <v>0</v>
      </c>
      <c r="AD22" s="255">
        <f t="shared" si="18"/>
        <v>280158.37</v>
      </c>
      <c r="AE22" s="255">
        <f t="shared" si="18"/>
        <v>6402.13</v>
      </c>
      <c r="AF22" s="255">
        <f t="shared" si="18"/>
        <v>854244.25</v>
      </c>
      <c r="AG22" s="255">
        <f t="shared" si="18"/>
        <v>928719.0260000001</v>
      </c>
      <c r="AH22" s="255">
        <f t="shared" si="18"/>
        <v>0</v>
      </c>
      <c r="AI22" s="255">
        <f t="shared" si="18"/>
        <v>280158.37</v>
      </c>
      <c r="AJ22" s="255">
        <f t="shared" si="18"/>
        <v>1368</v>
      </c>
      <c r="AK22" s="255">
        <f t="shared" si="18"/>
        <v>47118.42</v>
      </c>
      <c r="AL22" s="255">
        <f t="shared" si="18"/>
        <v>14065.200000000003</v>
      </c>
      <c r="AM22" s="255">
        <f t="shared" si="18"/>
        <v>70326</v>
      </c>
      <c r="AN22" s="255">
        <f t="shared" si="18"/>
        <v>14768.46</v>
      </c>
      <c r="AO22" s="255">
        <f t="shared" si="18"/>
        <v>142058.52</v>
      </c>
      <c r="AP22" s="255">
        <f t="shared" si="18"/>
        <v>72435.78</v>
      </c>
      <c r="AQ22" s="255">
        <f t="shared" si="18"/>
        <v>52744.5</v>
      </c>
      <c r="AR22" s="255">
        <f t="shared" si="18"/>
        <v>52744.5</v>
      </c>
      <c r="AS22" s="255">
        <f t="shared" si="18"/>
        <v>40446.88</v>
      </c>
      <c r="AT22" s="255">
        <f t="shared" si="18"/>
        <v>4295.159999999999</v>
      </c>
      <c r="AU22" s="255">
        <f t="shared" si="18"/>
        <v>126617</v>
      </c>
      <c r="AV22" s="255">
        <f t="shared" si="18"/>
        <v>837</v>
      </c>
      <c r="AW22" s="255">
        <f t="shared" si="18"/>
        <v>6783</v>
      </c>
      <c r="AX22" s="255">
        <f t="shared" si="18"/>
        <v>61968.64</v>
      </c>
      <c r="AY22" s="255">
        <f t="shared" si="18"/>
        <v>0</v>
      </c>
      <c r="AZ22" s="255">
        <f t="shared" si="18"/>
        <v>247586.55000000005</v>
      </c>
      <c r="BA22" s="255">
        <f t="shared" si="18"/>
        <v>32606</v>
      </c>
      <c r="BB22" s="255">
        <f t="shared" si="18"/>
        <v>0</v>
      </c>
      <c r="BC22" s="255">
        <f t="shared" si="18"/>
        <v>954795.61</v>
      </c>
      <c r="BD22" s="255">
        <f t="shared" si="18"/>
        <v>342</v>
      </c>
      <c r="BE22" s="255">
        <f t="shared" si="18"/>
        <v>955137.61</v>
      </c>
      <c r="BF22" s="255">
        <f t="shared" si="18"/>
        <v>-25050.58400000003</v>
      </c>
      <c r="BG22" s="255">
        <f>SUM(BG10:BG21)</f>
        <v>-161988.37999999995</v>
      </c>
    </row>
    <row r="23" spans="1:59" s="28" customFormat="1" ht="13.5" thickBot="1">
      <c r="A23" s="256"/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8"/>
      <c r="BF23" s="257"/>
      <c r="BG23" s="259"/>
    </row>
    <row r="24" spans="1:59" s="28" customFormat="1" ht="13.5" thickBot="1">
      <c r="A24" s="33" t="s">
        <v>54</v>
      </c>
      <c r="B24" s="257"/>
      <c r="C24" s="260">
        <f aca="true" t="shared" si="19" ref="C24:L24">C22+C8</f>
        <v>1970629.875</v>
      </c>
      <c r="D24" s="260">
        <f t="shared" si="19"/>
        <v>233569.8503053</v>
      </c>
      <c r="E24" s="260">
        <f t="shared" si="19"/>
        <v>121129.63</v>
      </c>
      <c r="F24" s="260">
        <f t="shared" si="19"/>
        <v>17984.75</v>
      </c>
      <c r="G24" s="260">
        <f t="shared" si="19"/>
        <v>377790.33</v>
      </c>
      <c r="H24" s="260">
        <f t="shared" si="19"/>
        <v>0</v>
      </c>
      <c r="I24" s="260">
        <f t="shared" si="19"/>
        <v>163960.53</v>
      </c>
      <c r="J24" s="260">
        <f t="shared" si="19"/>
        <v>24348.86</v>
      </c>
      <c r="K24" s="260">
        <f t="shared" si="19"/>
        <v>272976.22</v>
      </c>
      <c r="L24" s="260">
        <f t="shared" si="19"/>
        <v>40535.200000000004</v>
      </c>
      <c r="M24" s="260" t="e">
        <f>#REF!</f>
        <v>#REF!</v>
      </c>
      <c r="N24" s="260">
        <f aca="true" t="shared" si="20" ref="N24:BG24">N22+N8</f>
        <v>58519.59999999999</v>
      </c>
      <c r="O24" s="260">
        <f t="shared" si="20"/>
        <v>207990.87000000002</v>
      </c>
      <c r="P24" s="260">
        <f t="shared" si="20"/>
        <v>14387.510000000002</v>
      </c>
      <c r="Q24" s="260">
        <f t="shared" si="20"/>
        <v>503804.76000000007</v>
      </c>
      <c r="R24" s="260">
        <f t="shared" si="20"/>
        <v>12797.670000000002</v>
      </c>
      <c r="S24" s="260">
        <f t="shared" si="20"/>
        <v>6500</v>
      </c>
      <c r="T24" s="260">
        <f t="shared" si="20"/>
        <v>0</v>
      </c>
      <c r="U24" s="260">
        <f t="shared" si="20"/>
        <v>2233858.09</v>
      </c>
      <c r="V24" s="260">
        <f t="shared" si="20"/>
        <v>168573.59</v>
      </c>
      <c r="W24" s="260">
        <f t="shared" si="20"/>
        <v>118812.97</v>
      </c>
      <c r="X24" s="260">
        <f t="shared" si="20"/>
        <v>308402.53</v>
      </c>
      <c r="Y24" s="260">
        <f t="shared" si="20"/>
        <v>160802.38</v>
      </c>
      <c r="Z24" s="260">
        <f t="shared" si="20"/>
        <v>271616.89999999997</v>
      </c>
      <c r="AA24" s="260">
        <f t="shared" si="20"/>
        <v>540292.8200000001</v>
      </c>
      <c r="AB24" s="260">
        <f t="shared" si="20"/>
        <v>147898.91</v>
      </c>
      <c r="AC24" s="260">
        <f t="shared" si="20"/>
        <v>0</v>
      </c>
      <c r="AD24" s="260">
        <f t="shared" si="20"/>
        <v>457766.32</v>
      </c>
      <c r="AE24" s="260">
        <f t="shared" si="20"/>
        <v>6402.13</v>
      </c>
      <c r="AF24" s="260">
        <f t="shared" si="20"/>
        <v>2011994.96</v>
      </c>
      <c r="AG24" s="260">
        <f t="shared" si="20"/>
        <v>2414138.4003053</v>
      </c>
      <c r="AH24" s="260">
        <f t="shared" si="20"/>
        <v>0</v>
      </c>
      <c r="AI24" s="260">
        <f t="shared" si="20"/>
        <v>470563.99</v>
      </c>
      <c r="AJ24" s="260">
        <f t="shared" si="20"/>
        <v>1818</v>
      </c>
      <c r="AK24" s="260">
        <f t="shared" si="20"/>
        <v>140694.08399999997</v>
      </c>
      <c r="AL24" s="260">
        <f t="shared" si="20"/>
        <v>45420.82496400001</v>
      </c>
      <c r="AM24" s="260">
        <f t="shared" si="20"/>
        <v>225665.06557361</v>
      </c>
      <c r="AN24" s="260">
        <f t="shared" si="20"/>
        <v>14768.46</v>
      </c>
      <c r="AO24" s="260">
        <f t="shared" si="20"/>
        <v>297000.45780762244</v>
      </c>
      <c r="AP24" s="260">
        <f t="shared" si="20"/>
        <v>419041.35969483724</v>
      </c>
      <c r="AQ24" s="260">
        <f t="shared" si="20"/>
        <v>52744.5</v>
      </c>
      <c r="AR24" s="260">
        <f t="shared" si="20"/>
        <v>52744.5</v>
      </c>
      <c r="AS24" s="260">
        <f t="shared" si="20"/>
        <v>40446.88</v>
      </c>
      <c r="AT24" s="260">
        <f t="shared" si="20"/>
        <v>8590.32</v>
      </c>
      <c r="AU24" s="260">
        <f t="shared" si="20"/>
        <v>374359.1264</v>
      </c>
      <c r="AV24" s="260">
        <f t="shared" si="20"/>
        <v>837</v>
      </c>
      <c r="AW24" s="261">
        <f t="shared" si="20"/>
        <v>153881.13</v>
      </c>
      <c r="AX24" s="261">
        <f t="shared" si="20"/>
        <v>76460.6566</v>
      </c>
      <c r="AY24" s="261">
        <f t="shared" si="20"/>
        <v>126246.7248</v>
      </c>
      <c r="AZ24" s="261">
        <f t="shared" si="20"/>
        <v>484146.5143259839</v>
      </c>
      <c r="BA24" s="261">
        <f t="shared" si="20"/>
        <v>32606</v>
      </c>
      <c r="BB24" s="261">
        <f t="shared" si="20"/>
        <v>0</v>
      </c>
      <c r="BC24" s="261">
        <f t="shared" si="20"/>
        <v>2513047.6041660532</v>
      </c>
      <c r="BD24" s="261">
        <f t="shared" si="20"/>
        <v>454.5</v>
      </c>
      <c r="BE24" s="261">
        <f t="shared" si="20"/>
        <v>2513502.1041660532</v>
      </c>
      <c r="BF24" s="261">
        <f t="shared" si="20"/>
        <v>-97545.70386075343</v>
      </c>
      <c r="BG24" s="261">
        <f t="shared" si="20"/>
        <v>-221863.13</v>
      </c>
    </row>
    <row r="25" spans="1:59" ht="12.75">
      <c r="A25" s="5" t="s">
        <v>124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94"/>
      <c r="BF25" s="193"/>
      <c r="BG25" s="195"/>
    </row>
    <row r="26" spans="1:59" ht="12.75">
      <c r="A26" s="157" t="s">
        <v>45</v>
      </c>
      <c r="B26" s="275">
        <v>5859.2</v>
      </c>
      <c r="C26" s="132">
        <f aca="true" t="shared" si="21" ref="C26:C31">B26*8.55</f>
        <v>50096.16</v>
      </c>
      <c r="D26" s="249">
        <v>2387.5139999999997</v>
      </c>
      <c r="E26" s="226"/>
      <c r="F26" s="226"/>
      <c r="G26" s="226">
        <v>31706.9</v>
      </c>
      <c r="H26" s="226"/>
      <c r="I26" s="226"/>
      <c r="J26" s="226"/>
      <c r="K26" s="226"/>
      <c r="L26" s="226"/>
      <c r="M26" s="226">
        <v>15467.58</v>
      </c>
      <c r="N26" s="226"/>
      <c r="O26" s="226">
        <v>5374.06</v>
      </c>
      <c r="P26" s="226"/>
      <c r="Q26" s="226">
        <v>22405.49</v>
      </c>
      <c r="R26" s="226"/>
      <c r="S26" s="232">
        <v>700</v>
      </c>
      <c r="T26" s="252"/>
      <c r="U26" s="246">
        <f aca="true" t="shared" si="22" ref="U26:V31">E26+G26+I26+K26+M26+O26+Q26+S26</f>
        <v>75654.03</v>
      </c>
      <c r="V26" s="247">
        <f t="shared" si="22"/>
        <v>0</v>
      </c>
      <c r="W26" s="226">
        <v>0</v>
      </c>
      <c r="X26" s="226">
        <v>20211.43</v>
      </c>
      <c r="Y26" s="226">
        <v>0</v>
      </c>
      <c r="Z26" s="226">
        <v>0</v>
      </c>
      <c r="AA26" s="226">
        <v>9693.91</v>
      </c>
      <c r="AB26" s="226">
        <v>3403.85</v>
      </c>
      <c r="AC26" s="226"/>
      <c r="AD26" s="226">
        <v>19688.32</v>
      </c>
      <c r="AE26" s="232">
        <v>326.04</v>
      </c>
      <c r="AF26" s="233">
        <f aca="true" t="shared" si="23" ref="AF26:AF31">SUM(W26:AE26)</f>
        <v>53323.55</v>
      </c>
      <c r="AG26" s="240">
        <f aca="true" t="shared" si="24" ref="AG26:AG37">D26+V26+AF26</f>
        <v>55711.064000000006</v>
      </c>
      <c r="AH26" s="218">
        <f aca="true" t="shared" si="25" ref="AH26:AI37">AC26</f>
        <v>0</v>
      </c>
      <c r="AI26" s="218">
        <f t="shared" si="25"/>
        <v>19688.32</v>
      </c>
      <c r="AJ26" s="219">
        <f>'[13]Т01'!$J$205</f>
        <v>114</v>
      </c>
      <c r="AK26" s="152">
        <f aca="true" t="shared" si="26" ref="AK26:AK31">0.67*B26</f>
        <v>3925.664</v>
      </c>
      <c r="AL26" s="152">
        <f aca="true" t="shared" si="27" ref="AL26:AL37">B26*0.2</f>
        <v>1171.84</v>
      </c>
      <c r="AM26" s="152">
        <f aca="true" t="shared" si="28" ref="AM26:AM37">B26*1</f>
        <v>5859.2</v>
      </c>
      <c r="AN26" s="152">
        <f aca="true" t="shared" si="29" ref="AN26:AN37">B26*0.21</f>
        <v>1230.432</v>
      </c>
      <c r="AO26" s="152">
        <f aca="true" t="shared" si="30" ref="AO26:AO37">2.02*B26</f>
        <v>11835.583999999999</v>
      </c>
      <c r="AP26" s="152">
        <f aca="true" t="shared" si="31" ref="AP26:AP37">B26*1.03</f>
        <v>6034.976</v>
      </c>
      <c r="AQ26" s="152">
        <f aca="true" t="shared" si="32" ref="AQ26:AQ37">B26*0.75</f>
        <v>4394.4</v>
      </c>
      <c r="AR26" s="152">
        <f aca="true" t="shared" si="33" ref="AR26:AR37">B26*0.75</f>
        <v>4394.4</v>
      </c>
      <c r="AS26" s="248">
        <f>B26*1.15</f>
        <v>6738.079999999999</v>
      </c>
      <c r="AT26" s="221">
        <f>0.45*795.4</f>
        <v>357.93</v>
      </c>
      <c r="AU26" s="220"/>
      <c r="AV26" s="220"/>
      <c r="AW26" s="220"/>
      <c r="AX26" s="220"/>
      <c r="AY26" s="220"/>
      <c r="AZ26" s="128">
        <f>'[14]Таштагол 01'!$BA$107</f>
        <v>20392.99676390332</v>
      </c>
      <c r="BA26" s="128"/>
      <c r="BB26" s="221"/>
      <c r="BC26" s="234">
        <f>SUM(AK26:BB26)</f>
        <v>66335.50276390332</v>
      </c>
      <c r="BD26" s="222">
        <f>'[13]Т01'!$S$205</f>
        <v>28.5</v>
      </c>
      <c r="BE26" s="209">
        <f>BC26+BD26</f>
        <v>66364.00276390332</v>
      </c>
      <c r="BF26" s="210">
        <f>AG26+AJ26-BE26</f>
        <v>-10538.938763903316</v>
      </c>
      <c r="BG26" s="210">
        <f>AF26-U26</f>
        <v>-22330.479999999996</v>
      </c>
    </row>
    <row r="27" spans="1:59" ht="12.75">
      <c r="A27" s="157" t="s">
        <v>46</v>
      </c>
      <c r="B27" s="155">
        <v>5859.2</v>
      </c>
      <c r="C27" s="132">
        <f t="shared" si="21"/>
        <v>50096.16</v>
      </c>
      <c r="D27" s="249">
        <v>2387.5139999999997</v>
      </c>
      <c r="E27" s="235"/>
      <c r="F27" s="235"/>
      <c r="G27" s="235">
        <v>31711.26</v>
      </c>
      <c r="H27" s="235"/>
      <c r="I27" s="235"/>
      <c r="J27" s="235"/>
      <c r="K27" s="235"/>
      <c r="L27" s="235"/>
      <c r="M27" s="235">
        <v>15469.73</v>
      </c>
      <c r="N27" s="235"/>
      <c r="O27" s="235">
        <v>5474.79</v>
      </c>
      <c r="P27" s="235"/>
      <c r="Q27" s="235">
        <v>24065.86</v>
      </c>
      <c r="R27" s="235"/>
      <c r="S27" s="236">
        <v>700</v>
      </c>
      <c r="T27" s="252"/>
      <c r="U27" s="246">
        <f t="shared" si="22"/>
        <v>77421.64</v>
      </c>
      <c r="V27" s="247">
        <f t="shared" si="22"/>
        <v>0</v>
      </c>
      <c r="W27" s="235">
        <v>0</v>
      </c>
      <c r="X27" s="235">
        <v>27857.79</v>
      </c>
      <c r="Y27" s="235">
        <v>0</v>
      </c>
      <c r="Z27" s="235">
        <v>0</v>
      </c>
      <c r="AA27" s="235">
        <v>13435.02</v>
      </c>
      <c r="AB27" s="235">
        <v>4700.9</v>
      </c>
      <c r="AC27" s="235"/>
      <c r="AD27" s="235">
        <v>2694.12</v>
      </c>
      <c r="AE27" s="236">
        <v>758.31</v>
      </c>
      <c r="AF27" s="233">
        <f t="shared" si="23"/>
        <v>49446.14</v>
      </c>
      <c r="AG27" s="240">
        <f t="shared" si="24"/>
        <v>51833.654</v>
      </c>
      <c r="AH27" s="218">
        <f t="shared" si="25"/>
        <v>0</v>
      </c>
      <c r="AI27" s="218">
        <f t="shared" si="25"/>
        <v>2694.12</v>
      </c>
      <c r="AJ27" s="219">
        <f>'[13]Т01'!$J$205</f>
        <v>114</v>
      </c>
      <c r="AK27" s="150">
        <f t="shared" si="26"/>
        <v>3925.664</v>
      </c>
      <c r="AL27" s="152">
        <f t="shared" si="27"/>
        <v>1171.84</v>
      </c>
      <c r="AM27" s="152">
        <f t="shared" si="28"/>
        <v>5859.2</v>
      </c>
      <c r="AN27" s="152">
        <f t="shared" si="29"/>
        <v>1230.432</v>
      </c>
      <c r="AO27" s="152">
        <f t="shared" si="30"/>
        <v>11835.583999999999</v>
      </c>
      <c r="AP27" s="152">
        <f t="shared" si="31"/>
        <v>6034.976</v>
      </c>
      <c r="AQ27" s="152">
        <f t="shared" si="32"/>
        <v>4394.4</v>
      </c>
      <c r="AR27" s="152">
        <f t="shared" si="33"/>
        <v>4394.4</v>
      </c>
      <c r="AS27" s="248">
        <f>B27*1.15</f>
        <v>6738.079999999999</v>
      </c>
      <c r="AT27" s="221">
        <f>0.45*795.4</f>
        <v>357.93</v>
      </c>
      <c r="AU27" s="456">
        <v>726</v>
      </c>
      <c r="AV27" s="220"/>
      <c r="AW27" s="220"/>
      <c r="AX27" s="220">
        <f>1500</f>
        <v>1500</v>
      </c>
      <c r="AY27" s="220"/>
      <c r="AZ27" s="128">
        <v>23172.376</v>
      </c>
      <c r="BA27" s="128"/>
      <c r="BB27" s="221"/>
      <c r="BC27" s="196">
        <f>SUM(AK27:BB27)</f>
        <v>71340.882</v>
      </c>
      <c r="BD27" s="222">
        <f>'[13]Т01'!$S$205</f>
        <v>28.5</v>
      </c>
      <c r="BE27" s="209">
        <f aca="true" t="shared" si="34" ref="BE27:BE37">BC27+BD27</f>
        <v>71369.382</v>
      </c>
      <c r="BF27" s="210">
        <f aca="true" t="shared" si="35" ref="BF27:BF37">AG27+AJ27-BE27</f>
        <v>-19421.727999999996</v>
      </c>
      <c r="BG27" s="210">
        <f aca="true" t="shared" si="36" ref="BG27:BG37">AF27-U27</f>
        <v>-27975.5</v>
      </c>
    </row>
    <row r="28" spans="1:59" ht="12.75">
      <c r="A28" s="157" t="s">
        <v>47</v>
      </c>
      <c r="B28" s="155">
        <v>5859.2</v>
      </c>
      <c r="C28" s="132">
        <f t="shared" si="21"/>
        <v>50096.16</v>
      </c>
      <c r="D28" s="249">
        <v>2387.5139999999997</v>
      </c>
      <c r="E28" s="235"/>
      <c r="F28" s="235"/>
      <c r="G28" s="235">
        <v>31686.9</v>
      </c>
      <c r="H28" s="235"/>
      <c r="I28" s="235"/>
      <c r="J28" s="235"/>
      <c r="K28" s="235"/>
      <c r="L28" s="235"/>
      <c r="M28" s="235">
        <v>15457.75</v>
      </c>
      <c r="N28" s="235"/>
      <c r="O28" s="235">
        <v>5370.68</v>
      </c>
      <c r="P28" s="235"/>
      <c r="Q28" s="235">
        <v>23899.38</v>
      </c>
      <c r="R28" s="235"/>
      <c r="S28" s="236">
        <v>700</v>
      </c>
      <c r="T28" s="252"/>
      <c r="U28" s="246">
        <f t="shared" si="22"/>
        <v>77114.71</v>
      </c>
      <c r="V28" s="247">
        <f t="shared" si="22"/>
        <v>0</v>
      </c>
      <c r="W28" s="226">
        <v>0</v>
      </c>
      <c r="X28" s="226">
        <v>39071.08</v>
      </c>
      <c r="Y28" s="226">
        <v>0</v>
      </c>
      <c r="Z28" s="226">
        <v>0</v>
      </c>
      <c r="AA28" s="226">
        <v>14653.91</v>
      </c>
      <c r="AB28" s="226">
        <v>5242.37</v>
      </c>
      <c r="AC28" s="226"/>
      <c r="AD28" s="226">
        <v>27844.78</v>
      </c>
      <c r="AE28" s="232">
        <v>648.56</v>
      </c>
      <c r="AF28" s="233">
        <f t="shared" si="23"/>
        <v>87460.70000000001</v>
      </c>
      <c r="AG28" s="240">
        <f t="shared" si="24"/>
        <v>89848.214</v>
      </c>
      <c r="AH28" s="218">
        <f t="shared" si="25"/>
        <v>0</v>
      </c>
      <c r="AI28" s="218">
        <f t="shared" si="25"/>
        <v>27844.78</v>
      </c>
      <c r="AJ28" s="219">
        <f>'[13]Т01'!$J$205</f>
        <v>114</v>
      </c>
      <c r="AK28" s="150">
        <f t="shared" si="26"/>
        <v>3925.664</v>
      </c>
      <c r="AL28" s="152">
        <f t="shared" si="27"/>
        <v>1171.84</v>
      </c>
      <c r="AM28" s="152">
        <f t="shared" si="28"/>
        <v>5859.2</v>
      </c>
      <c r="AN28" s="152">
        <f t="shared" si="29"/>
        <v>1230.432</v>
      </c>
      <c r="AO28" s="152">
        <f t="shared" si="30"/>
        <v>11835.583999999999</v>
      </c>
      <c r="AP28" s="152">
        <f t="shared" si="31"/>
        <v>6034.976</v>
      </c>
      <c r="AQ28" s="152">
        <f t="shared" si="32"/>
        <v>4394.4</v>
      </c>
      <c r="AR28" s="152">
        <f t="shared" si="33"/>
        <v>4394.4</v>
      </c>
      <c r="AS28" s="248">
        <f>B28*1.15</f>
        <v>6738.079999999999</v>
      </c>
      <c r="AT28" s="221">
        <f>0.45*795.4</f>
        <v>357.93</v>
      </c>
      <c r="AU28" s="456"/>
      <c r="AV28" s="220"/>
      <c r="AW28" s="220">
        <v>380</v>
      </c>
      <c r="AX28" s="220">
        <f>76.34</f>
        <v>76.34</v>
      </c>
      <c r="AY28" s="220"/>
      <c r="AZ28" s="128">
        <v>23172.376</v>
      </c>
      <c r="BA28" s="128"/>
      <c r="BB28" s="221"/>
      <c r="BC28" s="234">
        <f>SUM(AK28:BB28)</f>
        <v>69571.222</v>
      </c>
      <c r="BD28" s="222">
        <f>'[13]Т01'!$S$205</f>
        <v>28.5</v>
      </c>
      <c r="BE28" s="209">
        <f t="shared" si="34"/>
        <v>69599.722</v>
      </c>
      <c r="BF28" s="210">
        <f t="shared" si="35"/>
        <v>20362.492000000013</v>
      </c>
      <c r="BG28" s="210">
        <f t="shared" si="36"/>
        <v>10345.990000000005</v>
      </c>
    </row>
    <row r="29" spans="1:59" ht="12.75">
      <c r="A29" s="157" t="s">
        <v>48</v>
      </c>
      <c r="B29" s="155">
        <v>5859.2</v>
      </c>
      <c r="C29" s="132">
        <f t="shared" si="21"/>
        <v>50096.16</v>
      </c>
      <c r="D29" s="249">
        <v>2387.5139999999997</v>
      </c>
      <c r="E29" s="235"/>
      <c r="F29" s="235"/>
      <c r="G29" s="235">
        <v>31686.55</v>
      </c>
      <c r="H29" s="235"/>
      <c r="I29" s="235"/>
      <c r="J29" s="235"/>
      <c r="K29" s="235"/>
      <c r="L29" s="235"/>
      <c r="M29" s="235">
        <v>15457.59</v>
      </c>
      <c r="N29" s="235"/>
      <c r="O29" s="235">
        <v>5370.61</v>
      </c>
      <c r="P29" s="235"/>
      <c r="Q29" s="235">
        <v>24313.84</v>
      </c>
      <c r="R29" s="235"/>
      <c r="S29" s="236">
        <v>700</v>
      </c>
      <c r="T29" s="252"/>
      <c r="U29" s="246">
        <f t="shared" si="22"/>
        <v>77528.59</v>
      </c>
      <c r="V29" s="247">
        <f t="shared" si="22"/>
        <v>0</v>
      </c>
      <c r="W29" s="250">
        <v>0</v>
      </c>
      <c r="X29" s="250">
        <v>28159.48</v>
      </c>
      <c r="Y29" s="250">
        <v>0</v>
      </c>
      <c r="Z29" s="250">
        <v>0</v>
      </c>
      <c r="AA29" s="250">
        <v>10544.67</v>
      </c>
      <c r="AB29" s="250">
        <v>3719.9</v>
      </c>
      <c r="AC29" s="250"/>
      <c r="AD29" s="250">
        <v>19238.47</v>
      </c>
      <c r="AE29" s="251">
        <v>526.63</v>
      </c>
      <c r="AF29" s="233">
        <f t="shared" si="23"/>
        <v>62189.15</v>
      </c>
      <c r="AG29" s="240">
        <f t="shared" si="24"/>
        <v>64576.664000000004</v>
      </c>
      <c r="AH29" s="218">
        <f t="shared" si="25"/>
        <v>0</v>
      </c>
      <c r="AI29" s="218">
        <f t="shared" si="25"/>
        <v>19238.47</v>
      </c>
      <c r="AJ29" s="219">
        <f>'[13]Т01'!$J$205</f>
        <v>114</v>
      </c>
      <c r="AK29" s="150">
        <f t="shared" si="26"/>
        <v>3925.664</v>
      </c>
      <c r="AL29" s="152">
        <f t="shared" si="27"/>
        <v>1171.84</v>
      </c>
      <c r="AM29" s="152">
        <f t="shared" si="28"/>
        <v>5859.2</v>
      </c>
      <c r="AN29" s="152">
        <f t="shared" si="29"/>
        <v>1230.432</v>
      </c>
      <c r="AO29" s="152">
        <f t="shared" si="30"/>
        <v>11835.583999999999</v>
      </c>
      <c r="AP29" s="152">
        <f t="shared" si="31"/>
        <v>6034.976</v>
      </c>
      <c r="AQ29" s="152">
        <f t="shared" si="32"/>
        <v>4394.4</v>
      </c>
      <c r="AR29" s="152">
        <f t="shared" si="33"/>
        <v>4394.4</v>
      </c>
      <c r="AS29" s="248"/>
      <c r="AT29" s="221">
        <f>0.45*795.4</f>
        <v>357.93</v>
      </c>
      <c r="AU29" s="456"/>
      <c r="AV29" s="220"/>
      <c r="AW29" s="220"/>
      <c r="AX29" s="220">
        <f>1617.1+1560+740.5</f>
        <v>3917.6</v>
      </c>
      <c r="AY29" s="220"/>
      <c r="AZ29" s="128">
        <v>23172.376</v>
      </c>
      <c r="BA29" s="128"/>
      <c r="BB29" s="221"/>
      <c r="BC29" s="234">
        <f>SUM(AK29:BB29)</f>
        <v>66294.402</v>
      </c>
      <c r="BD29" s="222">
        <f>'[13]Т01'!$S$205</f>
        <v>28.5</v>
      </c>
      <c r="BE29" s="209">
        <f t="shared" si="34"/>
        <v>66322.902</v>
      </c>
      <c r="BF29" s="210">
        <f t="shared" si="35"/>
        <v>-1632.2379999999976</v>
      </c>
      <c r="BG29" s="210">
        <f t="shared" si="36"/>
        <v>-15339.439999999995</v>
      </c>
    </row>
    <row r="30" spans="1:59" ht="12.75">
      <c r="A30" s="157" t="s">
        <v>49</v>
      </c>
      <c r="B30" s="155">
        <v>5859.2</v>
      </c>
      <c r="C30" s="132">
        <f t="shared" si="21"/>
        <v>50096.16</v>
      </c>
      <c r="D30" s="249">
        <v>2387.5139999999997</v>
      </c>
      <c r="E30" s="235"/>
      <c r="F30" s="235"/>
      <c r="G30" s="235">
        <v>31677.77</v>
      </c>
      <c r="H30" s="235"/>
      <c r="I30" s="235"/>
      <c r="J30" s="235"/>
      <c r="K30" s="235"/>
      <c r="L30" s="235"/>
      <c r="M30" s="235">
        <v>15453.27</v>
      </c>
      <c r="N30" s="235"/>
      <c r="O30" s="235">
        <v>5369.13</v>
      </c>
      <c r="P30" s="235"/>
      <c r="Q30" s="235">
        <v>24894.64</v>
      </c>
      <c r="R30" s="235"/>
      <c r="S30" s="236">
        <v>700</v>
      </c>
      <c r="T30" s="252"/>
      <c r="U30" s="246">
        <f t="shared" si="22"/>
        <v>78094.81</v>
      </c>
      <c r="V30" s="247">
        <f t="shared" si="22"/>
        <v>0</v>
      </c>
      <c r="W30" s="250">
        <v>0</v>
      </c>
      <c r="X30" s="250">
        <v>28399.68</v>
      </c>
      <c r="Y30" s="250">
        <v>0</v>
      </c>
      <c r="Z30" s="250">
        <v>0</v>
      </c>
      <c r="AA30" s="250">
        <v>12156.2</v>
      </c>
      <c r="AB30" s="250">
        <v>4280.18</v>
      </c>
      <c r="AC30" s="250"/>
      <c r="AD30" s="250">
        <v>20662.38</v>
      </c>
      <c r="AE30" s="250">
        <v>580.93</v>
      </c>
      <c r="AF30" s="233">
        <f t="shared" si="23"/>
        <v>66079.37</v>
      </c>
      <c r="AG30" s="240">
        <f t="shared" si="24"/>
        <v>68466.88399999999</v>
      </c>
      <c r="AH30" s="218">
        <f t="shared" si="25"/>
        <v>0</v>
      </c>
      <c r="AI30" s="218">
        <f t="shared" si="25"/>
        <v>20662.38</v>
      </c>
      <c r="AJ30" s="219">
        <f>'[13]Т05'!$J$212</f>
        <v>114</v>
      </c>
      <c r="AK30" s="150">
        <f t="shared" si="26"/>
        <v>3925.664</v>
      </c>
      <c r="AL30" s="152">
        <f t="shared" si="27"/>
        <v>1171.84</v>
      </c>
      <c r="AM30" s="152">
        <f t="shared" si="28"/>
        <v>5859.2</v>
      </c>
      <c r="AN30" s="152">
        <f t="shared" si="29"/>
        <v>1230.432</v>
      </c>
      <c r="AO30" s="152">
        <f t="shared" si="30"/>
        <v>11835.583999999999</v>
      </c>
      <c r="AP30" s="152">
        <f t="shared" si="31"/>
        <v>6034.976</v>
      </c>
      <c r="AQ30" s="152">
        <f t="shared" si="32"/>
        <v>4394.4</v>
      </c>
      <c r="AR30" s="152">
        <f t="shared" si="33"/>
        <v>4394.4</v>
      </c>
      <c r="AS30" s="248"/>
      <c r="AT30" s="221">
        <f>0.45*795.4</f>
        <v>357.93</v>
      </c>
      <c r="AU30" s="456"/>
      <c r="AV30" s="220"/>
      <c r="AW30" s="220"/>
      <c r="AX30" s="220"/>
      <c r="AY30" s="220"/>
      <c r="AZ30" s="128">
        <v>23172.376</v>
      </c>
      <c r="BA30" s="128"/>
      <c r="BB30" s="221"/>
      <c r="BC30" s="234">
        <f>SUM(AK30:BB30)</f>
        <v>62376.801999999996</v>
      </c>
      <c r="BD30" s="222">
        <f>'[13]Т05'!$S$212</f>
        <v>28.5</v>
      </c>
      <c r="BE30" s="209">
        <f t="shared" si="34"/>
        <v>62405.301999999996</v>
      </c>
      <c r="BF30" s="210">
        <f t="shared" si="35"/>
        <v>6175.581999999995</v>
      </c>
      <c r="BG30" s="210">
        <f t="shared" si="36"/>
        <v>-12015.440000000002</v>
      </c>
    </row>
    <row r="31" spans="1:59" ht="12.75">
      <c r="A31" s="157" t="s">
        <v>50</v>
      </c>
      <c r="B31" s="155">
        <v>5859.2</v>
      </c>
      <c r="C31" s="132">
        <f t="shared" si="21"/>
        <v>50096.16</v>
      </c>
      <c r="D31" s="249">
        <v>2387.5139999999997</v>
      </c>
      <c r="E31" s="235"/>
      <c r="F31" s="235"/>
      <c r="G31" s="235">
        <v>31676.46</v>
      </c>
      <c r="H31" s="235"/>
      <c r="I31" s="235"/>
      <c r="J31" s="235"/>
      <c r="K31" s="235"/>
      <c r="L31" s="235"/>
      <c r="M31" s="235">
        <v>15452.66</v>
      </c>
      <c r="N31" s="235"/>
      <c r="O31" s="235">
        <v>5368.9</v>
      </c>
      <c r="P31" s="235"/>
      <c r="Q31" s="235">
        <v>24894.65</v>
      </c>
      <c r="R31" s="235"/>
      <c r="S31" s="236">
        <v>700</v>
      </c>
      <c r="T31" s="252"/>
      <c r="U31" s="246">
        <f t="shared" si="22"/>
        <v>78092.67</v>
      </c>
      <c r="V31" s="247">
        <f t="shared" si="22"/>
        <v>0</v>
      </c>
      <c r="W31" s="250"/>
      <c r="X31" s="457">
        <v>35127.59</v>
      </c>
      <c r="Y31" s="250"/>
      <c r="Z31" s="250"/>
      <c r="AA31" s="457">
        <v>14732.1</v>
      </c>
      <c r="AB31" s="457">
        <v>5118.4</v>
      </c>
      <c r="AC31" s="250"/>
      <c r="AD31" s="457">
        <v>27667.79</v>
      </c>
      <c r="AE31" s="458">
        <v>839.48</v>
      </c>
      <c r="AF31" s="233">
        <f t="shared" si="23"/>
        <v>83485.36</v>
      </c>
      <c r="AG31" s="240">
        <f t="shared" si="24"/>
        <v>85872.874</v>
      </c>
      <c r="AH31" s="218">
        <f t="shared" si="25"/>
        <v>0</v>
      </c>
      <c r="AI31" s="218">
        <f t="shared" si="25"/>
        <v>27667.79</v>
      </c>
      <c r="AJ31" s="219">
        <f>'[13]Т06'!$J$177+'[13]Т06'!$J$243</f>
        <v>214</v>
      </c>
      <c r="AK31" s="150">
        <f t="shared" si="26"/>
        <v>3925.664</v>
      </c>
      <c r="AL31" s="152">
        <f t="shared" si="27"/>
        <v>1171.84</v>
      </c>
      <c r="AM31" s="152">
        <f t="shared" si="28"/>
        <v>5859.2</v>
      </c>
      <c r="AN31" s="152">
        <f t="shared" si="29"/>
        <v>1230.432</v>
      </c>
      <c r="AO31" s="152">
        <f t="shared" si="30"/>
        <v>11835.583999999999</v>
      </c>
      <c r="AP31" s="152">
        <f t="shared" si="31"/>
        <v>6034.976</v>
      </c>
      <c r="AQ31" s="152">
        <f t="shared" si="32"/>
        <v>4394.4</v>
      </c>
      <c r="AR31" s="152">
        <f t="shared" si="33"/>
        <v>4394.4</v>
      </c>
      <c r="AS31" s="248"/>
      <c r="AT31" s="221">
        <f>0.45*795.4</f>
        <v>357.93</v>
      </c>
      <c r="AU31" s="456"/>
      <c r="AV31" s="220"/>
      <c r="AW31" s="220">
        <v>1161</v>
      </c>
      <c r="AX31" s="220">
        <f>457.17</f>
        <v>457.17</v>
      </c>
      <c r="AY31" s="220"/>
      <c r="AZ31" s="128">
        <f>23172.376</f>
        <v>23172.376</v>
      </c>
      <c r="BA31" s="128"/>
      <c r="BB31" s="221"/>
      <c r="BC31" s="234">
        <f>SUM(AK31:BB31)</f>
        <v>63994.971999999994</v>
      </c>
      <c r="BD31" s="222">
        <f>'[13]Т06'!$S$177+'[13]Т06'!$S$243</f>
        <v>53.5</v>
      </c>
      <c r="BE31" s="209">
        <f t="shared" si="34"/>
        <v>64048.471999999994</v>
      </c>
      <c r="BF31" s="210">
        <f t="shared" si="35"/>
        <v>22038.402000000002</v>
      </c>
      <c r="BG31" s="210">
        <f t="shared" si="36"/>
        <v>5392.690000000002</v>
      </c>
    </row>
    <row r="32" spans="1:59" ht="12.75">
      <c r="A32" s="157" t="s">
        <v>51</v>
      </c>
      <c r="B32" s="155">
        <v>5859.2</v>
      </c>
      <c r="C32" s="459">
        <f>B32*9.51+5858.5*4.76</f>
        <v>83607.45199999999</v>
      </c>
      <c r="D32" s="249">
        <v>3195.0555</v>
      </c>
      <c r="E32" s="235"/>
      <c r="F32" s="235"/>
      <c r="G32" s="235">
        <v>56734.47</v>
      </c>
      <c r="H32" s="235"/>
      <c r="I32" s="235"/>
      <c r="J32" s="235"/>
      <c r="K32" s="235"/>
      <c r="L32" s="235"/>
      <c r="M32" s="235"/>
      <c r="N32" s="235"/>
      <c r="O32" s="235"/>
      <c r="P32" s="235"/>
      <c r="Q32" s="235">
        <v>24396.82</v>
      </c>
      <c r="R32" s="235"/>
      <c r="S32" s="236">
        <v>800</v>
      </c>
      <c r="T32" s="252"/>
      <c r="U32" s="246">
        <f aca="true" t="shared" si="37" ref="U32:V37">G32+M32+O32+Q32+S32</f>
        <v>81931.29000000001</v>
      </c>
      <c r="V32" s="460">
        <f t="shared" si="37"/>
        <v>0</v>
      </c>
      <c r="W32" s="250"/>
      <c r="X32" s="226">
        <v>29308.28</v>
      </c>
      <c r="Y32" s="250"/>
      <c r="Z32" s="250"/>
      <c r="AA32" s="226">
        <v>12596.76</v>
      </c>
      <c r="AB32" s="226">
        <v>4376.59</v>
      </c>
      <c r="AC32" s="250"/>
      <c r="AD32" s="226">
        <v>22644.77</v>
      </c>
      <c r="AE32" s="232">
        <v>492.43</v>
      </c>
      <c r="AF32" s="233">
        <f aca="true" t="shared" si="38" ref="AF32:AF37">SUM(X32:AE32)</f>
        <v>69418.83</v>
      </c>
      <c r="AG32" s="240">
        <f t="shared" si="24"/>
        <v>72613.8855</v>
      </c>
      <c r="AH32" s="461">
        <v>0</v>
      </c>
      <c r="AI32" s="218">
        <f t="shared" si="25"/>
        <v>22644.77</v>
      </c>
      <c r="AJ32" s="219">
        <f>'[13]Т07'!$J$179+'[13]Т07'!$J$245</f>
        <v>214</v>
      </c>
      <c r="AK32" s="152">
        <f aca="true" t="shared" si="39" ref="AK32:AK37">0.75*B32</f>
        <v>4394.4</v>
      </c>
      <c r="AL32" s="152">
        <f t="shared" si="27"/>
        <v>1171.84</v>
      </c>
      <c r="AM32" s="152">
        <f t="shared" si="28"/>
        <v>5859.2</v>
      </c>
      <c r="AN32" s="152">
        <f t="shared" si="29"/>
        <v>1230.432</v>
      </c>
      <c r="AO32" s="152">
        <f t="shared" si="30"/>
        <v>11835.583999999999</v>
      </c>
      <c r="AP32" s="152">
        <f t="shared" si="31"/>
        <v>6034.976</v>
      </c>
      <c r="AQ32" s="152">
        <f t="shared" si="32"/>
        <v>4394.4</v>
      </c>
      <c r="AR32" s="152">
        <f t="shared" si="33"/>
        <v>4394.4</v>
      </c>
      <c r="AS32" s="248"/>
      <c r="AT32" s="221">
        <f>0.45*795.4</f>
        <v>357.93</v>
      </c>
      <c r="AU32" s="456">
        <v>8188</v>
      </c>
      <c r="AV32" s="220"/>
      <c r="AW32" s="220"/>
      <c r="AX32" s="220">
        <f>1278+116.01+124.95</f>
        <v>1518.96</v>
      </c>
      <c r="AY32" s="220"/>
      <c r="AZ32" s="128">
        <f>23172.376</f>
        <v>23172.376</v>
      </c>
      <c r="BA32" s="128"/>
      <c r="BB32" s="221"/>
      <c r="BC32" s="234">
        <f>SUM(AK32:BB32)</f>
        <v>72552.49799999999</v>
      </c>
      <c r="BD32" s="222">
        <f>'[13]Т07'!$S$179+'[13]Т07'!$S$245</f>
        <v>53.5</v>
      </c>
      <c r="BE32" s="209">
        <f t="shared" si="34"/>
        <v>72605.99799999999</v>
      </c>
      <c r="BF32" s="210">
        <f t="shared" si="35"/>
        <v>221.88750000001164</v>
      </c>
      <c r="BG32" s="210">
        <f t="shared" si="36"/>
        <v>-12512.460000000006</v>
      </c>
    </row>
    <row r="33" spans="1:59" ht="12.75">
      <c r="A33" s="157" t="s">
        <v>52</v>
      </c>
      <c r="B33" s="155">
        <v>5859.2</v>
      </c>
      <c r="C33" s="459">
        <f>B33*9.51+5858.5*4.76</f>
        <v>83607.45199999999</v>
      </c>
      <c r="D33" s="249"/>
      <c r="E33" s="235"/>
      <c r="F33" s="235"/>
      <c r="G33" s="235">
        <v>56734.86</v>
      </c>
      <c r="H33" s="235"/>
      <c r="I33" s="235"/>
      <c r="J33" s="235"/>
      <c r="K33" s="235"/>
      <c r="L33" s="235"/>
      <c r="M33" s="235"/>
      <c r="N33" s="235"/>
      <c r="O33" s="235"/>
      <c r="P33" s="235"/>
      <c r="Q33" s="235">
        <v>24894.63</v>
      </c>
      <c r="R33" s="235"/>
      <c r="S33" s="236">
        <v>800</v>
      </c>
      <c r="T33" s="252"/>
      <c r="U33" s="246">
        <f t="shared" si="37"/>
        <v>82429.49</v>
      </c>
      <c r="V33" s="460">
        <f t="shared" si="37"/>
        <v>0</v>
      </c>
      <c r="W33" s="250"/>
      <c r="X33" s="226">
        <v>49155.35</v>
      </c>
      <c r="Y33" s="250"/>
      <c r="Z33" s="250"/>
      <c r="AA33" s="226">
        <v>2936.16</v>
      </c>
      <c r="AB33" s="226">
        <v>1094.76</v>
      </c>
      <c r="AC33" s="250"/>
      <c r="AD33" s="226">
        <v>25579.86</v>
      </c>
      <c r="AE33" s="232">
        <v>858.77</v>
      </c>
      <c r="AF33" s="233">
        <f t="shared" si="38"/>
        <v>79624.90000000001</v>
      </c>
      <c r="AG33" s="240">
        <f t="shared" si="24"/>
        <v>79624.90000000001</v>
      </c>
      <c r="AH33" s="461">
        <v>0</v>
      </c>
      <c r="AI33" s="218">
        <f t="shared" si="25"/>
        <v>25579.86</v>
      </c>
      <c r="AJ33" s="219">
        <f>'[13]Т08'!$J$179+'[13]Т08'!$J$245+'[13]Т08'!$J$304</f>
        <v>1114</v>
      </c>
      <c r="AK33" s="152">
        <f t="shared" si="39"/>
        <v>4394.4</v>
      </c>
      <c r="AL33" s="152">
        <f t="shared" si="27"/>
        <v>1171.84</v>
      </c>
      <c r="AM33" s="152">
        <f t="shared" si="28"/>
        <v>5859.2</v>
      </c>
      <c r="AN33" s="152">
        <f t="shared" si="29"/>
        <v>1230.432</v>
      </c>
      <c r="AO33" s="152">
        <f t="shared" si="30"/>
        <v>11835.583999999999</v>
      </c>
      <c r="AP33" s="152">
        <f t="shared" si="31"/>
        <v>6034.976</v>
      </c>
      <c r="AQ33" s="152">
        <f t="shared" si="32"/>
        <v>4394.4</v>
      </c>
      <c r="AR33" s="152">
        <f t="shared" si="33"/>
        <v>4394.4</v>
      </c>
      <c r="AS33" s="248"/>
      <c r="AT33" s="221">
        <f>0.45*795.4</f>
        <v>357.93</v>
      </c>
      <c r="AU33" s="456">
        <v>4245</v>
      </c>
      <c r="AV33" s="220"/>
      <c r="AW33" s="220"/>
      <c r="AX33" s="220">
        <f>442.76+1680</f>
        <v>2122.76</v>
      </c>
      <c r="AY33" s="220"/>
      <c r="AZ33" s="128">
        <f>23172.376-514.911955595</f>
        <v>22657.464044405002</v>
      </c>
      <c r="BA33" s="128"/>
      <c r="BB33" s="221"/>
      <c r="BC33" s="234">
        <f>SUM(AK33:BB33)</f>
        <v>68698.386044405</v>
      </c>
      <c r="BD33" s="222">
        <f>'[13]Т08'!$S$179+'[13]Т08'!$S$245+'[13]Т08'!$S$304</f>
        <v>278.5</v>
      </c>
      <c r="BE33" s="209">
        <f t="shared" si="34"/>
        <v>68976.886044405</v>
      </c>
      <c r="BF33" s="210">
        <f t="shared" si="35"/>
        <v>11762.013955595015</v>
      </c>
      <c r="BG33" s="210">
        <f t="shared" si="36"/>
        <v>-2804.5899999999965</v>
      </c>
    </row>
    <row r="34" spans="1:59" ht="12.75">
      <c r="A34" s="157" t="s">
        <v>53</v>
      </c>
      <c r="B34" s="155">
        <v>5859.2</v>
      </c>
      <c r="C34" s="459">
        <f>B34*9.51+5858.5*4.76</f>
        <v>83607.45199999999</v>
      </c>
      <c r="D34" s="249"/>
      <c r="E34" s="235"/>
      <c r="F34" s="235"/>
      <c r="G34" s="235">
        <v>56771.68</v>
      </c>
      <c r="H34" s="235"/>
      <c r="I34" s="235"/>
      <c r="J34" s="235"/>
      <c r="K34" s="235"/>
      <c r="L34" s="235"/>
      <c r="M34" s="235"/>
      <c r="N34" s="235"/>
      <c r="O34" s="235"/>
      <c r="P34" s="235"/>
      <c r="Q34" s="235">
        <v>24479.77</v>
      </c>
      <c r="R34" s="235"/>
      <c r="S34" s="236">
        <v>800</v>
      </c>
      <c r="T34" s="252"/>
      <c r="U34" s="246">
        <f t="shared" si="37"/>
        <v>82051.45</v>
      </c>
      <c r="V34" s="460">
        <f t="shared" si="37"/>
        <v>0</v>
      </c>
      <c r="W34" s="250"/>
      <c r="X34" s="226">
        <v>53335.33</v>
      </c>
      <c r="Y34" s="250"/>
      <c r="Z34" s="250"/>
      <c r="AA34" s="226">
        <v>2312.28</v>
      </c>
      <c r="AB34" s="226">
        <v>853.56</v>
      </c>
      <c r="AC34" s="250"/>
      <c r="AD34" s="226">
        <v>22168.57</v>
      </c>
      <c r="AE34" s="232">
        <v>455.99</v>
      </c>
      <c r="AF34" s="233">
        <f t="shared" si="38"/>
        <v>79125.73</v>
      </c>
      <c r="AG34" s="240">
        <f t="shared" si="24"/>
        <v>79125.73</v>
      </c>
      <c r="AH34" s="461">
        <v>0</v>
      </c>
      <c r="AI34" s="218">
        <f t="shared" si="25"/>
        <v>22168.57</v>
      </c>
      <c r="AJ34" s="219">
        <f>'[13]Т09'!$J$182+'[13]Т09'!$J$245+'[13]Т09'!$J$304</f>
        <v>514</v>
      </c>
      <c r="AK34" s="152">
        <f t="shared" si="39"/>
        <v>4394.4</v>
      </c>
      <c r="AL34" s="152">
        <f t="shared" si="27"/>
        <v>1171.84</v>
      </c>
      <c r="AM34" s="152">
        <f t="shared" si="28"/>
        <v>5859.2</v>
      </c>
      <c r="AN34" s="152">
        <f t="shared" si="29"/>
        <v>1230.432</v>
      </c>
      <c r="AO34" s="152">
        <f t="shared" si="30"/>
        <v>11835.583999999999</v>
      </c>
      <c r="AP34" s="152">
        <f t="shared" si="31"/>
        <v>6034.976</v>
      </c>
      <c r="AQ34" s="152">
        <f t="shared" si="32"/>
        <v>4394.4</v>
      </c>
      <c r="AR34" s="152">
        <f t="shared" si="33"/>
        <v>4394.4</v>
      </c>
      <c r="AS34" s="248"/>
      <c r="AT34" s="221">
        <f>0.45*795.4</f>
        <v>357.93</v>
      </c>
      <c r="AU34" s="456">
        <v>2329</v>
      </c>
      <c r="AV34" s="220"/>
      <c r="AW34" s="220">
        <v>172</v>
      </c>
      <c r="AX34" s="220">
        <f>1140+3791.051</f>
        <v>4931.0509999999995</v>
      </c>
      <c r="AY34" s="220"/>
      <c r="AZ34" s="128">
        <f>23172.376</f>
        <v>23172.376</v>
      </c>
      <c r="BA34" s="128"/>
      <c r="BB34" s="221"/>
      <c r="BC34" s="234">
        <f>SUM(AK34:BB34)</f>
        <v>70277.58899999999</v>
      </c>
      <c r="BD34" s="222">
        <f>'[13]Т09'!$S$182+'[13]Т09'!$S$245+'[13]Т09'!$S$304</f>
        <v>128.5</v>
      </c>
      <c r="BE34" s="209">
        <f t="shared" si="34"/>
        <v>70406.08899999999</v>
      </c>
      <c r="BF34" s="210">
        <f t="shared" si="35"/>
        <v>9233.641000000003</v>
      </c>
      <c r="BG34" s="210">
        <f t="shared" si="36"/>
        <v>-2925.720000000001</v>
      </c>
    </row>
    <row r="35" spans="1:59" ht="12.75">
      <c r="A35" s="157" t="s">
        <v>41</v>
      </c>
      <c r="B35" s="155">
        <v>5859.2</v>
      </c>
      <c r="C35" s="459">
        <f>B35*9.51+5858.5*4.76</f>
        <v>83607.45199999999</v>
      </c>
      <c r="D35" s="249"/>
      <c r="E35" s="235"/>
      <c r="F35" s="235"/>
      <c r="G35" s="235">
        <v>56773.79</v>
      </c>
      <c r="H35" s="235"/>
      <c r="I35" s="235"/>
      <c r="J35" s="235"/>
      <c r="K35" s="235"/>
      <c r="L35" s="235"/>
      <c r="M35" s="235"/>
      <c r="N35" s="235"/>
      <c r="O35" s="235"/>
      <c r="P35" s="235"/>
      <c r="Q35" s="235">
        <v>24479.77</v>
      </c>
      <c r="R35" s="235"/>
      <c r="S35" s="236">
        <v>800</v>
      </c>
      <c r="T35" s="252"/>
      <c r="U35" s="246">
        <f t="shared" si="37"/>
        <v>82053.56</v>
      </c>
      <c r="V35" s="460">
        <f t="shared" si="37"/>
        <v>0</v>
      </c>
      <c r="W35" s="250"/>
      <c r="X35" s="226">
        <v>59402.5</v>
      </c>
      <c r="Y35" s="250"/>
      <c r="Z35" s="250"/>
      <c r="AA35" s="226">
        <v>1022.67</v>
      </c>
      <c r="AB35" s="226">
        <v>355.37</v>
      </c>
      <c r="AC35" s="250"/>
      <c r="AD35" s="226">
        <v>26861.24</v>
      </c>
      <c r="AE35" s="232">
        <v>1362.32</v>
      </c>
      <c r="AF35" s="233">
        <f t="shared" si="38"/>
        <v>89004.1</v>
      </c>
      <c r="AG35" s="240">
        <f t="shared" si="24"/>
        <v>89004.1</v>
      </c>
      <c r="AH35" s="461">
        <v>0</v>
      </c>
      <c r="AI35" s="218">
        <f t="shared" si="25"/>
        <v>26861.24</v>
      </c>
      <c r="AJ35" s="219">
        <f>'[13]Т10'!$J$181+'[13]Т10'!$J$244+'[13]Т10'!$J$303</f>
        <v>514</v>
      </c>
      <c r="AK35" s="152">
        <f t="shared" si="39"/>
        <v>4394.4</v>
      </c>
      <c r="AL35" s="152">
        <f t="shared" si="27"/>
        <v>1171.84</v>
      </c>
      <c r="AM35" s="152">
        <f t="shared" si="28"/>
        <v>5859.2</v>
      </c>
      <c r="AN35" s="152">
        <f t="shared" si="29"/>
        <v>1230.432</v>
      </c>
      <c r="AO35" s="152">
        <f t="shared" si="30"/>
        <v>11835.583999999999</v>
      </c>
      <c r="AP35" s="152">
        <f t="shared" si="31"/>
        <v>6034.976</v>
      </c>
      <c r="AQ35" s="152">
        <f t="shared" si="32"/>
        <v>4394.4</v>
      </c>
      <c r="AR35" s="152">
        <f t="shared" si="33"/>
        <v>4394.4</v>
      </c>
      <c r="AS35" s="248">
        <f>B35*1.15</f>
        <v>6738.079999999999</v>
      </c>
      <c r="AT35" s="221">
        <f>0.45*795.4</f>
        <v>357.93</v>
      </c>
      <c r="AU35" s="462"/>
      <c r="AV35" s="220"/>
      <c r="AW35" s="220">
        <f>3905+359</f>
        <v>4264</v>
      </c>
      <c r="AX35" s="463">
        <f>135.3+247.825+34.2+18+1855+595.4769</f>
        <v>2885.8019</v>
      </c>
      <c r="AY35" s="463"/>
      <c r="AZ35" s="128">
        <f>23172.376</f>
        <v>23172.376</v>
      </c>
      <c r="BA35" s="128"/>
      <c r="BB35" s="221"/>
      <c r="BC35" s="234">
        <f>SUM(AK35:BB35)</f>
        <v>76733.4199</v>
      </c>
      <c r="BD35" s="222">
        <f>'[13]Т10'!$S$181+'[13]Т10'!$S$244+'[13]Т10'!$S$303</f>
        <v>128.5</v>
      </c>
      <c r="BE35" s="209">
        <f t="shared" si="34"/>
        <v>76861.9199</v>
      </c>
      <c r="BF35" s="210">
        <f t="shared" si="35"/>
        <v>12656.180100000012</v>
      </c>
      <c r="BG35" s="210">
        <f t="shared" si="36"/>
        <v>6950.540000000008</v>
      </c>
    </row>
    <row r="36" spans="1:59" ht="12.75">
      <c r="A36" s="157" t="s">
        <v>42</v>
      </c>
      <c r="B36" s="464">
        <v>5859.2</v>
      </c>
      <c r="C36" s="459">
        <f>B36*9.51+5858.5*4.76</f>
        <v>83607.45199999999</v>
      </c>
      <c r="D36" s="249"/>
      <c r="E36" s="235"/>
      <c r="F36" s="235"/>
      <c r="G36" s="226">
        <v>56763.62</v>
      </c>
      <c r="H36" s="226"/>
      <c r="I36" s="235"/>
      <c r="J36" s="235"/>
      <c r="K36" s="235"/>
      <c r="L36" s="235"/>
      <c r="M36" s="226"/>
      <c r="N36" s="226"/>
      <c r="O36" s="226"/>
      <c r="P36" s="226"/>
      <c r="Q36" s="226">
        <v>24894.64</v>
      </c>
      <c r="R36" s="226"/>
      <c r="S36" s="232">
        <v>800</v>
      </c>
      <c r="T36" s="252"/>
      <c r="U36" s="246">
        <f t="shared" si="37"/>
        <v>82458.26000000001</v>
      </c>
      <c r="V36" s="460">
        <f t="shared" si="37"/>
        <v>0</v>
      </c>
      <c r="W36" s="250"/>
      <c r="X36" s="226">
        <v>48663.16</v>
      </c>
      <c r="Y36" s="250"/>
      <c r="Z36" s="250"/>
      <c r="AA36" s="226">
        <v>333.26</v>
      </c>
      <c r="AB36" s="226">
        <v>115.78</v>
      </c>
      <c r="AC36" s="250"/>
      <c r="AD36" s="226">
        <v>22924.4</v>
      </c>
      <c r="AE36" s="232">
        <v>613.6</v>
      </c>
      <c r="AF36" s="233">
        <f t="shared" si="38"/>
        <v>72650.20000000001</v>
      </c>
      <c r="AG36" s="240">
        <f t="shared" si="24"/>
        <v>72650.20000000001</v>
      </c>
      <c r="AH36" s="461">
        <v>0</v>
      </c>
      <c r="AI36" s="218">
        <f t="shared" si="25"/>
        <v>22924.4</v>
      </c>
      <c r="AJ36" s="219">
        <f>'[13]Т11'!$J$183+'[13]Т11'!$J$246+'[13]Т11'!$J$305</f>
        <v>514</v>
      </c>
      <c r="AK36" s="152">
        <f t="shared" si="39"/>
        <v>4394.4</v>
      </c>
      <c r="AL36" s="152">
        <f t="shared" si="27"/>
        <v>1171.84</v>
      </c>
      <c r="AM36" s="152">
        <f t="shared" si="28"/>
        <v>5859.2</v>
      </c>
      <c r="AN36" s="152">
        <f t="shared" si="29"/>
        <v>1230.432</v>
      </c>
      <c r="AO36" s="152">
        <f t="shared" si="30"/>
        <v>11835.583999999999</v>
      </c>
      <c r="AP36" s="152">
        <f t="shared" si="31"/>
        <v>6034.976</v>
      </c>
      <c r="AQ36" s="152">
        <f t="shared" si="32"/>
        <v>4394.4</v>
      </c>
      <c r="AR36" s="152">
        <f t="shared" si="33"/>
        <v>4394.4</v>
      </c>
      <c r="AS36" s="248">
        <f>B36*1.15</f>
        <v>6738.079999999999</v>
      </c>
      <c r="AT36" s="221">
        <f>0.45*795.4</f>
        <v>357.93</v>
      </c>
      <c r="AU36" s="456">
        <v>2562</v>
      </c>
      <c r="AV36" s="220"/>
      <c r="AW36" s="220"/>
      <c r="AX36" s="220">
        <f>792</f>
        <v>792</v>
      </c>
      <c r="AY36" s="220"/>
      <c r="AZ36" s="128">
        <f>23172.376</f>
        <v>23172.376</v>
      </c>
      <c r="BA36" s="128"/>
      <c r="BB36" s="221"/>
      <c r="BC36" s="234">
        <f>SUM(AK36:BB36)</f>
        <v>72937.618</v>
      </c>
      <c r="BD36" s="222">
        <f>'[13]Т11'!$S$183+'[13]Т11'!$S$246+'[13]Т11'!$S$305</f>
        <v>128.5</v>
      </c>
      <c r="BE36" s="209">
        <f t="shared" si="34"/>
        <v>73066.118</v>
      </c>
      <c r="BF36" s="210">
        <f t="shared" si="35"/>
        <v>98.08200000000943</v>
      </c>
      <c r="BG36" s="210">
        <f t="shared" si="36"/>
        <v>-9808.059999999998</v>
      </c>
    </row>
    <row r="37" spans="1:59" ht="13.5" thickBot="1">
      <c r="A37" s="157" t="s">
        <v>43</v>
      </c>
      <c r="B37" s="464">
        <v>5859.2</v>
      </c>
      <c r="C37" s="459">
        <f>B37*9.51+5858.5*4.76</f>
        <v>83607.45199999999</v>
      </c>
      <c r="D37" s="249"/>
      <c r="E37" s="226"/>
      <c r="F37" s="226"/>
      <c r="G37" s="226">
        <v>56728.28</v>
      </c>
      <c r="H37" s="226"/>
      <c r="I37" s="226"/>
      <c r="J37" s="226"/>
      <c r="K37" s="226"/>
      <c r="L37" s="226"/>
      <c r="M37" s="226"/>
      <c r="N37" s="226"/>
      <c r="O37" s="226"/>
      <c r="P37" s="226"/>
      <c r="Q37" s="226">
        <v>24894.63</v>
      </c>
      <c r="R37" s="226"/>
      <c r="S37" s="232">
        <v>800</v>
      </c>
      <c r="T37" s="252"/>
      <c r="U37" s="246">
        <f t="shared" si="37"/>
        <v>82422.91</v>
      </c>
      <c r="V37" s="460">
        <f t="shared" si="37"/>
        <v>0</v>
      </c>
      <c r="W37" s="250"/>
      <c r="X37" s="226">
        <v>62480.63</v>
      </c>
      <c r="Y37" s="226"/>
      <c r="Z37" s="226"/>
      <c r="AA37" s="226">
        <v>2774.22</v>
      </c>
      <c r="AB37" s="226">
        <v>991.99</v>
      </c>
      <c r="AC37" s="226"/>
      <c r="AD37" s="226">
        <v>30963.8</v>
      </c>
      <c r="AE37" s="232">
        <v>1162.36</v>
      </c>
      <c r="AF37" s="233">
        <f t="shared" si="38"/>
        <v>98373</v>
      </c>
      <c r="AG37" s="240">
        <f t="shared" si="24"/>
        <v>98373</v>
      </c>
      <c r="AH37" s="461">
        <v>0</v>
      </c>
      <c r="AI37" s="218">
        <f t="shared" si="25"/>
        <v>30963.8</v>
      </c>
      <c r="AJ37" s="219">
        <f>'[13]Т12'!$J$186+'[13]Т12'!$J$249+'[13]Т12'!$J$308</f>
        <v>914</v>
      </c>
      <c r="AK37" s="152">
        <f t="shared" si="39"/>
        <v>4394.4</v>
      </c>
      <c r="AL37" s="152">
        <f t="shared" si="27"/>
        <v>1171.84</v>
      </c>
      <c r="AM37" s="152">
        <f t="shared" si="28"/>
        <v>5859.2</v>
      </c>
      <c r="AN37" s="152">
        <f t="shared" si="29"/>
        <v>1230.432</v>
      </c>
      <c r="AO37" s="152">
        <f t="shared" si="30"/>
        <v>11835.583999999999</v>
      </c>
      <c r="AP37" s="152">
        <f t="shared" si="31"/>
        <v>6034.976</v>
      </c>
      <c r="AQ37" s="152">
        <f t="shared" si="32"/>
        <v>4394.4</v>
      </c>
      <c r="AR37" s="152">
        <f t="shared" si="33"/>
        <v>4394.4</v>
      </c>
      <c r="AS37" s="248">
        <f>B37*1.15</f>
        <v>6738.079999999999</v>
      </c>
      <c r="AT37" s="221">
        <f>0.45*795.4</f>
        <v>357.93</v>
      </c>
      <c r="AU37" s="456">
        <v>3849</v>
      </c>
      <c r="AV37" s="220"/>
      <c r="AW37" s="220"/>
      <c r="AX37" s="220">
        <f>14+567.5</f>
        <v>581.5</v>
      </c>
      <c r="AY37" s="220"/>
      <c r="AZ37" s="128">
        <f>23172.376</f>
        <v>23172.376</v>
      </c>
      <c r="BA37" s="128"/>
      <c r="BB37" s="221"/>
      <c r="BC37" s="234">
        <f>SUM(AK37:BB37)</f>
        <v>74014.118</v>
      </c>
      <c r="BD37" s="222">
        <f>'[13]Т12'!$S$185+'[13]Т12'!$S$248+'[13]Т12'!$S$307</f>
        <v>128.5</v>
      </c>
      <c r="BE37" s="209">
        <f t="shared" si="34"/>
        <v>74142.618</v>
      </c>
      <c r="BF37" s="210">
        <f t="shared" si="35"/>
        <v>25144.381999999998</v>
      </c>
      <c r="BG37" s="210">
        <f t="shared" si="36"/>
        <v>15950.089999999997</v>
      </c>
    </row>
    <row r="38" spans="1:59" s="28" customFormat="1" ht="13.5" thickBot="1">
      <c r="A38" s="253" t="s">
        <v>5</v>
      </c>
      <c r="B38" s="254"/>
      <c r="C38" s="255">
        <f aca="true" t="shared" si="40" ref="C38:AX38">SUM(C26:C37)</f>
        <v>802221.672</v>
      </c>
      <c r="D38" s="255">
        <f t="shared" si="40"/>
        <v>17520.139499999997</v>
      </c>
      <c r="E38" s="255">
        <f t="shared" si="40"/>
        <v>0</v>
      </c>
      <c r="F38" s="255">
        <f t="shared" si="40"/>
        <v>0</v>
      </c>
      <c r="G38" s="255">
        <f t="shared" si="40"/>
        <v>530652.5399999999</v>
      </c>
      <c r="H38" s="255">
        <f t="shared" si="40"/>
        <v>0</v>
      </c>
      <c r="I38" s="255">
        <f t="shared" si="40"/>
        <v>0</v>
      </c>
      <c r="J38" s="255">
        <f t="shared" si="40"/>
        <v>0</v>
      </c>
      <c r="K38" s="255">
        <f t="shared" si="40"/>
        <v>0</v>
      </c>
      <c r="L38" s="255">
        <f t="shared" si="40"/>
        <v>0</v>
      </c>
      <c r="M38" s="255">
        <f t="shared" si="40"/>
        <v>92758.58</v>
      </c>
      <c r="N38" s="255">
        <f t="shared" si="40"/>
        <v>0</v>
      </c>
      <c r="O38" s="255">
        <f t="shared" si="40"/>
        <v>32328.17</v>
      </c>
      <c r="P38" s="255">
        <f t="shared" si="40"/>
        <v>0</v>
      </c>
      <c r="Q38" s="255">
        <f t="shared" si="40"/>
        <v>292514.12</v>
      </c>
      <c r="R38" s="255">
        <f t="shared" si="40"/>
        <v>0</v>
      </c>
      <c r="S38" s="255">
        <f t="shared" si="40"/>
        <v>9000</v>
      </c>
      <c r="T38" s="255">
        <f t="shared" si="40"/>
        <v>0</v>
      </c>
      <c r="U38" s="255">
        <f t="shared" si="40"/>
        <v>957253.41</v>
      </c>
      <c r="V38" s="255">
        <f t="shared" si="40"/>
        <v>0</v>
      </c>
      <c r="W38" s="255">
        <f t="shared" si="40"/>
        <v>0</v>
      </c>
      <c r="X38" s="255">
        <f t="shared" si="40"/>
        <v>481172.30000000005</v>
      </c>
      <c r="Y38" s="255">
        <f t="shared" si="40"/>
        <v>0</v>
      </c>
      <c r="Z38" s="255">
        <f t="shared" si="40"/>
        <v>0</v>
      </c>
      <c r="AA38" s="255">
        <f t="shared" si="40"/>
        <v>97191.15999999999</v>
      </c>
      <c r="AB38" s="255">
        <f t="shared" si="40"/>
        <v>34253.649999999994</v>
      </c>
      <c r="AC38" s="255">
        <f t="shared" si="40"/>
        <v>0</v>
      </c>
      <c r="AD38" s="255">
        <f t="shared" si="40"/>
        <v>268938.5</v>
      </c>
      <c r="AE38" s="255">
        <f t="shared" si="40"/>
        <v>8625.42</v>
      </c>
      <c r="AF38" s="255">
        <f t="shared" si="40"/>
        <v>890181.03</v>
      </c>
      <c r="AG38" s="255">
        <f t="shared" si="40"/>
        <v>907701.1695000001</v>
      </c>
      <c r="AH38" s="255">
        <f t="shared" si="40"/>
        <v>0</v>
      </c>
      <c r="AI38" s="255">
        <f t="shared" si="40"/>
        <v>268938.5</v>
      </c>
      <c r="AJ38" s="255">
        <f t="shared" si="40"/>
        <v>4568</v>
      </c>
      <c r="AK38" s="255">
        <f t="shared" si="40"/>
        <v>49920.384000000005</v>
      </c>
      <c r="AL38" s="255">
        <f t="shared" si="40"/>
        <v>14062.08</v>
      </c>
      <c r="AM38" s="255">
        <f t="shared" si="40"/>
        <v>70310.39999999998</v>
      </c>
      <c r="AN38" s="255">
        <f t="shared" si="40"/>
        <v>14765.184000000003</v>
      </c>
      <c r="AO38" s="255">
        <f t="shared" si="40"/>
        <v>142027.008</v>
      </c>
      <c r="AP38" s="255">
        <f t="shared" si="40"/>
        <v>72419.712</v>
      </c>
      <c r="AQ38" s="255">
        <f t="shared" si="40"/>
        <v>52732.80000000001</v>
      </c>
      <c r="AR38" s="255">
        <f t="shared" si="40"/>
        <v>52732.80000000001</v>
      </c>
      <c r="AS38" s="255">
        <f t="shared" si="40"/>
        <v>40428.479999999996</v>
      </c>
      <c r="AT38" s="255">
        <f t="shared" si="40"/>
        <v>4295.159999999999</v>
      </c>
      <c r="AU38" s="255">
        <f t="shared" si="40"/>
        <v>21899</v>
      </c>
      <c r="AV38" s="255">
        <f t="shared" si="40"/>
        <v>0</v>
      </c>
      <c r="AW38" s="255">
        <f t="shared" si="40"/>
        <v>5977</v>
      </c>
      <c r="AX38" s="255">
        <f t="shared" si="40"/>
        <v>18783.1829</v>
      </c>
      <c r="AY38" s="255">
        <f>SUM(AZ26:AZ37)</f>
        <v>274774.2208083083</v>
      </c>
      <c r="AZ38" s="255">
        <f>SUM(BB26:BB37)</f>
        <v>0</v>
      </c>
      <c r="BA38" s="255">
        <f>SUM(BC26:BC37)</f>
        <v>835127.4117083084</v>
      </c>
      <c r="BB38" s="255">
        <f>SUM(BB26:BB37)</f>
        <v>0</v>
      </c>
      <c r="BC38" s="255">
        <f>SUM(BC26:BC37)</f>
        <v>835127.4117083084</v>
      </c>
      <c r="BD38" s="255">
        <f>SUM(BD26:BD37)</f>
        <v>1042</v>
      </c>
      <c r="BE38" s="255">
        <f>SUM(BE26:BE37)</f>
        <v>836169.4117083084</v>
      </c>
      <c r="BF38" s="255">
        <f>SUM(BF26:BF37)</f>
        <v>76099.75779169175</v>
      </c>
      <c r="BG38" s="255">
        <f>SUM(BG26:BG37)</f>
        <v>-67072.37999999999</v>
      </c>
    </row>
    <row r="39" spans="1:59" s="28" customFormat="1" ht="13.5" thickBot="1">
      <c r="A39" s="256"/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8"/>
      <c r="BF39" s="257"/>
      <c r="BG39" s="259"/>
    </row>
    <row r="40" spans="1:59" s="28" customFormat="1" ht="13.5" thickBot="1">
      <c r="A40" s="33" t="s">
        <v>54</v>
      </c>
      <c r="B40" s="257"/>
      <c r="C40" s="260">
        <f aca="true" t="shared" si="41" ref="C40:L40">C38+C24</f>
        <v>2772851.5470000003</v>
      </c>
      <c r="D40" s="260">
        <f t="shared" si="41"/>
        <v>251089.9898053</v>
      </c>
      <c r="E40" s="260">
        <f t="shared" si="41"/>
        <v>121129.63</v>
      </c>
      <c r="F40" s="260">
        <f t="shared" si="41"/>
        <v>17984.75</v>
      </c>
      <c r="G40" s="260">
        <f t="shared" si="41"/>
        <v>908442.8699999999</v>
      </c>
      <c r="H40" s="260">
        <f t="shared" si="41"/>
        <v>0</v>
      </c>
      <c r="I40" s="260">
        <f t="shared" si="41"/>
        <v>163960.53</v>
      </c>
      <c r="J40" s="260">
        <f t="shared" si="41"/>
        <v>24348.86</v>
      </c>
      <c r="K40" s="260">
        <f t="shared" si="41"/>
        <v>272976.22</v>
      </c>
      <c r="L40" s="260">
        <f t="shared" si="41"/>
        <v>40535.200000000004</v>
      </c>
      <c r="M40" s="260" t="e">
        <f>#REF!</f>
        <v>#REF!</v>
      </c>
      <c r="N40" s="260">
        <f aca="true" t="shared" si="42" ref="N40:BG40">N38+N24</f>
        <v>58519.59999999999</v>
      </c>
      <c r="O40" s="260">
        <f t="shared" si="42"/>
        <v>240319.04000000004</v>
      </c>
      <c r="P40" s="260">
        <f t="shared" si="42"/>
        <v>14387.510000000002</v>
      </c>
      <c r="Q40" s="260">
        <f t="shared" si="42"/>
        <v>796318.8800000001</v>
      </c>
      <c r="R40" s="260">
        <f t="shared" si="42"/>
        <v>12797.670000000002</v>
      </c>
      <c r="S40" s="260">
        <f t="shared" si="42"/>
        <v>15500</v>
      </c>
      <c r="T40" s="260">
        <f t="shared" si="42"/>
        <v>0</v>
      </c>
      <c r="U40" s="260">
        <f t="shared" si="42"/>
        <v>3191111.5</v>
      </c>
      <c r="V40" s="260">
        <f t="shared" si="42"/>
        <v>168573.59</v>
      </c>
      <c r="W40" s="260">
        <f t="shared" si="42"/>
        <v>118812.97</v>
      </c>
      <c r="X40" s="260">
        <f t="shared" si="42"/>
        <v>789574.8300000001</v>
      </c>
      <c r="Y40" s="260">
        <f t="shared" si="42"/>
        <v>160802.38</v>
      </c>
      <c r="Z40" s="260">
        <f t="shared" si="42"/>
        <v>271616.89999999997</v>
      </c>
      <c r="AA40" s="260">
        <f t="shared" si="42"/>
        <v>637483.9800000001</v>
      </c>
      <c r="AB40" s="260">
        <f t="shared" si="42"/>
        <v>182152.56</v>
      </c>
      <c r="AC40" s="260">
        <f t="shared" si="42"/>
        <v>0</v>
      </c>
      <c r="AD40" s="260">
        <f t="shared" si="42"/>
        <v>726704.8200000001</v>
      </c>
      <c r="AE40" s="260">
        <f t="shared" si="42"/>
        <v>15027.55</v>
      </c>
      <c r="AF40" s="260">
        <f t="shared" si="42"/>
        <v>2902175.99</v>
      </c>
      <c r="AG40" s="260">
        <f t="shared" si="42"/>
        <v>3321839.5698053</v>
      </c>
      <c r="AH40" s="260">
        <f t="shared" si="42"/>
        <v>0</v>
      </c>
      <c r="AI40" s="260">
        <f t="shared" si="42"/>
        <v>739502.49</v>
      </c>
      <c r="AJ40" s="260">
        <f t="shared" si="42"/>
        <v>6386</v>
      </c>
      <c r="AK40" s="260">
        <f t="shared" si="42"/>
        <v>190614.468</v>
      </c>
      <c r="AL40" s="260">
        <f t="shared" si="42"/>
        <v>59482.90496400001</v>
      </c>
      <c r="AM40" s="260">
        <f t="shared" si="42"/>
        <v>295975.46557361</v>
      </c>
      <c r="AN40" s="260">
        <f t="shared" si="42"/>
        <v>29533.644</v>
      </c>
      <c r="AO40" s="260">
        <f t="shared" si="42"/>
        <v>439027.4658076224</v>
      </c>
      <c r="AP40" s="260">
        <f t="shared" si="42"/>
        <v>491461.07169483724</v>
      </c>
      <c r="AQ40" s="260">
        <f t="shared" si="42"/>
        <v>105477.30000000002</v>
      </c>
      <c r="AR40" s="260">
        <f t="shared" si="42"/>
        <v>105477.30000000002</v>
      </c>
      <c r="AS40" s="260">
        <f t="shared" si="42"/>
        <v>80875.35999999999</v>
      </c>
      <c r="AT40" s="260">
        <f t="shared" si="42"/>
        <v>12885.48</v>
      </c>
      <c r="AU40" s="260">
        <f t="shared" si="42"/>
        <v>396258.1264</v>
      </c>
      <c r="AV40" s="260">
        <f t="shared" si="42"/>
        <v>837</v>
      </c>
      <c r="AW40" s="261">
        <f t="shared" si="42"/>
        <v>159858.13</v>
      </c>
      <c r="AX40" s="261">
        <f t="shared" si="42"/>
        <v>95243.8395</v>
      </c>
      <c r="AY40" s="261">
        <f t="shared" si="42"/>
        <v>401020.9456083083</v>
      </c>
      <c r="AZ40" s="261">
        <f t="shared" si="42"/>
        <v>484146.5143259839</v>
      </c>
      <c r="BA40" s="261">
        <f t="shared" si="42"/>
        <v>867733.4117083084</v>
      </c>
      <c r="BB40" s="261">
        <f t="shared" si="42"/>
        <v>0</v>
      </c>
      <c r="BC40" s="261">
        <f t="shared" si="42"/>
        <v>3348175.0158743616</v>
      </c>
      <c r="BD40" s="261">
        <f t="shared" si="42"/>
        <v>1496.5</v>
      </c>
      <c r="BE40" s="261">
        <f t="shared" si="42"/>
        <v>3349671.5158743616</v>
      </c>
      <c r="BF40" s="261">
        <f t="shared" si="42"/>
        <v>-21445.946069061683</v>
      </c>
      <c r="BG40" s="261">
        <f t="shared" si="42"/>
        <v>-288935.51</v>
      </c>
    </row>
  </sheetData>
  <sheetProtection/>
  <mergeCells count="56">
    <mergeCell ref="AZ5:AZ6"/>
    <mergeCell ref="BA5:BA6"/>
    <mergeCell ref="BB5:BB6"/>
    <mergeCell ref="BC5:BC6"/>
    <mergeCell ref="AS5:AS6"/>
    <mergeCell ref="AT5:AT6"/>
    <mergeCell ref="AU5:AU6"/>
    <mergeCell ref="AV5:AV6"/>
    <mergeCell ref="AW5:AW6"/>
    <mergeCell ref="AX5:AX6"/>
    <mergeCell ref="AK5:AK6"/>
    <mergeCell ref="AL5:AL6"/>
    <mergeCell ref="AJ3:AJ6"/>
    <mergeCell ref="AK3:BE4"/>
    <mergeCell ref="AM5:AM6"/>
    <mergeCell ref="AN5:AN6"/>
    <mergeCell ref="AO5:AO6"/>
    <mergeCell ref="AP5:AP6"/>
    <mergeCell ref="BD5:BD6"/>
    <mergeCell ref="BE5:BE6"/>
    <mergeCell ref="BG3:BG6"/>
    <mergeCell ref="E5:F6"/>
    <mergeCell ref="G5:H6"/>
    <mergeCell ref="I5:J6"/>
    <mergeCell ref="K5:L6"/>
    <mergeCell ref="M5:N6"/>
    <mergeCell ref="O5:P6"/>
    <mergeCell ref="Q5:R6"/>
    <mergeCell ref="Z5:Z6"/>
    <mergeCell ref="AA5:AA6"/>
    <mergeCell ref="S5:T6"/>
    <mergeCell ref="U5:U6"/>
    <mergeCell ref="S3:T4"/>
    <mergeCell ref="U3:V4"/>
    <mergeCell ref="V5:V6"/>
    <mergeCell ref="AD5:AD6"/>
    <mergeCell ref="AB5:AB6"/>
    <mergeCell ref="AC5:AC6"/>
    <mergeCell ref="W3:AI4"/>
    <mergeCell ref="AF5:AF6"/>
    <mergeCell ref="BF3:BF6"/>
    <mergeCell ref="W5:W6"/>
    <mergeCell ref="X5:X6"/>
    <mergeCell ref="Y5:Y6"/>
    <mergeCell ref="AE5:AE6"/>
    <mergeCell ref="AQ5:AQ6"/>
    <mergeCell ref="AR5:AR6"/>
    <mergeCell ref="AG5:AG6"/>
    <mergeCell ref="AH5:AH6"/>
    <mergeCell ref="AI5:AI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PageLayoutView="0" workbookViewId="0" topLeftCell="A1">
      <selection activeCell="B48" sqref="B48"/>
    </sheetView>
  </sheetViews>
  <sheetFormatPr defaultColWidth="9.00390625" defaultRowHeight="12.75"/>
  <cols>
    <col min="1" max="1" width="10.00390625" style="158" customWidth="1"/>
    <col min="2" max="2" width="10.875" style="158" customWidth="1"/>
    <col min="3" max="3" width="12.75390625" style="158" customWidth="1"/>
    <col min="4" max="4" width="10.75390625" style="158" customWidth="1"/>
    <col min="5" max="5" width="11.625" style="158" customWidth="1"/>
    <col min="6" max="6" width="9.875" style="158" customWidth="1"/>
    <col min="7" max="7" width="11.875" style="158" customWidth="1"/>
    <col min="8" max="9" width="11.375" style="158" customWidth="1"/>
    <col min="10" max="10" width="11.25390625" style="158" customWidth="1"/>
    <col min="11" max="11" width="9.875" style="158" customWidth="1"/>
    <col min="12" max="12" width="12.75390625" style="158" customWidth="1"/>
    <col min="13" max="13" width="10.125" style="158" customWidth="1"/>
    <col min="14" max="14" width="11.375" style="158" customWidth="1"/>
    <col min="15" max="15" width="12.625" style="158" customWidth="1"/>
    <col min="16" max="16" width="10.375" style="158" customWidth="1"/>
    <col min="17" max="17" width="10.75390625" style="158" customWidth="1"/>
    <col min="18" max="16384" width="9.125" style="158" customWidth="1"/>
  </cols>
  <sheetData>
    <row r="1" spans="2:9" ht="20.25" customHeight="1">
      <c r="B1" s="439" t="s">
        <v>55</v>
      </c>
      <c r="C1" s="439"/>
      <c r="D1" s="439"/>
      <c r="E1" s="439"/>
      <c r="F1" s="439"/>
      <c r="G1" s="439"/>
      <c r="H1" s="439"/>
      <c r="I1" s="35"/>
    </row>
    <row r="2" spans="2:12" ht="21" customHeight="1">
      <c r="B2" s="439" t="s">
        <v>56</v>
      </c>
      <c r="C2" s="439"/>
      <c r="D2" s="439"/>
      <c r="E2" s="439"/>
      <c r="F2" s="439"/>
      <c r="G2" s="439"/>
      <c r="H2" s="439"/>
      <c r="I2" s="35"/>
      <c r="K2" s="161"/>
      <c r="L2" s="161"/>
    </row>
    <row r="5" spans="1:14" ht="12.75">
      <c r="A5" s="321" t="s">
        <v>123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</row>
    <row r="6" spans="1:14" ht="12.75">
      <c r="A6" s="360" t="s">
        <v>127</v>
      </c>
      <c r="B6" s="360"/>
      <c r="C6" s="360"/>
      <c r="D6" s="360"/>
      <c r="E6" s="360"/>
      <c r="F6" s="360"/>
      <c r="G6" s="360"/>
      <c r="H6" s="110"/>
      <c r="I6" s="110"/>
      <c r="J6" s="110"/>
      <c r="K6" s="110"/>
      <c r="L6" s="110"/>
      <c r="M6" s="110"/>
      <c r="N6" s="110"/>
    </row>
    <row r="7" spans="1:15" ht="13.5" thickBot="1">
      <c r="A7" s="440" t="s">
        <v>57</v>
      </c>
      <c r="B7" s="440"/>
      <c r="C7" s="440"/>
      <c r="D7" s="440"/>
      <c r="E7" s="440">
        <v>9.51</v>
      </c>
      <c r="F7" s="440"/>
      <c r="I7" s="262"/>
      <c r="J7" s="262"/>
      <c r="K7" s="262"/>
      <c r="L7" s="262"/>
      <c r="M7" s="262"/>
      <c r="N7" s="262"/>
      <c r="O7" s="262"/>
    </row>
    <row r="8" spans="1:17" ht="12.75" customHeight="1">
      <c r="A8" s="285" t="s">
        <v>58</v>
      </c>
      <c r="B8" s="323" t="s">
        <v>1</v>
      </c>
      <c r="C8" s="326" t="s">
        <v>126</v>
      </c>
      <c r="D8" s="329" t="s">
        <v>3</v>
      </c>
      <c r="E8" s="361" t="s">
        <v>60</v>
      </c>
      <c r="F8" s="362"/>
      <c r="G8" s="435" t="s">
        <v>89</v>
      </c>
      <c r="H8" s="436"/>
      <c r="I8" s="263"/>
      <c r="J8" s="443" t="s">
        <v>10</v>
      </c>
      <c r="K8" s="444"/>
      <c r="L8" s="444"/>
      <c r="M8" s="444"/>
      <c r="N8" s="444"/>
      <c r="O8" s="445"/>
      <c r="P8" s="366" t="s">
        <v>61</v>
      </c>
      <c r="Q8" s="366" t="s">
        <v>12</v>
      </c>
    </row>
    <row r="9" spans="1:17" ht="12.75">
      <c r="A9" s="286"/>
      <c r="B9" s="324"/>
      <c r="C9" s="327"/>
      <c r="D9" s="330"/>
      <c r="E9" s="363"/>
      <c r="F9" s="364"/>
      <c r="G9" s="437"/>
      <c r="H9" s="438"/>
      <c r="I9" s="264"/>
      <c r="J9" s="446"/>
      <c r="K9" s="447"/>
      <c r="L9" s="447"/>
      <c r="M9" s="447"/>
      <c r="N9" s="447"/>
      <c r="O9" s="448"/>
      <c r="P9" s="367"/>
      <c r="Q9" s="367"/>
    </row>
    <row r="10" spans="1:17" ht="26.25" customHeight="1">
      <c r="A10" s="286"/>
      <c r="B10" s="324"/>
      <c r="C10" s="327"/>
      <c r="D10" s="330"/>
      <c r="E10" s="339" t="s">
        <v>62</v>
      </c>
      <c r="F10" s="340"/>
      <c r="G10" s="265" t="s">
        <v>63</v>
      </c>
      <c r="H10" s="350" t="s">
        <v>7</v>
      </c>
      <c r="I10" s="449" t="s">
        <v>117</v>
      </c>
      <c r="J10" s="451" t="s">
        <v>64</v>
      </c>
      <c r="K10" s="332" t="s">
        <v>118</v>
      </c>
      <c r="L10" s="332" t="s">
        <v>65</v>
      </c>
      <c r="M10" s="332" t="s">
        <v>37</v>
      </c>
      <c r="N10" s="333" t="s">
        <v>119</v>
      </c>
      <c r="O10" s="351" t="s">
        <v>39</v>
      </c>
      <c r="P10" s="367"/>
      <c r="Q10" s="367"/>
    </row>
    <row r="11" spans="1:17" ht="66.75" customHeight="1" thickBot="1">
      <c r="A11" s="322"/>
      <c r="B11" s="325"/>
      <c r="C11" s="328"/>
      <c r="D11" s="331"/>
      <c r="E11" s="40" t="s">
        <v>67</v>
      </c>
      <c r="F11" s="41" t="s">
        <v>21</v>
      </c>
      <c r="G11" s="183" t="s">
        <v>120</v>
      </c>
      <c r="H11" s="351"/>
      <c r="I11" s="450"/>
      <c r="J11" s="452"/>
      <c r="K11" s="333"/>
      <c r="L11" s="333"/>
      <c r="M11" s="333"/>
      <c r="N11" s="365"/>
      <c r="O11" s="453"/>
      <c r="P11" s="368"/>
      <c r="Q11" s="368"/>
    </row>
    <row r="12" spans="1:17" ht="13.5" thickBot="1">
      <c r="A12" s="43">
        <v>1</v>
      </c>
      <c r="B12" s="44">
        <v>2</v>
      </c>
      <c r="C12" s="43">
        <v>3</v>
      </c>
      <c r="D12" s="44">
        <v>4</v>
      </c>
      <c r="E12" s="43">
        <v>5</v>
      </c>
      <c r="F12" s="44">
        <v>6</v>
      </c>
      <c r="G12" s="43">
        <v>7</v>
      </c>
      <c r="H12" s="44">
        <v>8</v>
      </c>
      <c r="I12" s="43">
        <v>9</v>
      </c>
      <c r="J12" s="44">
        <v>10</v>
      </c>
      <c r="K12" s="43">
        <v>11</v>
      </c>
      <c r="L12" s="44">
        <v>12</v>
      </c>
      <c r="M12" s="43">
        <v>13</v>
      </c>
      <c r="N12" s="44">
        <v>14</v>
      </c>
      <c r="O12" s="43">
        <v>15</v>
      </c>
      <c r="P12" s="43">
        <v>16</v>
      </c>
      <c r="Q12" s="44">
        <v>17</v>
      </c>
    </row>
    <row r="13" spans="1:17" ht="13.5" thickBot="1">
      <c r="A13" s="454" t="s">
        <v>121</v>
      </c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171"/>
      <c r="P13" s="266"/>
      <c r="Q13" s="266"/>
    </row>
    <row r="14" spans="1:19" s="28" customFormat="1" ht="13.5" hidden="1" thickBot="1">
      <c r="A14" s="71" t="s">
        <v>54</v>
      </c>
      <c r="B14" s="72"/>
      <c r="C14" s="73">
        <f>'2012 полн'!C8</f>
        <v>1369342.575</v>
      </c>
      <c r="D14" s="73">
        <f>'2012 полн'!D8</f>
        <v>159095.07430530002</v>
      </c>
      <c r="E14" s="73">
        <f>'2012 полн'!U8</f>
        <v>1217625.46</v>
      </c>
      <c r="F14" s="73">
        <f>'2012 полн'!V8</f>
        <v>168573.59</v>
      </c>
      <c r="G14" s="73">
        <f>'2012 полн'!AF8</f>
        <v>1157750.71</v>
      </c>
      <c r="H14" s="73">
        <f>'2012 полн'!AG8</f>
        <v>1485419.3743053</v>
      </c>
      <c r="I14" s="73">
        <f>'2012 полн'!AJ8</f>
        <v>450</v>
      </c>
      <c r="J14" s="73">
        <f>'2012 полн'!AK8</f>
        <v>93575.66399999999</v>
      </c>
      <c r="K14" s="73">
        <f>'2012 полн'!AL8</f>
        <v>31355.624964000006</v>
      </c>
      <c r="L14" s="73">
        <f>'2012 полн'!AM8+'2012 полн'!AO8+'2012 полн'!AP8+'2012 полн'!AT8+'2012 полн'!AY8+'2012 полн'!AZ8</f>
        <v>1023988.4322020535</v>
      </c>
      <c r="M14" s="73">
        <f>'2012 полн'!AU8+'2012 полн'!AW8+'2012 полн'!AX8</f>
        <v>409332.273</v>
      </c>
      <c r="N14" s="73">
        <f>'2012 полн'!BD8</f>
        <v>112.5</v>
      </c>
      <c r="O14" s="73">
        <f>SUM(J14:N15)</f>
        <v>1558364.4941660536</v>
      </c>
      <c r="P14" s="73">
        <f>H14+I14-O14</f>
        <v>-72495.11986075365</v>
      </c>
      <c r="Q14" s="73">
        <f>'2012 полн'!BG8</f>
        <v>-59874.75000000005</v>
      </c>
      <c r="R14" s="74"/>
      <c r="S14" s="63"/>
    </row>
    <row r="15" spans="1:19" ht="12.75" hidden="1">
      <c r="A15" s="8" t="s">
        <v>116</v>
      </c>
      <c r="B15" s="167"/>
      <c r="C15" s="64"/>
      <c r="D15" s="65"/>
      <c r="E15" s="168"/>
      <c r="F15" s="169"/>
      <c r="G15" s="170"/>
      <c r="H15" s="169"/>
      <c r="I15" s="267"/>
      <c r="J15" s="170"/>
      <c r="K15" s="153"/>
      <c r="L15" s="153"/>
      <c r="M15" s="164"/>
      <c r="N15" s="268"/>
      <c r="O15" s="154"/>
      <c r="P15" s="165"/>
      <c r="Q15" s="165"/>
      <c r="R15" s="161"/>
      <c r="S15" s="161"/>
    </row>
    <row r="16" spans="1:19" ht="12.75" hidden="1">
      <c r="A16" s="157" t="s">
        <v>45</v>
      </c>
      <c r="B16" s="162">
        <f>'2012 полн'!B10</f>
        <v>5864.7</v>
      </c>
      <c r="C16" s="162">
        <f>'2012 полн'!C10</f>
        <v>50143.185000000005</v>
      </c>
      <c r="D16" s="48">
        <f>'2012 полн'!D10</f>
        <v>3115.59</v>
      </c>
      <c r="E16" s="153">
        <f>'2012 полн'!U10</f>
        <v>80599.77</v>
      </c>
      <c r="F16" s="153">
        <f>'2012 полн'!V10</f>
        <v>0</v>
      </c>
      <c r="G16" s="163">
        <f>'2012 полн'!AF10</f>
        <v>35478.78</v>
      </c>
      <c r="H16" s="163">
        <f>'2012 полн'!AG10</f>
        <v>38594.369999999995</v>
      </c>
      <c r="I16" s="163">
        <f>'2012 полн'!AJ10</f>
        <v>114</v>
      </c>
      <c r="J16" s="163">
        <f>'2012 полн'!AK10</f>
        <v>3929.349</v>
      </c>
      <c r="K16" s="163">
        <f>'2012 полн'!AL10</f>
        <v>1172.94</v>
      </c>
      <c r="L16" s="153">
        <f>'2012 полн'!AM10+'2012 полн'!AN10+'2012 полн'!AO10+'2012 полн'!AP10+'2012 полн'!AQ10+'2012 полн'!AR10+'2012 полн'!AS10+'2012 полн'!AT10+'2012 полн'!AZ10</f>
        <v>60877.367</v>
      </c>
      <c r="M16" s="164">
        <f>'2012 полн'!AU10+'2012 полн'!AV10+'2012 полн'!AW10+'2012 полн'!AX10</f>
        <v>18657.85</v>
      </c>
      <c r="N16" s="269">
        <f>'2012 полн'!BD10</f>
        <v>28.5</v>
      </c>
      <c r="O16" s="269">
        <f>'2012 полн'!BE10</f>
        <v>84666.006</v>
      </c>
      <c r="P16" s="165">
        <f>'2012 полн'!BF10</f>
        <v>-45957.636</v>
      </c>
      <c r="Q16" s="165">
        <f>'2012 полн'!BG10</f>
        <v>-45120.990000000005</v>
      </c>
      <c r="R16" s="161"/>
      <c r="S16" s="161"/>
    </row>
    <row r="17" spans="1:19" ht="12.75" hidden="1">
      <c r="A17" s="157" t="s">
        <v>46</v>
      </c>
      <c r="B17" s="162">
        <f>'2012 полн'!B11</f>
        <v>5864.7</v>
      </c>
      <c r="C17" s="162">
        <f>'2012 полн'!C11</f>
        <v>50143.185000000005</v>
      </c>
      <c r="D17" s="48">
        <f>'2012 полн'!D11</f>
        <v>3115.59</v>
      </c>
      <c r="E17" s="153">
        <f>'2012 полн'!U11</f>
        <v>79951.06</v>
      </c>
      <c r="F17" s="153">
        <f>'2012 полн'!V11</f>
        <v>0</v>
      </c>
      <c r="G17" s="163">
        <f>'2012 полн'!AF11</f>
        <v>64584.18</v>
      </c>
      <c r="H17" s="163">
        <f>'2012 полн'!AG11</f>
        <v>67699.77</v>
      </c>
      <c r="I17" s="163">
        <f>'2012 полн'!AJ11</f>
        <v>114</v>
      </c>
      <c r="J17" s="163">
        <f>'2012 полн'!AK11</f>
        <v>3929.349</v>
      </c>
      <c r="K17" s="163">
        <f>'2012 полн'!AL11</f>
        <v>1172.94</v>
      </c>
      <c r="L17" s="153">
        <f>'2012 полн'!AM11+'2012 полн'!AN11+'2012 полн'!AO11+'2012 полн'!AP11+'2012 полн'!AQ11+'2012 полн'!AR11+'2012 полн'!AS11+'2012 полн'!AT11+'2012 полн'!AZ11</f>
        <v>59941.467</v>
      </c>
      <c r="M17" s="164">
        <f>'2012 полн'!AU11+'2012 полн'!AV11+'2012 полн'!AW11+'2012 полн'!AX11</f>
        <v>21309.02</v>
      </c>
      <c r="N17" s="269">
        <f>'2012 полн'!BD11</f>
        <v>28.5</v>
      </c>
      <c r="O17" s="269">
        <f>'2012 полн'!BE11</f>
        <v>86381.27600000001</v>
      </c>
      <c r="P17" s="165">
        <f>'2012 полн'!BF11</f>
        <v>-18567.50600000001</v>
      </c>
      <c r="Q17" s="165">
        <f>'2012 полн'!BG11</f>
        <v>-15366.879999999997</v>
      </c>
      <c r="R17" s="161"/>
      <c r="S17" s="161"/>
    </row>
    <row r="18" spans="1:19" ht="12.75" hidden="1">
      <c r="A18" s="157" t="s">
        <v>47</v>
      </c>
      <c r="B18" s="162">
        <f>'2012 полн'!B12</f>
        <v>5863.1</v>
      </c>
      <c r="C18" s="162">
        <f>'2012 полн'!C12</f>
        <v>50129.505000000005</v>
      </c>
      <c r="D18" s="48">
        <f>'2012 полн'!D12</f>
        <v>3115.59</v>
      </c>
      <c r="E18" s="153">
        <f>'2012 полн'!U12</f>
        <v>81203.5</v>
      </c>
      <c r="F18" s="153">
        <f>'2012 полн'!V12</f>
        <v>0</v>
      </c>
      <c r="G18" s="163">
        <f>'2012 полн'!AF12</f>
        <v>70658.12</v>
      </c>
      <c r="H18" s="163">
        <f>'2012 полн'!AG12</f>
        <v>73773.70999999999</v>
      </c>
      <c r="I18" s="163">
        <f>'2012 полн'!AJ12</f>
        <v>114</v>
      </c>
      <c r="J18" s="163">
        <f>'2012 полн'!AK12</f>
        <v>3928.2770000000005</v>
      </c>
      <c r="K18" s="163">
        <f>'2012 полн'!AL12</f>
        <v>1172.6200000000001</v>
      </c>
      <c r="L18" s="153">
        <f>'2012 полн'!AM12+'2012 полн'!AN12+'2012 полн'!AO12+'2012 полн'!AP12+'2012 полн'!AQ12+'2012 полн'!AR12+'2012 полн'!AS12+'2012 полн'!AT12+'2012 полн'!AZ12</f>
        <v>60646.06100000001</v>
      </c>
      <c r="M18" s="164">
        <f>'2012 полн'!AU12+'2012 полн'!AV12+'2012 полн'!AW12+'2012 полн'!AX12</f>
        <v>1110</v>
      </c>
      <c r="N18" s="269">
        <f>'2012 полн'!BD12</f>
        <v>28.5</v>
      </c>
      <c r="O18" s="269">
        <f>'2012 полн'!BE12</f>
        <v>66885.45800000001</v>
      </c>
      <c r="P18" s="165">
        <f>'2012 полн'!BF12</f>
        <v>7002.251999999979</v>
      </c>
      <c r="Q18" s="165">
        <f>'2012 полн'!BG12</f>
        <v>-10545.380000000005</v>
      </c>
      <c r="R18" s="161"/>
      <c r="S18" s="161"/>
    </row>
    <row r="19" spans="1:19" ht="12.75" hidden="1">
      <c r="A19" s="157" t="s">
        <v>48</v>
      </c>
      <c r="B19" s="162">
        <f>'2012 полн'!B13</f>
        <v>5860.4</v>
      </c>
      <c r="C19" s="162">
        <f>'2012 полн'!C13</f>
        <v>50106.42</v>
      </c>
      <c r="D19" s="48">
        <f>'2012 полн'!D13</f>
        <v>3115.59</v>
      </c>
      <c r="E19" s="153">
        <f>'2012 полн'!U13</f>
        <v>81906.2</v>
      </c>
      <c r="F19" s="153">
        <f>'2012 полн'!V13</f>
        <v>0</v>
      </c>
      <c r="G19" s="163">
        <f>'2012 полн'!AF13</f>
        <v>78114.83</v>
      </c>
      <c r="H19" s="163">
        <f>'2012 полн'!AG13</f>
        <v>81230.42</v>
      </c>
      <c r="I19" s="163">
        <f>'2012 полн'!AJ13</f>
        <v>114</v>
      </c>
      <c r="J19" s="163">
        <f>'2012 полн'!AK13</f>
        <v>3926.468</v>
      </c>
      <c r="K19" s="163">
        <f>'2012 полн'!AL13</f>
        <v>1172.08</v>
      </c>
      <c r="L19" s="153">
        <f>'2012 полн'!AM13+'2012 полн'!AN13+'2012 полн'!AO13+'2012 полн'!AP13+'2012 полн'!AQ13+'2012 полн'!AR13+'2012 полн'!AS13+'2012 полн'!AT13+'2012 полн'!AZ13</f>
        <v>53231.454</v>
      </c>
      <c r="M19" s="164">
        <f>'2012 полн'!AU13+'2012 полн'!AV13+'2012 полн'!AW13+'2012 полн'!AX13</f>
        <v>8771</v>
      </c>
      <c r="N19" s="269">
        <f>'2012 полн'!BD13</f>
        <v>28.5</v>
      </c>
      <c r="O19" s="269">
        <f>'2012 полн'!BE13</f>
        <v>67129.50200000001</v>
      </c>
      <c r="P19" s="165">
        <f>'2012 полн'!BF13</f>
        <v>14214.91799999999</v>
      </c>
      <c r="Q19" s="165">
        <f>'2012 полн'!BG13</f>
        <v>-3791.3699999999953</v>
      </c>
      <c r="R19" s="161"/>
      <c r="S19" s="161"/>
    </row>
    <row r="20" spans="1:19" ht="12.75" hidden="1">
      <c r="A20" s="157" t="s">
        <v>49</v>
      </c>
      <c r="B20" s="162">
        <f>'2012 полн'!B14</f>
        <v>5860.4</v>
      </c>
      <c r="C20" s="162">
        <f>'2012 полн'!C14</f>
        <v>50106.42</v>
      </c>
      <c r="D20" s="48">
        <f>'2012 полн'!D14</f>
        <v>3115.59</v>
      </c>
      <c r="E20" s="153">
        <f>'2012 полн'!U14</f>
        <v>80677.54</v>
      </c>
      <c r="F20" s="153">
        <f>'2012 полн'!V14</f>
        <v>0</v>
      </c>
      <c r="G20" s="163">
        <f>'2012 полн'!AF14</f>
        <v>64659.03</v>
      </c>
      <c r="H20" s="163">
        <f>'2012 полн'!AG14</f>
        <v>67774.62</v>
      </c>
      <c r="I20" s="163">
        <f>'2012 полн'!AJ14</f>
        <v>114</v>
      </c>
      <c r="J20" s="163">
        <f>'2012 полн'!AK14</f>
        <v>3926.468</v>
      </c>
      <c r="K20" s="163">
        <f>'2012 полн'!AL14</f>
        <v>1172.08</v>
      </c>
      <c r="L20" s="153">
        <f>'2012 полн'!AM14+'2012 полн'!AN14+'2012 полн'!AO14+'2012 полн'!AP14+'2012 полн'!AQ14+'2012 полн'!AR14+'2012 полн'!AS14+'2012 полн'!AT14+'2012 полн'!AZ14</f>
        <v>55481.00399999999</v>
      </c>
      <c r="M20" s="164">
        <f>'2012 полн'!AU14+'2012 полн'!AV14+'2012 полн'!AW14+'2012 полн'!AX14</f>
        <v>62848.3</v>
      </c>
      <c r="N20" s="269">
        <f>'2012 полн'!BD14</f>
        <v>28.5</v>
      </c>
      <c r="O20" s="269">
        <f>'2012 полн'!BE14</f>
        <v>123456.35200000001</v>
      </c>
      <c r="P20" s="165">
        <f>'2012 полн'!BF14</f>
        <v>-55567.73200000002</v>
      </c>
      <c r="Q20" s="165">
        <f>'2012 полн'!BG14</f>
        <v>-16018.509999999995</v>
      </c>
      <c r="R20" s="161"/>
      <c r="S20" s="161"/>
    </row>
    <row r="21" spans="1:19" ht="12.75" hidden="1">
      <c r="A21" s="157" t="s">
        <v>50</v>
      </c>
      <c r="B21" s="162">
        <f>'2012 полн'!B15</f>
        <v>5858.5</v>
      </c>
      <c r="C21" s="162">
        <f>'2012 полн'!C15</f>
        <v>50090.175</v>
      </c>
      <c r="D21" s="48">
        <f>'2012 полн'!D15</f>
        <v>3115.59</v>
      </c>
      <c r="E21" s="153">
        <f>'2012 полн'!U15</f>
        <v>80645.5</v>
      </c>
      <c r="F21" s="153">
        <f>'2012 полн'!V15</f>
        <v>0</v>
      </c>
      <c r="G21" s="163">
        <f>'2012 полн'!AF15</f>
        <v>80668.26000000001</v>
      </c>
      <c r="H21" s="163">
        <f>'2012 полн'!AG15</f>
        <v>83783.85</v>
      </c>
      <c r="I21" s="163">
        <f>'2012 полн'!AJ15</f>
        <v>114</v>
      </c>
      <c r="J21" s="163">
        <f>'2012 полн'!AK15</f>
        <v>3925.195</v>
      </c>
      <c r="K21" s="163">
        <f>'2012 полн'!AL15</f>
        <v>1171.7</v>
      </c>
      <c r="L21" s="153">
        <f>'2012 полн'!AM15+'2012 полн'!AN15+'2012 полн'!AO15+'2012 полн'!AP15+'2012 полн'!AQ15+'2012 полн'!AR15+'2012 полн'!AS15+'2012 полн'!AT15+'2012 полн'!AZ15</f>
        <v>54126.45000000001</v>
      </c>
      <c r="M21" s="164">
        <f>'2012 полн'!AU15+'2012 полн'!AV15+'2012 полн'!AW15+'2012 полн'!AX15</f>
        <v>9346.84</v>
      </c>
      <c r="N21" s="269">
        <f>'2012 полн'!BD15</f>
        <v>28.5</v>
      </c>
      <c r="O21" s="269">
        <f>'2012 полн'!BE15</f>
        <v>68598.685</v>
      </c>
      <c r="P21" s="165">
        <f>'2012 полн'!BF15</f>
        <v>15299.165000000008</v>
      </c>
      <c r="Q21" s="165">
        <f>'2012 полн'!BG15</f>
        <v>22.760000000009313</v>
      </c>
      <c r="R21" s="161"/>
      <c r="S21" s="161"/>
    </row>
    <row r="22" spans="1:17" ht="12.75" hidden="1">
      <c r="A22" s="157" t="s">
        <v>51</v>
      </c>
      <c r="B22" s="162">
        <f>'2012 полн'!B16</f>
        <v>5858.5</v>
      </c>
      <c r="C22" s="162">
        <f>'2012 полн'!C16</f>
        <v>50090.175</v>
      </c>
      <c r="D22" s="48">
        <f>'2012 полн'!D16</f>
        <v>3115.59</v>
      </c>
      <c r="E22" s="153">
        <f>'2012 полн'!U16</f>
        <v>81218.36</v>
      </c>
      <c r="F22" s="153">
        <f>'2012 полн'!V16</f>
        <v>0</v>
      </c>
      <c r="G22" s="163">
        <f>'2012 полн'!AF16</f>
        <v>63429.000000000015</v>
      </c>
      <c r="H22" s="163">
        <f>'2012 полн'!AG16</f>
        <v>66544.59000000001</v>
      </c>
      <c r="I22" s="163">
        <f>'2012 полн'!AJ16</f>
        <v>114</v>
      </c>
      <c r="J22" s="163">
        <f>'2012 полн'!AK16</f>
        <v>3925.195</v>
      </c>
      <c r="K22" s="163">
        <f>'2012 полн'!AL16</f>
        <v>1171.7</v>
      </c>
      <c r="L22" s="153">
        <f>'2012 полн'!AM16+'2012 полн'!AN16+'2012 полн'!AO16+'2012 полн'!AP16+'2012 полн'!AQ16+'2012 полн'!AR16+'2012 полн'!AS16+'2012 полн'!AT16+'2012 полн'!AZ16</f>
        <v>55869.37000000001</v>
      </c>
      <c r="M22" s="164">
        <f>'2012 полн'!AU16+'2012 полн'!AV16+'2012 полн'!AW16+'2012 полн'!AX16</f>
        <v>9738.029999999999</v>
      </c>
      <c r="N22" s="269">
        <f>'2012 полн'!BD16</f>
        <v>28.5</v>
      </c>
      <c r="O22" s="269">
        <f>'2012 полн'!BE16</f>
        <v>70732.795</v>
      </c>
      <c r="P22" s="165">
        <f>'2012 полн'!BF16</f>
        <v>-4074.204999999987</v>
      </c>
      <c r="Q22" s="165">
        <f>'2012 полн'!BG16</f>
        <v>-17789.359999999986</v>
      </c>
    </row>
    <row r="23" spans="1:17" ht="12.75" hidden="1">
      <c r="A23" s="157" t="s">
        <v>52</v>
      </c>
      <c r="B23" s="162">
        <f>'2012 полн'!B17</f>
        <v>5858.5</v>
      </c>
      <c r="C23" s="162">
        <f>'2012 полн'!C17</f>
        <v>50090.175</v>
      </c>
      <c r="D23" s="48">
        <f>'2012 полн'!D17</f>
        <v>43115.59</v>
      </c>
      <c r="E23" s="153">
        <f>'2012 полн'!U17</f>
        <v>80588.97</v>
      </c>
      <c r="F23" s="153">
        <f>'2012 полн'!V17</f>
        <v>0</v>
      </c>
      <c r="G23" s="163">
        <f>'2012 полн'!AF17</f>
        <v>64268.89</v>
      </c>
      <c r="H23" s="163">
        <f>'2012 полн'!AG17</f>
        <v>107384.48</v>
      </c>
      <c r="I23" s="163">
        <f>'2012 полн'!AJ17</f>
        <v>114</v>
      </c>
      <c r="J23" s="163">
        <f>'2012 полн'!AK17</f>
        <v>3925.195</v>
      </c>
      <c r="K23" s="163">
        <f>'2012 полн'!AL17</f>
        <v>1171.7</v>
      </c>
      <c r="L23" s="153">
        <f>'2012 полн'!AM17+'2012 полн'!AN17+'2012 полн'!AO17+'2012 полн'!AP17+'2012 полн'!AQ17+'2012 полн'!AR17+'2012 полн'!AS17+'2012 полн'!AT17+'2012 полн'!AZ17</f>
        <v>55881.030000000006</v>
      </c>
      <c r="M23" s="164">
        <f>'2012 полн'!AU17+'2012 полн'!AV17+'2012 полн'!AW17+'2012 полн'!AX17</f>
        <v>55198.39</v>
      </c>
      <c r="N23" s="269">
        <f>'2012 полн'!BD17</f>
        <v>28.5</v>
      </c>
      <c r="O23" s="269">
        <f>'2012 полн'!BE17</f>
        <v>116204.81499999999</v>
      </c>
      <c r="P23" s="165">
        <f>'2012 полн'!BF17</f>
        <v>-8706.334999999992</v>
      </c>
      <c r="Q23" s="165">
        <f>'2012 полн'!BG17</f>
        <v>-16320.080000000002</v>
      </c>
    </row>
    <row r="24" spans="1:17" ht="12.75" hidden="1">
      <c r="A24" s="157" t="s">
        <v>53</v>
      </c>
      <c r="B24" s="162">
        <f>'2012 полн'!B18</f>
        <v>5858.5</v>
      </c>
      <c r="C24" s="162">
        <f>'2012 полн'!C18</f>
        <v>50090.175</v>
      </c>
      <c r="D24" s="48">
        <f>'2012 полн'!D18</f>
        <v>2387.5139999999997</v>
      </c>
      <c r="E24" s="153">
        <f>'2012 полн'!U18</f>
        <v>80949.75</v>
      </c>
      <c r="F24" s="153">
        <f>'2012 полн'!V18</f>
        <v>0</v>
      </c>
      <c r="G24" s="163">
        <f>'2012 полн'!AF18</f>
        <v>86053.51000000001</v>
      </c>
      <c r="H24" s="163">
        <f>'2012 полн'!AG18</f>
        <v>88441.024</v>
      </c>
      <c r="I24" s="163">
        <f>'2012 полн'!AJ18</f>
        <v>114</v>
      </c>
      <c r="J24" s="163">
        <f>'2012 полн'!AK18</f>
        <v>3925.195</v>
      </c>
      <c r="K24" s="163">
        <f>'2012 полн'!AL18</f>
        <v>1171.7</v>
      </c>
      <c r="L24" s="153">
        <f>'2012 полн'!AM18+'2012 полн'!AN18+'2012 полн'!AO18+'2012 полн'!AP18+'2012 полн'!AQ18+'2012 полн'!AR18+'2012 полн'!AS18+'2012 полн'!AT18+'2012 полн'!AZ18</f>
        <v>53807.280000000006</v>
      </c>
      <c r="M24" s="164">
        <f>'2012 полн'!AU18+'2012 полн'!AV18+'2012 полн'!AW18+'2012 полн'!AX18</f>
        <v>453.9</v>
      </c>
      <c r="N24" s="269">
        <f>'2012 полн'!BD18</f>
        <v>28.5</v>
      </c>
      <c r="O24" s="269">
        <f>'2012 полн'!BE18</f>
        <v>59386.575</v>
      </c>
      <c r="P24" s="165">
        <f>'2012 полн'!BF18</f>
        <v>29168.449000000008</v>
      </c>
      <c r="Q24" s="165">
        <f>'2012 полн'!BG18</f>
        <v>5103.760000000009</v>
      </c>
    </row>
    <row r="25" spans="1:17" ht="12.75" hidden="1">
      <c r="A25" s="157" t="s">
        <v>41</v>
      </c>
      <c r="B25" s="162">
        <f>'2012 полн'!B19</f>
        <v>5860.1</v>
      </c>
      <c r="C25" s="162">
        <f>'2012 полн'!C19</f>
        <v>50103.85500000001</v>
      </c>
      <c r="D25" s="48">
        <f>'2012 полн'!D19</f>
        <v>2387.5139999999997</v>
      </c>
      <c r="E25" s="153">
        <f>'2012 полн'!U19</f>
        <v>81397.05</v>
      </c>
      <c r="F25" s="153">
        <f>'2012 полн'!V19</f>
        <v>0</v>
      </c>
      <c r="G25" s="163">
        <f>'2012 полн'!AF19</f>
        <v>69042.85</v>
      </c>
      <c r="H25" s="163">
        <f>'2012 полн'!AG19</f>
        <v>71430.364</v>
      </c>
      <c r="I25" s="163">
        <f>'2012 полн'!AJ19</f>
        <v>114</v>
      </c>
      <c r="J25" s="163">
        <f>'2012 полн'!AK19</f>
        <v>3926.2670000000003</v>
      </c>
      <c r="K25" s="163">
        <f>'2012 полн'!AL19</f>
        <v>1172.0200000000002</v>
      </c>
      <c r="L25" s="153">
        <f>'2012 полн'!AM19+'2012 полн'!AN19+'2012 полн'!AO19+'2012 полн'!AP19+'2012 полн'!AQ19+'2012 полн'!AR19+'2012 полн'!AS19+'2012 полн'!AT19+'2012 полн'!AZ19</f>
        <v>64609.011</v>
      </c>
      <c r="M25" s="164">
        <f>'2012 полн'!AU19+'2012 полн'!AV19+'2012 полн'!AW19+'2012 полн'!AX19</f>
        <v>7846.0599999999995</v>
      </c>
      <c r="N25" s="269">
        <f>'2012 полн'!BD19</f>
        <v>28.5</v>
      </c>
      <c r="O25" s="269">
        <f>'2012 полн'!BE19</f>
        <v>77581.85800000001</v>
      </c>
      <c r="P25" s="165">
        <f>'2012 полн'!BF19</f>
        <v>-6037.494000000006</v>
      </c>
      <c r="Q25" s="165">
        <f>'2012 полн'!BG19</f>
        <v>-12354.199999999997</v>
      </c>
    </row>
    <row r="26" spans="1:17" ht="12.75" hidden="1">
      <c r="A26" s="157" t="s">
        <v>42</v>
      </c>
      <c r="B26" s="162">
        <f>'2012 полн'!B20</f>
        <v>5858.5</v>
      </c>
      <c r="C26" s="162">
        <f>'2012 полн'!C20</f>
        <v>50090.175</v>
      </c>
      <c r="D26" s="48">
        <f>'2012 полн'!D20</f>
        <v>2387.5139999999997</v>
      </c>
      <c r="E26" s="153">
        <f>'2012 полн'!U20</f>
        <v>81198.47</v>
      </c>
      <c r="F26" s="153">
        <f>'2012 полн'!V20</f>
        <v>0</v>
      </c>
      <c r="G26" s="163">
        <f>'2012 полн'!AF20</f>
        <v>78825.51000000001</v>
      </c>
      <c r="H26" s="163">
        <f>'2012 полн'!AG20</f>
        <v>81213.024</v>
      </c>
      <c r="I26" s="163">
        <f>'2012 полн'!AJ20</f>
        <v>114</v>
      </c>
      <c r="J26" s="163">
        <f>'2012 полн'!AK20</f>
        <v>3925.195</v>
      </c>
      <c r="K26" s="163">
        <f>'2012 полн'!AL20</f>
        <v>1171.7</v>
      </c>
      <c r="L26" s="153">
        <f>'2012 полн'!AM20+'2012 полн'!AN20+'2012 полн'!AO20+'2012 полн'!AP20+'2012 полн'!AQ20+'2012 полн'!AR20+'2012 полн'!AS20+'2012 полн'!AT20+'2012 полн'!AZ20</f>
        <v>61645.27500000001</v>
      </c>
      <c r="M26" s="164">
        <f>'2012 полн'!AU20+'2012 полн'!AV20+'2012 полн'!AW20+'2012 полн'!AX20</f>
        <v>426.25</v>
      </c>
      <c r="N26" s="269">
        <f>'2012 полн'!BD20</f>
        <v>28.5</v>
      </c>
      <c r="O26" s="269">
        <f>'2012 полн'!BE20</f>
        <v>67196.92</v>
      </c>
      <c r="P26" s="165">
        <f>'2012 полн'!BF20</f>
        <v>14130.104000000007</v>
      </c>
      <c r="Q26" s="165">
        <f>'2012 полн'!BG20</f>
        <v>-2372.959999999992</v>
      </c>
    </row>
    <row r="27" spans="1:17" ht="13.5" hidden="1" thickBot="1">
      <c r="A27" s="166" t="s">
        <v>43</v>
      </c>
      <c r="B27" s="162">
        <f>'2012 полн'!B21</f>
        <v>5860.1</v>
      </c>
      <c r="C27" s="162">
        <f>'2012 полн'!C21</f>
        <v>50103.85500000001</v>
      </c>
      <c r="D27" s="48">
        <f>'2012 полн'!D21</f>
        <v>2387.5139999999997</v>
      </c>
      <c r="E27" s="153">
        <f>'2012 полн'!U21</f>
        <v>125896.46</v>
      </c>
      <c r="F27" s="153">
        <f>'2012 полн'!V21</f>
        <v>0</v>
      </c>
      <c r="G27" s="163">
        <f>'2012 полн'!AF21</f>
        <v>98461.29</v>
      </c>
      <c r="H27" s="163">
        <f>'2012 полн'!AG21</f>
        <v>100848.80399999999</v>
      </c>
      <c r="I27" s="163">
        <f>'2012 полн'!AJ21</f>
        <v>114</v>
      </c>
      <c r="J27" s="163">
        <f>'2012 полн'!AK21</f>
        <v>3926.2670000000003</v>
      </c>
      <c r="K27" s="163">
        <f>'2012 полн'!AL21</f>
        <v>1172.0200000000002</v>
      </c>
      <c r="L27" s="153">
        <f>'2012 полн'!AM21+'2012 полн'!AN21+'2012 полн'!AO21+'2012 полн'!AP21+'2012 полн'!AQ21+'2012 полн'!AR21+'2012 полн'!AS21+'2012 полн'!AT21+'2012 полн'!AZ21</f>
        <v>61290.581</v>
      </c>
      <c r="M27" s="164">
        <f>'2012 полн'!AU21+'2012 полн'!AV21+'2012 полн'!AW21+'2012 полн'!AX21</f>
        <v>500</v>
      </c>
      <c r="N27" s="269">
        <f>'2012 полн'!BD21</f>
        <v>28.5</v>
      </c>
      <c r="O27" s="269">
        <f>'2012 полн'!BE21</f>
        <v>66917.368</v>
      </c>
      <c r="P27" s="165">
        <f>'2012 полн'!BF21</f>
        <v>34045.43599999999</v>
      </c>
      <c r="Q27" s="165">
        <f>'2012 полн'!BG21</f>
        <v>-27435.170000000013</v>
      </c>
    </row>
    <row r="28" spans="1:19" s="28" customFormat="1" ht="13.5" hidden="1" thickBot="1">
      <c r="A28" s="55" t="s">
        <v>5</v>
      </c>
      <c r="B28" s="56"/>
      <c r="C28" s="61">
        <f aca="true" t="shared" si="0" ref="C28:P28">SUM(C16:C27)</f>
        <v>601287.2999999999</v>
      </c>
      <c r="D28" s="61">
        <f t="shared" si="0"/>
        <v>74474.77599999998</v>
      </c>
      <c r="E28" s="61">
        <f t="shared" si="0"/>
        <v>1016232.63</v>
      </c>
      <c r="F28" s="61">
        <f t="shared" si="0"/>
        <v>0</v>
      </c>
      <c r="G28" s="61">
        <f t="shared" si="0"/>
        <v>854244.25</v>
      </c>
      <c r="H28" s="61">
        <f t="shared" si="0"/>
        <v>928719.0260000001</v>
      </c>
      <c r="I28" s="61">
        <f t="shared" si="0"/>
        <v>1368</v>
      </c>
      <c r="J28" s="61">
        <f t="shared" si="0"/>
        <v>47118.42</v>
      </c>
      <c r="K28" s="61">
        <f t="shared" si="0"/>
        <v>14065.200000000003</v>
      </c>
      <c r="L28" s="61">
        <f t="shared" si="0"/>
        <v>697406.3500000001</v>
      </c>
      <c r="M28" s="61">
        <f t="shared" si="0"/>
        <v>196205.63999999998</v>
      </c>
      <c r="N28" s="61">
        <f t="shared" si="0"/>
        <v>342</v>
      </c>
      <c r="O28" s="61">
        <f t="shared" si="0"/>
        <v>955137.61</v>
      </c>
      <c r="P28" s="61">
        <f t="shared" si="0"/>
        <v>-25050.58400000003</v>
      </c>
      <c r="Q28" s="61">
        <f>SUM(Q16:Q27)</f>
        <v>-161988.37999999995</v>
      </c>
      <c r="R28" s="63"/>
      <c r="S28" s="63"/>
    </row>
    <row r="29" spans="1:17" ht="13.5" hidden="1" thickBot="1">
      <c r="A29" s="454" t="s">
        <v>68</v>
      </c>
      <c r="B29" s="455"/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171"/>
      <c r="P29" s="266"/>
      <c r="Q29" s="266"/>
    </row>
    <row r="30" spans="1:19" s="28" customFormat="1" ht="13.5" thickBot="1">
      <c r="A30" s="71" t="s">
        <v>54</v>
      </c>
      <c r="B30" s="72"/>
      <c r="C30" s="73">
        <f aca="true" t="shared" si="1" ref="C30:Q30">C28+C14</f>
        <v>1970629.875</v>
      </c>
      <c r="D30" s="73">
        <f t="shared" si="1"/>
        <v>233569.8503053</v>
      </c>
      <c r="E30" s="73">
        <f t="shared" si="1"/>
        <v>2233858.09</v>
      </c>
      <c r="F30" s="73">
        <f t="shared" si="1"/>
        <v>168573.59</v>
      </c>
      <c r="G30" s="73">
        <f>G28+G14</f>
        <v>2011994.96</v>
      </c>
      <c r="H30" s="73">
        <f t="shared" si="1"/>
        <v>2414138.4003053</v>
      </c>
      <c r="I30" s="73">
        <f t="shared" si="1"/>
        <v>1818</v>
      </c>
      <c r="J30" s="73">
        <f t="shared" si="1"/>
        <v>140694.08399999997</v>
      </c>
      <c r="K30" s="73">
        <f t="shared" si="1"/>
        <v>45420.82496400001</v>
      </c>
      <c r="L30" s="73">
        <f t="shared" si="1"/>
        <v>1721394.7822020536</v>
      </c>
      <c r="M30" s="73">
        <f t="shared" si="1"/>
        <v>605537.913</v>
      </c>
      <c r="N30" s="73">
        <f t="shared" si="1"/>
        <v>454.5</v>
      </c>
      <c r="O30" s="73">
        <f t="shared" si="1"/>
        <v>2513502.1041660537</v>
      </c>
      <c r="P30" s="73">
        <f t="shared" si="1"/>
        <v>-97545.70386075368</v>
      </c>
      <c r="Q30" s="73">
        <f t="shared" si="1"/>
        <v>-221863.13</v>
      </c>
      <c r="R30" s="74"/>
      <c r="S30" s="63"/>
    </row>
    <row r="31" spans="1:19" ht="12.75">
      <c r="A31" s="8" t="s">
        <v>124</v>
      </c>
      <c r="B31" s="167"/>
      <c r="C31" s="64"/>
      <c r="D31" s="65"/>
      <c r="E31" s="168"/>
      <c r="F31" s="169"/>
      <c r="G31" s="170"/>
      <c r="H31" s="169"/>
      <c r="I31" s="267"/>
      <c r="J31" s="170"/>
      <c r="K31" s="153"/>
      <c r="L31" s="153"/>
      <c r="M31" s="164"/>
      <c r="N31" s="268"/>
      <c r="O31" s="154"/>
      <c r="P31" s="165"/>
      <c r="Q31" s="165"/>
      <c r="R31" s="161"/>
      <c r="S31" s="161"/>
    </row>
    <row r="32" spans="1:19" ht="12.75">
      <c r="A32" s="157" t="s">
        <v>45</v>
      </c>
      <c r="B32" s="162">
        <f>'2012 полн'!B26</f>
        <v>5859.2</v>
      </c>
      <c r="C32" s="162">
        <f>'2012 полн'!C26</f>
        <v>50096.16</v>
      </c>
      <c r="D32" s="48">
        <f>'2012 полн'!D26</f>
        <v>2387.5139999999997</v>
      </c>
      <c r="E32" s="153">
        <f>'2012 полн'!U26</f>
        <v>75654.03</v>
      </c>
      <c r="F32" s="153">
        <f>'2012 полн'!V26</f>
        <v>0</v>
      </c>
      <c r="G32" s="163">
        <f>'2012 полн'!AF26</f>
        <v>53323.55</v>
      </c>
      <c r="H32" s="163">
        <f>'2012 полн'!AG26</f>
        <v>55711.064000000006</v>
      </c>
      <c r="I32" s="163">
        <f>'2012 полн'!AJ26</f>
        <v>114</v>
      </c>
      <c r="J32" s="163">
        <f>'2012 полн'!AK26</f>
        <v>3925.664</v>
      </c>
      <c r="K32" s="163">
        <f>'2012 полн'!AL26</f>
        <v>1171.84</v>
      </c>
      <c r="L32" s="153">
        <f>'2012 полн'!AM26+'2012 полн'!AN26+'2012 полн'!AO26+'2012 полн'!AP26+'2012 полн'!AQ26+'2012 полн'!AR26+'2012 полн'!AS26+'2012 полн'!AT26+'2012 полн'!AZ26</f>
        <v>61237.99876390332</v>
      </c>
      <c r="M32" s="164">
        <f>'2012 полн'!AU26+'2012 полн'!AV26+'2012 полн'!AW26+'2012 полн'!AX26</f>
        <v>0</v>
      </c>
      <c r="N32" s="269">
        <f>'2012 полн'!BD26</f>
        <v>28.5</v>
      </c>
      <c r="O32" s="269">
        <f>'2012 полн'!BE26</f>
        <v>66364.00276390332</v>
      </c>
      <c r="P32" s="165">
        <f>'2012 полн'!BF26</f>
        <v>-10538.938763903316</v>
      </c>
      <c r="Q32" s="165">
        <f>'2012 полн'!BG26</f>
        <v>-22330.479999999996</v>
      </c>
      <c r="R32" s="161"/>
      <c r="S32" s="161"/>
    </row>
    <row r="33" spans="1:19" ht="12.75">
      <c r="A33" s="157" t="s">
        <v>46</v>
      </c>
      <c r="B33" s="162">
        <f>'2012 полн'!B27</f>
        <v>5859.2</v>
      </c>
      <c r="C33" s="162">
        <f>'2012 полн'!C27</f>
        <v>50096.16</v>
      </c>
      <c r="D33" s="48">
        <f>'2012 полн'!D27</f>
        <v>2387.5139999999997</v>
      </c>
      <c r="E33" s="153">
        <f>'2012 полн'!U27</f>
        <v>77421.64</v>
      </c>
      <c r="F33" s="153">
        <f>'2012 полн'!V27</f>
        <v>0</v>
      </c>
      <c r="G33" s="163">
        <f>'2012 полн'!AF27</f>
        <v>49446.14</v>
      </c>
      <c r="H33" s="163">
        <f>'2012 полн'!AG27</f>
        <v>51833.654</v>
      </c>
      <c r="I33" s="163">
        <f>'2012 полн'!AJ27</f>
        <v>114</v>
      </c>
      <c r="J33" s="163">
        <f>'2012 полн'!AK27</f>
        <v>3925.664</v>
      </c>
      <c r="K33" s="163">
        <f>'2012 полн'!AL27</f>
        <v>1171.84</v>
      </c>
      <c r="L33" s="153">
        <f>'2012 полн'!AM27+'2012 полн'!AN27+'2012 полн'!AO27+'2012 полн'!AP27+'2012 полн'!AQ27+'2012 полн'!AR27+'2012 полн'!AS27+'2012 полн'!AT27+'2012 полн'!AZ27</f>
        <v>64017.378</v>
      </c>
      <c r="M33" s="164">
        <f>'2012 полн'!AU27+'2012 полн'!AV27+'2012 полн'!AW27+'2012 полн'!AX27</f>
        <v>2226</v>
      </c>
      <c r="N33" s="269">
        <f>'2012 полн'!BD27</f>
        <v>28.5</v>
      </c>
      <c r="O33" s="269">
        <f>'2012 полн'!BE27</f>
        <v>71369.382</v>
      </c>
      <c r="P33" s="165">
        <f>'2012 полн'!BF27</f>
        <v>-19421.727999999996</v>
      </c>
      <c r="Q33" s="165">
        <f>'2012 полн'!BG27</f>
        <v>-27975.5</v>
      </c>
      <c r="R33" s="161"/>
      <c r="S33" s="161"/>
    </row>
    <row r="34" spans="1:19" ht="12.75">
      <c r="A34" s="157" t="s">
        <v>47</v>
      </c>
      <c r="B34" s="162">
        <f>'2012 полн'!B28</f>
        <v>5859.2</v>
      </c>
      <c r="C34" s="162">
        <f>'2012 полн'!C28</f>
        <v>50096.16</v>
      </c>
      <c r="D34" s="48">
        <f>'2012 полн'!D28</f>
        <v>2387.5139999999997</v>
      </c>
      <c r="E34" s="153">
        <f>'2012 полн'!U28</f>
        <v>77114.71</v>
      </c>
      <c r="F34" s="153">
        <f>'2012 полн'!V28</f>
        <v>0</v>
      </c>
      <c r="G34" s="163">
        <f>'2012 полн'!AF28</f>
        <v>87460.70000000001</v>
      </c>
      <c r="H34" s="163">
        <f>'2012 полн'!AG28</f>
        <v>89848.214</v>
      </c>
      <c r="I34" s="163">
        <f>'2012 полн'!AJ28</f>
        <v>114</v>
      </c>
      <c r="J34" s="163">
        <f>'2012 полн'!AK28</f>
        <v>3925.664</v>
      </c>
      <c r="K34" s="163">
        <f>'2012 полн'!AL28</f>
        <v>1171.84</v>
      </c>
      <c r="L34" s="153">
        <f>'2012 полн'!AM28+'2012 полн'!AN28+'2012 полн'!AO28+'2012 полн'!AP28+'2012 полн'!AQ28+'2012 полн'!AR28+'2012 полн'!AS28+'2012 полн'!AT28+'2012 полн'!AZ28</f>
        <v>64017.378</v>
      </c>
      <c r="M34" s="164">
        <f>'2012 полн'!AU28+'2012 полн'!AV28+'2012 полн'!AW28+'2012 полн'!AX28</f>
        <v>456.34000000000003</v>
      </c>
      <c r="N34" s="269">
        <f>'2012 полн'!BD28</f>
        <v>28.5</v>
      </c>
      <c r="O34" s="269">
        <f>'2012 полн'!BE28</f>
        <v>69599.722</v>
      </c>
      <c r="P34" s="165">
        <f>'2012 полн'!BF28</f>
        <v>20362.492000000013</v>
      </c>
      <c r="Q34" s="165">
        <f>'2012 полн'!BG28</f>
        <v>10345.990000000005</v>
      </c>
      <c r="R34" s="161"/>
      <c r="S34" s="161"/>
    </row>
    <row r="35" spans="1:19" ht="12.75">
      <c r="A35" s="157" t="s">
        <v>48</v>
      </c>
      <c r="B35" s="162">
        <f>'2012 полн'!B29</f>
        <v>5859.2</v>
      </c>
      <c r="C35" s="162">
        <f>'2012 полн'!C29</f>
        <v>50096.16</v>
      </c>
      <c r="D35" s="48">
        <f>'2012 полн'!D29</f>
        <v>2387.5139999999997</v>
      </c>
      <c r="E35" s="153">
        <f>'2012 полн'!U29</f>
        <v>77528.59</v>
      </c>
      <c r="F35" s="153">
        <f>'2012 полн'!V29</f>
        <v>0</v>
      </c>
      <c r="G35" s="163">
        <f>'2012 полн'!AF29</f>
        <v>62189.15</v>
      </c>
      <c r="H35" s="163">
        <f>'2012 полн'!AG29</f>
        <v>64576.664000000004</v>
      </c>
      <c r="I35" s="163">
        <f>'2012 полн'!AJ29</f>
        <v>114</v>
      </c>
      <c r="J35" s="163">
        <f>'2012 полн'!AK29</f>
        <v>3925.664</v>
      </c>
      <c r="K35" s="163">
        <f>'2012 полн'!AL29</f>
        <v>1171.84</v>
      </c>
      <c r="L35" s="153">
        <f>'2012 полн'!AM29+'2012 полн'!AN29+'2012 полн'!AO29+'2012 полн'!AP29+'2012 полн'!AQ29+'2012 полн'!AR29+'2012 полн'!AS29+'2012 полн'!AT29+'2012 полн'!AZ29</f>
        <v>57279.297999999995</v>
      </c>
      <c r="M35" s="164">
        <f>'2012 полн'!AU29+'2012 полн'!AV29+'2012 полн'!AW29+'2012 полн'!AX29</f>
        <v>3917.6</v>
      </c>
      <c r="N35" s="269">
        <f>'2012 полн'!BD29</f>
        <v>28.5</v>
      </c>
      <c r="O35" s="269">
        <f>'2012 полн'!BE29</f>
        <v>66322.902</v>
      </c>
      <c r="P35" s="165">
        <f>'2012 полн'!BF29</f>
        <v>-1632.2379999999976</v>
      </c>
      <c r="Q35" s="165">
        <f>'2012 полн'!BG29</f>
        <v>-15339.439999999995</v>
      </c>
      <c r="R35" s="161"/>
      <c r="S35" s="161"/>
    </row>
    <row r="36" spans="1:19" ht="12.75">
      <c r="A36" s="157" t="s">
        <v>49</v>
      </c>
      <c r="B36" s="162">
        <f>'2012 полн'!B30</f>
        <v>5859.2</v>
      </c>
      <c r="C36" s="162">
        <f>'2012 полн'!C30</f>
        <v>50096.16</v>
      </c>
      <c r="D36" s="48">
        <f>'2012 полн'!D30</f>
        <v>2387.5139999999997</v>
      </c>
      <c r="E36" s="153">
        <f>'2012 полн'!U30</f>
        <v>78094.81</v>
      </c>
      <c r="F36" s="153">
        <f>'2012 полн'!V30</f>
        <v>0</v>
      </c>
      <c r="G36" s="163">
        <f>'2012 полн'!AF30</f>
        <v>66079.37</v>
      </c>
      <c r="H36" s="163">
        <f>'2012 полн'!AG30</f>
        <v>68466.88399999999</v>
      </c>
      <c r="I36" s="163">
        <f>'2012 полн'!AJ30</f>
        <v>114</v>
      </c>
      <c r="J36" s="163">
        <f>'2012 полн'!AK30</f>
        <v>3925.664</v>
      </c>
      <c r="K36" s="163">
        <f>'2012 полн'!AL30</f>
        <v>1171.84</v>
      </c>
      <c r="L36" s="153">
        <f>'2012 полн'!AM30+'2012 полн'!AN30+'2012 полн'!AO30+'2012 полн'!AP30+'2012 полн'!AQ30+'2012 полн'!AR30+'2012 полн'!AS30+'2012 полн'!AT30+'2012 полн'!AZ30</f>
        <v>57279.297999999995</v>
      </c>
      <c r="M36" s="164">
        <f>'2012 полн'!AU30+'2012 полн'!AV30+'2012 полн'!AW30+'2012 полн'!AX30</f>
        <v>0</v>
      </c>
      <c r="N36" s="269">
        <f>'2012 полн'!BD30</f>
        <v>28.5</v>
      </c>
      <c r="O36" s="269">
        <f>'2012 полн'!BE30</f>
        <v>62405.301999999996</v>
      </c>
      <c r="P36" s="165">
        <f>'2012 полн'!BF30</f>
        <v>6175.581999999995</v>
      </c>
      <c r="Q36" s="165">
        <f>'2012 полн'!BG30</f>
        <v>-12015.440000000002</v>
      </c>
      <c r="R36" s="161"/>
      <c r="S36" s="161"/>
    </row>
    <row r="37" spans="1:19" ht="12.75">
      <c r="A37" s="157" t="s">
        <v>50</v>
      </c>
      <c r="B37" s="162">
        <f>'2012 полн'!B31</f>
        <v>5859.2</v>
      </c>
      <c r="C37" s="162">
        <f>'2012 полн'!C31</f>
        <v>50096.16</v>
      </c>
      <c r="D37" s="48">
        <f>'2012 полн'!D31</f>
        <v>2387.5139999999997</v>
      </c>
      <c r="E37" s="153">
        <f>'2012 полн'!U31</f>
        <v>78092.67</v>
      </c>
      <c r="F37" s="153">
        <f>'2012 полн'!V31</f>
        <v>0</v>
      </c>
      <c r="G37" s="163">
        <f>'2012 полн'!AF31</f>
        <v>83485.36</v>
      </c>
      <c r="H37" s="163">
        <f>'2012 полн'!AG31</f>
        <v>85872.874</v>
      </c>
      <c r="I37" s="163">
        <f>'2012 полн'!AJ31</f>
        <v>214</v>
      </c>
      <c r="J37" s="163">
        <f>'2012 полн'!AK31</f>
        <v>3925.664</v>
      </c>
      <c r="K37" s="163">
        <f>'2012 полн'!AL31</f>
        <v>1171.84</v>
      </c>
      <c r="L37" s="153">
        <f>'2012 полн'!AM31+'2012 полн'!AN31+'2012 полн'!AO31+'2012 полн'!AP31+'2012 полн'!AQ31+'2012 полн'!AR31+'2012 полн'!AS31+'2012 полн'!AT31+'2012 полн'!AZ31</f>
        <v>57279.297999999995</v>
      </c>
      <c r="M37" s="164">
        <f>'2012 полн'!AU31+'2012 полн'!AV31+'2012 полн'!AW31+'2012 полн'!AX31</f>
        <v>1618.17</v>
      </c>
      <c r="N37" s="269">
        <f>'2012 полн'!BD31</f>
        <v>53.5</v>
      </c>
      <c r="O37" s="269">
        <f>'2012 полн'!BE31</f>
        <v>64048.471999999994</v>
      </c>
      <c r="P37" s="165">
        <f>'2012 полн'!BF31</f>
        <v>22038.402000000002</v>
      </c>
      <c r="Q37" s="165">
        <f>'2012 полн'!BG31</f>
        <v>5392.690000000002</v>
      </c>
      <c r="R37" s="161"/>
      <c r="S37" s="161"/>
    </row>
    <row r="38" spans="1:17" ht="12.75">
      <c r="A38" s="157" t="s">
        <v>51</v>
      </c>
      <c r="B38" s="162">
        <f>'2012 полн'!B32</f>
        <v>5859.2</v>
      </c>
      <c r="C38" s="162">
        <f>'2012 полн'!C32</f>
        <v>83607.45199999999</v>
      </c>
      <c r="D38" s="48">
        <f>'2012 полн'!D32</f>
        <v>3195.0555</v>
      </c>
      <c r="E38" s="153">
        <f>'2012 полн'!U32</f>
        <v>81931.29000000001</v>
      </c>
      <c r="F38" s="153">
        <f>'2012 полн'!V32</f>
        <v>0</v>
      </c>
      <c r="G38" s="163">
        <f>'2012 полн'!AF32</f>
        <v>69418.83</v>
      </c>
      <c r="H38" s="163">
        <f>'2012 полн'!AG32</f>
        <v>72613.8855</v>
      </c>
      <c r="I38" s="163">
        <f>'2012 полн'!AJ32</f>
        <v>214</v>
      </c>
      <c r="J38" s="163">
        <f>'2012 полн'!AK32</f>
        <v>4394.4</v>
      </c>
      <c r="K38" s="163">
        <f>'2012 полн'!AL32</f>
        <v>1171.84</v>
      </c>
      <c r="L38" s="153">
        <f>'2012 полн'!AM32+'2012 полн'!AN32+'2012 полн'!AO32+'2012 полн'!AP32+'2012 полн'!AQ32+'2012 полн'!AR32+'2012 полн'!AS32+'2012 полн'!AT32+'2012 полн'!AZ32</f>
        <v>57279.297999999995</v>
      </c>
      <c r="M38" s="164">
        <f>'2012 полн'!AU32+'2012 полн'!AV32+'2012 полн'!AW32+'2012 полн'!AX32</f>
        <v>9706.96</v>
      </c>
      <c r="N38" s="269">
        <f>'2012 полн'!BD32</f>
        <v>53.5</v>
      </c>
      <c r="O38" s="269">
        <f>'2012 полн'!BE32</f>
        <v>72605.99799999999</v>
      </c>
      <c r="P38" s="165">
        <f>'2012 полн'!BF32</f>
        <v>221.88750000001164</v>
      </c>
      <c r="Q38" s="165">
        <f>'2012 полн'!BG32</f>
        <v>-12512.460000000006</v>
      </c>
    </row>
    <row r="39" spans="1:17" ht="12.75">
      <c r="A39" s="157" t="s">
        <v>52</v>
      </c>
      <c r="B39" s="162">
        <f>'2012 полн'!B33</f>
        <v>5859.2</v>
      </c>
      <c r="C39" s="162">
        <f>'2012 полн'!C33</f>
        <v>83607.45199999999</v>
      </c>
      <c r="D39" s="48">
        <f>'2012 полн'!D33</f>
        <v>0</v>
      </c>
      <c r="E39" s="153">
        <f>'2012 полн'!U33</f>
        <v>82429.49</v>
      </c>
      <c r="F39" s="153">
        <f>'2012 полн'!V33</f>
        <v>0</v>
      </c>
      <c r="G39" s="163">
        <f>'2012 полн'!AF33</f>
        <v>79624.90000000001</v>
      </c>
      <c r="H39" s="163">
        <f>'2012 полн'!AG33</f>
        <v>79624.90000000001</v>
      </c>
      <c r="I39" s="163">
        <f>'2012 полн'!AJ33</f>
        <v>1114</v>
      </c>
      <c r="J39" s="163">
        <f>'2012 полн'!AK33</f>
        <v>4394.4</v>
      </c>
      <c r="K39" s="163">
        <f>'2012 полн'!AL33</f>
        <v>1171.84</v>
      </c>
      <c r="L39" s="153">
        <f>'2012 полн'!AM33+'2012 полн'!AN33+'2012 полн'!AO33+'2012 полн'!AP33+'2012 полн'!AQ33+'2012 полн'!AR33+'2012 полн'!AS33+'2012 полн'!AT33+'2012 полн'!AZ33</f>
        <v>56764.386044405</v>
      </c>
      <c r="M39" s="164">
        <f>'2012 полн'!AU33+'2012 полн'!AV33+'2012 полн'!AW33+'2012 полн'!AX33</f>
        <v>6367.76</v>
      </c>
      <c r="N39" s="269">
        <f>'2012 полн'!BD33</f>
        <v>278.5</v>
      </c>
      <c r="O39" s="269">
        <f>'2012 полн'!BE33</f>
        <v>68976.886044405</v>
      </c>
      <c r="P39" s="165">
        <f>'2012 полн'!BF33</f>
        <v>11762.013955595015</v>
      </c>
      <c r="Q39" s="165">
        <f>'2012 полн'!BG33</f>
        <v>-2804.5899999999965</v>
      </c>
    </row>
    <row r="40" spans="1:17" ht="12.75">
      <c r="A40" s="157" t="s">
        <v>53</v>
      </c>
      <c r="B40" s="162">
        <f>'2012 полн'!B34</f>
        <v>5859.2</v>
      </c>
      <c r="C40" s="162">
        <f>'2012 полн'!C34</f>
        <v>83607.45199999999</v>
      </c>
      <c r="D40" s="48">
        <f>'2012 полн'!D34</f>
        <v>0</v>
      </c>
      <c r="E40" s="153">
        <f>'2012 полн'!U34</f>
        <v>82051.45</v>
      </c>
      <c r="F40" s="153">
        <f>'2012 полн'!V34</f>
        <v>0</v>
      </c>
      <c r="G40" s="163">
        <f>'2012 полн'!AF34</f>
        <v>79125.73</v>
      </c>
      <c r="H40" s="163">
        <f>'2012 полн'!AG34</f>
        <v>79125.73</v>
      </c>
      <c r="I40" s="163">
        <f>'2012 полн'!AJ34</f>
        <v>514</v>
      </c>
      <c r="J40" s="163">
        <f>'2012 полн'!AK34</f>
        <v>4394.4</v>
      </c>
      <c r="K40" s="163">
        <f>'2012 полн'!AL34</f>
        <v>1171.84</v>
      </c>
      <c r="L40" s="153">
        <f>'2012 полн'!AM34+'2012 полн'!AN34+'2012 полн'!AO34+'2012 полн'!AP34+'2012 полн'!AQ34+'2012 полн'!AR34+'2012 полн'!AS34+'2012 полн'!AT34+'2012 полн'!AZ34</f>
        <v>57279.297999999995</v>
      </c>
      <c r="M40" s="164">
        <f>'2012 полн'!AU34+'2012 полн'!AV34+'2012 полн'!AW34+'2012 полн'!AX34</f>
        <v>7432.0509999999995</v>
      </c>
      <c r="N40" s="269">
        <f>'2012 полн'!BD34</f>
        <v>128.5</v>
      </c>
      <c r="O40" s="269">
        <f>'2012 полн'!BE34</f>
        <v>70406.08899999999</v>
      </c>
      <c r="P40" s="165">
        <f>'2012 полн'!BF34</f>
        <v>9233.641000000003</v>
      </c>
      <c r="Q40" s="165">
        <f>'2012 полн'!BG34</f>
        <v>-2925.720000000001</v>
      </c>
    </row>
    <row r="41" spans="1:17" ht="12.75">
      <c r="A41" s="157" t="s">
        <v>41</v>
      </c>
      <c r="B41" s="162">
        <f>'2012 полн'!B35</f>
        <v>5859.2</v>
      </c>
      <c r="C41" s="162">
        <f>'2012 полн'!C35</f>
        <v>83607.45199999999</v>
      </c>
      <c r="D41" s="48">
        <f>'2012 полн'!D35</f>
        <v>0</v>
      </c>
      <c r="E41" s="153">
        <f>'2012 полн'!U35</f>
        <v>82053.56</v>
      </c>
      <c r="F41" s="153">
        <f>'2012 полн'!V35</f>
        <v>0</v>
      </c>
      <c r="G41" s="163">
        <f>'2012 полн'!AF35</f>
        <v>89004.1</v>
      </c>
      <c r="H41" s="163">
        <f>'2012 полн'!AG35</f>
        <v>89004.1</v>
      </c>
      <c r="I41" s="163">
        <f>'2012 полн'!AJ35</f>
        <v>514</v>
      </c>
      <c r="J41" s="163">
        <f>'2012 полн'!AK35</f>
        <v>4394.4</v>
      </c>
      <c r="K41" s="163">
        <f>'2012 полн'!AL35</f>
        <v>1171.84</v>
      </c>
      <c r="L41" s="153">
        <f>'2012 полн'!AM35+'2012 полн'!AN35+'2012 полн'!AO35+'2012 полн'!AP35+'2012 полн'!AQ35+'2012 полн'!AR35+'2012 полн'!AS35+'2012 полн'!AT35+'2012 полн'!AZ35</f>
        <v>64017.378</v>
      </c>
      <c r="M41" s="164">
        <f>'2012 полн'!AU35+'2012 полн'!AV35+'2012 полн'!AW35+'2012 полн'!AX35</f>
        <v>7149.8019</v>
      </c>
      <c r="N41" s="269">
        <f>'2012 полн'!BD35</f>
        <v>128.5</v>
      </c>
      <c r="O41" s="269">
        <f>'2012 полн'!BE35</f>
        <v>76861.9199</v>
      </c>
      <c r="P41" s="165">
        <f>'2012 полн'!BF35</f>
        <v>12656.180100000012</v>
      </c>
      <c r="Q41" s="165">
        <f>'2012 полн'!BG35</f>
        <v>6950.540000000008</v>
      </c>
    </row>
    <row r="42" spans="1:17" ht="12.75">
      <c r="A42" s="157" t="s">
        <v>42</v>
      </c>
      <c r="B42" s="162">
        <f>'2012 полн'!B36</f>
        <v>5859.2</v>
      </c>
      <c r="C42" s="162">
        <f>'2012 полн'!C36</f>
        <v>83607.45199999999</v>
      </c>
      <c r="D42" s="48">
        <f>'2012 полн'!D36</f>
        <v>0</v>
      </c>
      <c r="E42" s="153">
        <f>'2012 полн'!U36</f>
        <v>82458.26000000001</v>
      </c>
      <c r="F42" s="153">
        <f>'2012 полн'!V36</f>
        <v>0</v>
      </c>
      <c r="G42" s="163">
        <f>'2012 полн'!AF36</f>
        <v>72650.20000000001</v>
      </c>
      <c r="H42" s="163">
        <f>'2012 полн'!AG36</f>
        <v>72650.20000000001</v>
      </c>
      <c r="I42" s="163">
        <f>'2012 полн'!AJ36</f>
        <v>514</v>
      </c>
      <c r="J42" s="163">
        <f>'2012 полн'!AK36</f>
        <v>4394.4</v>
      </c>
      <c r="K42" s="163">
        <f>'2012 полн'!AL36</f>
        <v>1171.84</v>
      </c>
      <c r="L42" s="153">
        <f>'2012 полн'!AM36+'2012 полн'!AN36+'2012 полн'!AO36+'2012 полн'!AP36+'2012 полн'!AQ36+'2012 полн'!AR36+'2012 полн'!AS36+'2012 полн'!AT36+'2012 полн'!AZ36</f>
        <v>64017.378</v>
      </c>
      <c r="M42" s="164">
        <f>'2012 полн'!AU36+'2012 полн'!AV36+'2012 полн'!AW36+'2012 полн'!AX36</f>
        <v>3354</v>
      </c>
      <c r="N42" s="269">
        <f>'2012 полн'!BD36</f>
        <v>128.5</v>
      </c>
      <c r="O42" s="269">
        <f>'2012 полн'!BE36</f>
        <v>73066.118</v>
      </c>
      <c r="P42" s="165">
        <f>'2012 полн'!BF36</f>
        <v>98.08200000000943</v>
      </c>
      <c r="Q42" s="165">
        <f>'2012 полн'!BG36</f>
        <v>-9808.059999999998</v>
      </c>
    </row>
    <row r="43" spans="1:17" ht="13.5" thickBot="1">
      <c r="A43" s="166" t="s">
        <v>43</v>
      </c>
      <c r="B43" s="162">
        <f>'2012 полн'!B37</f>
        <v>5859.2</v>
      </c>
      <c r="C43" s="162">
        <f>'2012 полн'!C37</f>
        <v>83607.45199999999</v>
      </c>
      <c r="D43" s="48">
        <f>'2012 полн'!D37</f>
        <v>0</v>
      </c>
      <c r="E43" s="153">
        <f>'2012 полн'!U37</f>
        <v>82422.91</v>
      </c>
      <c r="F43" s="153">
        <f>'2012 полн'!V37</f>
        <v>0</v>
      </c>
      <c r="G43" s="163">
        <f>'2012 полн'!AF37</f>
        <v>98373</v>
      </c>
      <c r="H43" s="163">
        <f>'2012 полн'!AG37</f>
        <v>98373</v>
      </c>
      <c r="I43" s="163">
        <f>'2012 полн'!AJ37</f>
        <v>914</v>
      </c>
      <c r="J43" s="163">
        <f>'2012 полн'!AK37</f>
        <v>4394.4</v>
      </c>
      <c r="K43" s="163">
        <f>'2012 полн'!AL37</f>
        <v>1171.84</v>
      </c>
      <c r="L43" s="153">
        <f>'2012 полн'!AM37+'2012 полн'!AN37+'2012 полн'!AO37+'2012 полн'!AP37+'2012 полн'!AQ37+'2012 полн'!AR37+'2012 полн'!AS37+'2012 полн'!AT37+'2012 полн'!AZ37</f>
        <v>64017.378</v>
      </c>
      <c r="M43" s="164">
        <f>'2012 полн'!AU37+'2012 полн'!AV37+'2012 полн'!AW37+'2012 полн'!AX37</f>
        <v>4430.5</v>
      </c>
      <c r="N43" s="269">
        <f>'2012 полн'!BD37</f>
        <v>128.5</v>
      </c>
      <c r="O43" s="269">
        <f>'2012 полн'!BE37</f>
        <v>74142.618</v>
      </c>
      <c r="P43" s="165">
        <f>'2012 полн'!BF37</f>
        <v>25144.381999999998</v>
      </c>
      <c r="Q43" s="165">
        <f>'2012 полн'!BG37</f>
        <v>15950.089999999997</v>
      </c>
    </row>
    <row r="44" spans="1:19" s="28" customFormat="1" ht="13.5" thickBot="1">
      <c r="A44" s="55" t="s">
        <v>5</v>
      </c>
      <c r="B44" s="56"/>
      <c r="C44" s="61">
        <f aca="true" t="shared" si="2" ref="C44:P44">SUM(C32:C43)</f>
        <v>802221.672</v>
      </c>
      <c r="D44" s="61">
        <f t="shared" si="2"/>
        <v>17520.139499999997</v>
      </c>
      <c r="E44" s="61">
        <f t="shared" si="2"/>
        <v>957253.41</v>
      </c>
      <c r="F44" s="61">
        <f t="shared" si="2"/>
        <v>0</v>
      </c>
      <c r="G44" s="61">
        <f t="shared" si="2"/>
        <v>890181.03</v>
      </c>
      <c r="H44" s="61">
        <f t="shared" si="2"/>
        <v>907701.1695000001</v>
      </c>
      <c r="I44" s="61">
        <f t="shared" si="2"/>
        <v>4568</v>
      </c>
      <c r="J44" s="61">
        <f t="shared" si="2"/>
        <v>49920.384000000005</v>
      </c>
      <c r="K44" s="61">
        <f t="shared" si="2"/>
        <v>14062.08</v>
      </c>
      <c r="L44" s="61">
        <f t="shared" si="2"/>
        <v>724485.7648083084</v>
      </c>
      <c r="M44" s="61">
        <f t="shared" si="2"/>
        <v>46659.1829</v>
      </c>
      <c r="N44" s="61">
        <f t="shared" si="2"/>
        <v>1042</v>
      </c>
      <c r="O44" s="61">
        <f t="shared" si="2"/>
        <v>836169.4117083084</v>
      </c>
      <c r="P44" s="61">
        <f t="shared" si="2"/>
        <v>76099.75779169175</v>
      </c>
      <c r="Q44" s="61">
        <f>SUM(Q32:Q43)</f>
        <v>-67072.37999999999</v>
      </c>
      <c r="R44" s="63"/>
      <c r="S44" s="63"/>
    </row>
    <row r="45" spans="1:17" ht="13.5" thickBot="1">
      <c r="A45" s="454" t="s">
        <v>68</v>
      </c>
      <c r="B45" s="455"/>
      <c r="C45" s="455"/>
      <c r="D45" s="455"/>
      <c r="E45" s="455"/>
      <c r="F45" s="455"/>
      <c r="G45" s="455"/>
      <c r="H45" s="455"/>
      <c r="I45" s="455"/>
      <c r="J45" s="455"/>
      <c r="K45" s="455"/>
      <c r="L45" s="455"/>
      <c r="M45" s="455"/>
      <c r="N45" s="455"/>
      <c r="O45" s="171"/>
      <c r="P45" s="266"/>
      <c r="Q45" s="266"/>
    </row>
    <row r="46" spans="1:19" s="28" customFormat="1" ht="13.5" thickBot="1">
      <c r="A46" s="71" t="s">
        <v>54</v>
      </c>
      <c r="B46" s="72"/>
      <c r="C46" s="73">
        <f>C44+C30</f>
        <v>2772851.5470000003</v>
      </c>
      <c r="D46" s="73">
        <f>D44+D30</f>
        <v>251089.9898053</v>
      </c>
      <c r="E46" s="73">
        <f>E44+E30</f>
        <v>3191111.5</v>
      </c>
      <c r="F46" s="73">
        <f>F44+F30</f>
        <v>168573.59</v>
      </c>
      <c r="G46" s="73">
        <f>G44+G30</f>
        <v>2902175.99</v>
      </c>
      <c r="H46" s="73">
        <f aca="true" t="shared" si="3" ref="H46:V46">H44+H30</f>
        <v>3321839.5698053</v>
      </c>
      <c r="I46" s="73">
        <f t="shared" si="3"/>
        <v>6386</v>
      </c>
      <c r="J46" s="73">
        <f t="shared" si="3"/>
        <v>190614.468</v>
      </c>
      <c r="K46" s="73">
        <f t="shared" si="3"/>
        <v>59482.90496400001</v>
      </c>
      <c r="L46" s="73">
        <f t="shared" si="3"/>
        <v>2445880.547010362</v>
      </c>
      <c r="M46" s="73">
        <f t="shared" si="3"/>
        <v>652197.0959</v>
      </c>
      <c r="N46" s="73">
        <f t="shared" si="3"/>
        <v>1496.5</v>
      </c>
      <c r="O46" s="73">
        <f t="shared" si="3"/>
        <v>3349671.515874362</v>
      </c>
      <c r="P46" s="73">
        <f t="shared" si="3"/>
        <v>-21445.94606906193</v>
      </c>
      <c r="Q46" s="73">
        <f t="shared" si="3"/>
        <v>-288935.51</v>
      </c>
      <c r="R46" s="74"/>
      <c r="S46" s="63"/>
    </row>
    <row r="47" ht="6.75" customHeight="1"/>
    <row r="48" spans="1:4" ht="12.75">
      <c r="A48" s="28" t="s">
        <v>69</v>
      </c>
      <c r="D48" s="159" t="s">
        <v>125</v>
      </c>
    </row>
    <row r="49" spans="1:4" ht="12.75">
      <c r="A49" s="160" t="s">
        <v>70</v>
      </c>
      <c r="B49" s="160" t="s">
        <v>71</v>
      </c>
      <c r="C49" s="441" t="s">
        <v>72</v>
      </c>
      <c r="D49" s="442"/>
    </row>
    <row r="50" spans="1:4" ht="12.75">
      <c r="A50" s="133">
        <v>423762.14</v>
      </c>
      <c r="B50" s="133">
        <v>0</v>
      </c>
      <c r="C50" s="184">
        <f>A50-B50</f>
        <v>423762.14</v>
      </c>
      <c r="D50" s="185"/>
    </row>
    <row r="51" ht="6.75" customHeight="1">
      <c r="A51" s="75"/>
    </row>
    <row r="52" spans="1:7" ht="12.75">
      <c r="A52" s="158" t="s">
        <v>73</v>
      </c>
      <c r="G52" s="158" t="s">
        <v>74</v>
      </c>
    </row>
    <row r="53" ht="6.75" customHeight="1">
      <c r="A53" s="161"/>
    </row>
    <row r="54" ht="12.75">
      <c r="A54" s="158" t="s">
        <v>122</v>
      </c>
    </row>
    <row r="55" ht="12.75">
      <c r="A55" s="158" t="s">
        <v>75</v>
      </c>
    </row>
  </sheetData>
  <sheetProtection/>
  <mergeCells count="28">
    <mergeCell ref="A45:N45"/>
    <mergeCell ref="N10:N11"/>
    <mergeCell ref="O10:O11"/>
    <mergeCell ref="A13:N13"/>
    <mergeCell ref="A29:N29"/>
    <mergeCell ref="M10:M11"/>
    <mergeCell ref="A8:A11"/>
    <mergeCell ref="B8:B11"/>
    <mergeCell ref="C8:C11"/>
    <mergeCell ref="D8:D11"/>
    <mergeCell ref="E8:F9"/>
    <mergeCell ref="C49:D49"/>
    <mergeCell ref="J8:O9"/>
    <mergeCell ref="P8:P11"/>
    <mergeCell ref="Q8:Q11"/>
    <mergeCell ref="E10:F10"/>
    <mergeCell ref="H10:H11"/>
    <mergeCell ref="I10:I11"/>
    <mergeCell ref="J10:J11"/>
    <mergeCell ref="K10:K11"/>
    <mergeCell ref="L10:L11"/>
    <mergeCell ref="G8:H9"/>
    <mergeCell ref="B1:H1"/>
    <mergeCell ref="B2:H2"/>
    <mergeCell ref="A5:N5"/>
    <mergeCell ref="A6:G6"/>
    <mergeCell ref="A7:D7"/>
    <mergeCell ref="E7:F7"/>
  </mergeCells>
  <printOptions/>
  <pageMargins left="0.2362204724409449" right="0.15748031496062992" top="0.2755905511811024" bottom="0.4724409448818898" header="0.196850393700787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Мадемуазель</cp:lastModifiedBy>
  <cp:lastPrinted>2012-10-01T04:59:43Z</cp:lastPrinted>
  <dcterms:created xsi:type="dcterms:W3CDTF">2010-04-03T04:08:20Z</dcterms:created>
  <dcterms:modified xsi:type="dcterms:W3CDTF">2013-05-23T05:31:49Z</dcterms:modified>
  <cp:category/>
  <cp:version/>
  <cp:contentType/>
  <cp:contentStatus/>
</cp:coreProperties>
</file>