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4"/>
  </bookViews>
  <sheets>
    <sheet name="Лист2 (2)" sheetId="1" r:id="rId1"/>
    <sheet name="Лист1" sheetId="2" r:id="rId2"/>
    <sheet name="Лист2" sheetId="3" r:id="rId3"/>
    <sheet name="2012 полн" sheetId="4" r:id="rId4"/>
    <sheet name="2012 печат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 refMode="R1C1"/>
</workbook>
</file>

<file path=xl/sharedStrings.xml><?xml version="1.0" encoding="utf-8"?>
<sst xmlns="http://schemas.openxmlformats.org/spreadsheetml/2006/main" count="408" uniqueCount="127">
  <si>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</si>
  <si>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</si>
  <si>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</si>
  <si>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</si>
  <si>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</si>
  <si>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</si>
  <si>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</si>
  <si>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</si>
  <si>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</si>
  <si>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</si>
  <si>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</si>
  <si>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</si>
  <si>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</si>
  <si>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</si>
  <si>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</si>
  <si>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</si>
  <si>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</si>
  <si>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</si>
  <si>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</si>
  <si>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</si>
  <si>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</si>
  <si>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</si>
  <si>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</si>
  <si>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</si>
  <si>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</si>
  <si>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</si>
  <si>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</si>
  <si>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</si>
  <si>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</si>
  <si>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</si>
  <si>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</si>
  <si>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</si>
  <si>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</si>
  <si>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</si>
  <si>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</si>
  <si>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</si>
  <si>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</si>
  <si>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</si>
  <si>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</si>
  <si>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</si>
  <si>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</si>
  <si>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</si>
  <si>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</si>
  <si>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</si>
  <si>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</si>
  <si>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</si>
  <si>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</si>
  <si>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</si>
  <si>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</si>
  <si>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</si>
  <si>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</si>
  <si>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</si>
  <si>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</si>
  <si>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</si>
  <si>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</si>
  <si>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</si>
  <si>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</si>
  <si>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</si>
  <si>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</si>
  <si>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</si>
  <si>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</si>
  <si>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</si>
  <si>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</si>
  <si>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</si>
  <si>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</si>
  <si>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</si>
  <si>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</si>
  <si>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</si>
  <si>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</si>
  <si>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</si>
  <si>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</si>
  <si>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</si>
  <si>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</si>
  <si>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</si>
  <si>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</si>
  <si>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</si>
  <si>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</si>
  <si>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</si>
  <si>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</si>
  <si>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</si>
  <si>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</si>
  <si>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</si>
  <si>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</si>
  <si>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</si>
  <si>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</si>
  <si>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</si>
  <si>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</si>
  <si>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</si>
  <si>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</si>
  <si>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Макаренко, д.8</t>
  </si>
  <si>
    <t>Лицевой счет по адресу г. Таштагол, ул. Макаренко, д.8</t>
  </si>
  <si>
    <t>2010 год</t>
  </si>
  <si>
    <t>*по состоянию на 01.01.2011 г.</t>
  </si>
  <si>
    <t>на 01.01.2011 г.</t>
  </si>
  <si>
    <t>на начало отчетного периода</t>
  </si>
  <si>
    <t>Дотация, целевое финансирование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</si>
  <si>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</si>
  <si>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</si>
  <si>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</si>
  <si>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</si>
  <si>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</si>
  <si>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</si>
  <si>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</si>
  <si>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</si>
  <si>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</si>
  <si>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</si>
  <si>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</si>
  <si>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</si>
  <si>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</si>
  <si>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</si>
  <si>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</si>
  <si>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</si>
  <si>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</si>
  <si>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</si>
  <si>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</si>
  <si>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</si>
  <si>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</si>
  <si>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</si>
  <si>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</si>
  <si>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 xml:space="preserve">Доходы от нежилых помещений </t>
  </si>
  <si>
    <t>Услуга начисления</t>
  </si>
  <si>
    <t>Расходы по нежилым помещениям</t>
  </si>
  <si>
    <t>*по состоянию на 01.01.2012 г.</t>
  </si>
  <si>
    <t>Исп. В.В. Колмогорова</t>
  </si>
  <si>
    <t>2012 год</t>
  </si>
  <si>
    <t>Тариф по содержанию и тек.ремонту 100 % (9,51руб.*площадь)</t>
  </si>
  <si>
    <t>тариф на содержание и тек. ремонт на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</si>
</sst>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right" wrapText="1"/>
    </xf>
    <xf numFmtId="4" fontId="2" fillId="0" borderId="43" xfId="34" applyNumberFormat="1" applyFont="1" applyFill="1" applyBorder="1" applyAlignment="1">
      <alignment horizontal="right" vertical="center" wrapText="1"/>
      <protection/>
    </xf>
    <xf numFmtId="4" fontId="2" fillId="0" borderId="53" xfId="34" applyNumberFormat="1" applyFont="1" applyFill="1" applyBorder="1" applyAlignment="1">
      <alignment horizontal="right" vertical="center" wrapText="1"/>
      <protection/>
    </xf>
    <xf numFmtId="4" fontId="0" fillId="0" borderId="42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2" fontId="0" fillId="0" borderId="55" xfId="0" applyNumberFormat="1" applyBorder="1" applyAlignment="1">
      <alignment horizontal="center"/>
    </xf>
    <xf numFmtId="4" fontId="2" fillId="0" borderId="56" xfId="34" applyNumberFormat="1" applyFont="1" applyFill="1" applyBorder="1" applyAlignment="1">
      <alignment horizontal="right" vertical="center" wrapText="1"/>
      <protection/>
    </xf>
    <xf numFmtId="4" fontId="2" fillId="0" borderId="47" xfId="34" applyNumberFormat="1" applyFont="1" applyFill="1" applyBorder="1" applyAlignment="1">
      <alignment horizontal="right" vertical="center" wrapText="1"/>
      <protection/>
    </xf>
    <xf numFmtId="4" fontId="0" fillId="0" borderId="57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 vertical="center" wrapText="1"/>
    </xf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55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2" fillId="34" borderId="37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 textRotation="90" wrapText="1"/>
    </xf>
    <xf numFmtId="0" fontId="1" fillId="0" borderId="62" xfId="0" applyFont="1" applyFill="1" applyBorder="1" applyAlignment="1">
      <alignment horizontal="center" textRotation="90" wrapText="1"/>
    </xf>
    <xf numFmtId="0" fontId="1" fillId="0" borderId="63" xfId="0" applyFont="1" applyFill="1" applyBorder="1" applyAlignment="1">
      <alignment horizontal="center" textRotation="90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68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68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68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0" fontId="1" fillId="40" borderId="59" xfId="0" applyFont="1" applyFill="1" applyBorder="1" applyAlignment="1">
      <alignment horizontal="center" vertical="center" wrapText="1"/>
    </xf>
    <xf numFmtId="0" fontId="1" fillId="40" borderId="44" xfId="0" applyFont="1" applyFill="1" applyBorder="1" applyAlignment="1">
      <alignment horizontal="center" vertical="center" wrapText="1"/>
    </xf>
    <xf numFmtId="0" fontId="1" fillId="40" borderId="71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5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left"/>
    </xf>
    <xf numFmtId="2" fontId="0" fillId="0" borderId="38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textRotation="90" wrapText="1"/>
    </xf>
    <xf numFmtId="0" fontId="1" fillId="0" borderId="68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0" fillId="40" borderId="15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2">
          <cell r="I72">
            <v>436.13626</v>
          </cell>
        </row>
      </sheetData>
      <sheetData sheetId="1">
        <row r="72">
          <cell r="I72">
            <v>436.13626</v>
          </cell>
          <cell r="O72">
            <v>207.87714000000003</v>
          </cell>
        </row>
      </sheetData>
      <sheetData sheetId="2">
        <row r="73">
          <cell r="I73">
            <v>436.13626</v>
          </cell>
          <cell r="O73">
            <v>207.87714000000003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68">
          <cell r="I68">
            <v>435.90600000000006</v>
          </cell>
          <cell r="R68">
            <v>314.02700000000004</v>
          </cell>
        </row>
        <row r="170">
          <cell r="I170">
            <v>114</v>
          </cell>
          <cell r="R170">
            <v>28.5</v>
          </cell>
        </row>
      </sheetData>
      <sheetData sheetId="1">
        <row r="68">
          <cell r="J68">
            <v>435.90600000000006</v>
          </cell>
          <cell r="S68">
            <v>314.02700000000004</v>
          </cell>
        </row>
        <row r="171">
          <cell r="S171">
            <v>28.5</v>
          </cell>
        </row>
        <row r="172">
          <cell r="J172">
            <v>114</v>
          </cell>
        </row>
      </sheetData>
      <sheetData sheetId="2">
        <row r="68">
          <cell r="J68">
            <v>435.90600000000006</v>
          </cell>
          <cell r="S68">
            <v>314.02700000000004</v>
          </cell>
        </row>
        <row r="172">
          <cell r="J172">
            <v>114</v>
          </cell>
          <cell r="S172">
            <v>28.5</v>
          </cell>
        </row>
      </sheetData>
      <sheetData sheetId="3">
        <row r="68">
          <cell r="S68">
            <v>314.02700000000004</v>
          </cell>
        </row>
        <row r="174">
          <cell r="S174">
            <v>28.5</v>
          </cell>
        </row>
      </sheetData>
      <sheetData sheetId="4">
        <row r="68">
          <cell r="J68">
            <v>435.90600000000006</v>
          </cell>
          <cell r="S68">
            <v>314.02700000000004</v>
          </cell>
        </row>
        <row r="172">
          <cell r="J172">
            <v>114</v>
          </cell>
          <cell r="S172">
            <v>28.5</v>
          </cell>
        </row>
      </sheetData>
      <sheetData sheetId="5">
        <row r="68">
          <cell r="J68">
            <v>435.90600000000006</v>
          </cell>
        </row>
        <row r="172">
          <cell r="J172">
            <v>114</v>
          </cell>
        </row>
      </sheetData>
      <sheetData sheetId="6">
        <row r="68">
          <cell r="J68">
            <v>435.90600000000006</v>
          </cell>
        </row>
        <row r="176">
          <cell r="J176">
            <v>114</v>
          </cell>
        </row>
      </sheetData>
      <sheetData sheetId="7">
        <row r="68">
          <cell r="J68">
            <v>435.90600000000006</v>
          </cell>
        </row>
        <row r="180">
          <cell r="J180">
            <v>114</v>
          </cell>
        </row>
      </sheetData>
      <sheetData sheetId="8">
        <row r="68">
          <cell r="J68">
            <v>435.90600000000006</v>
          </cell>
        </row>
        <row r="180">
          <cell r="J180">
            <v>114</v>
          </cell>
        </row>
      </sheetData>
      <sheetData sheetId="10">
        <row r="68">
          <cell r="J68">
            <v>435.90600000000006</v>
          </cell>
        </row>
        <row r="180">
          <cell r="J180">
            <v>114</v>
          </cell>
        </row>
      </sheetData>
      <sheetData sheetId="11">
        <row r="68">
          <cell r="J68">
            <v>435.90600000000006</v>
          </cell>
          <cell r="S68">
            <v>314.02700000000004</v>
          </cell>
        </row>
        <row r="150">
          <cell r="J150">
            <v>16019.300000000003</v>
          </cell>
          <cell r="S150">
            <v>1438</v>
          </cell>
        </row>
        <row r="204">
          <cell r="J204">
            <v>114</v>
          </cell>
          <cell r="S204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68">
          <cell r="J68">
            <v>435.90600000000006</v>
          </cell>
        </row>
        <row r="174">
          <cell r="J174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68">
          <cell r="J68">
            <v>435.90600000000006</v>
          </cell>
        </row>
        <row r="180">
          <cell r="J180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7">
          <cell r="F167">
            <v>89.5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44">
          <cell r="J44">
            <v>557.7850000000001</v>
          </cell>
          <cell r="S44">
            <v>314.02700000000004</v>
          </cell>
        </row>
        <row r="202">
          <cell r="J202">
            <v>114</v>
          </cell>
          <cell r="S202">
            <v>28.5</v>
          </cell>
        </row>
      </sheetData>
      <sheetData sheetId="2">
        <row r="43">
          <cell r="J43">
            <v>557.7850000000001</v>
          </cell>
          <cell r="S43">
            <v>314.02700000000004</v>
          </cell>
        </row>
        <row r="100">
          <cell r="J100">
            <v>4805.796</v>
          </cell>
          <cell r="S100">
            <v>3412.3740000000007</v>
          </cell>
        </row>
        <row r="203">
          <cell r="J203">
            <v>114</v>
          </cell>
          <cell r="S203">
            <v>28.5</v>
          </cell>
        </row>
      </sheetData>
      <sheetData sheetId="3">
        <row r="43">
          <cell r="J43">
            <v>557.7850000000001</v>
          </cell>
        </row>
        <row r="100">
          <cell r="J100">
            <v>1601.9320000000002</v>
          </cell>
        </row>
        <row r="203">
          <cell r="J203">
            <v>114</v>
          </cell>
        </row>
      </sheetData>
      <sheetData sheetId="4">
        <row r="42">
          <cell r="J42">
            <v>557.7850000000001</v>
          </cell>
          <cell r="S42">
            <v>314.02700000000004</v>
          </cell>
        </row>
        <row r="100">
          <cell r="J100">
            <v>1601.9320000000002</v>
          </cell>
          <cell r="S100">
            <v>1137.458</v>
          </cell>
        </row>
        <row r="209">
          <cell r="J209">
            <v>114</v>
          </cell>
          <cell r="S209">
            <v>28.5</v>
          </cell>
        </row>
      </sheetData>
      <sheetData sheetId="5">
        <row r="42">
          <cell r="J42">
            <v>557.7850000000001</v>
          </cell>
          <cell r="S42">
            <v>314.02700000000004</v>
          </cell>
        </row>
        <row r="100">
          <cell r="J100">
            <v>1601.9320000000002</v>
          </cell>
          <cell r="S100">
            <v>1137.458</v>
          </cell>
        </row>
        <row r="170">
          <cell r="J170">
            <v>100</v>
          </cell>
          <cell r="S170">
            <v>25</v>
          </cell>
        </row>
        <row r="240">
          <cell r="J240">
            <v>114</v>
          </cell>
          <cell r="S240">
            <v>28.5</v>
          </cell>
        </row>
      </sheetData>
      <sheetData sheetId="6">
        <row r="42">
          <cell r="J42">
            <v>557.7850000000001</v>
          </cell>
          <cell r="S42">
            <v>314.02700000000004</v>
          </cell>
        </row>
        <row r="102">
          <cell r="J102">
            <v>2017.5140000000001</v>
          </cell>
          <cell r="S102">
            <v>1137.458</v>
          </cell>
        </row>
        <row r="172">
          <cell r="J172">
            <v>100</v>
          </cell>
          <cell r="S172">
            <v>25</v>
          </cell>
        </row>
        <row r="242">
          <cell r="J242">
            <v>114</v>
          </cell>
          <cell r="S242">
            <v>28.5</v>
          </cell>
        </row>
      </sheetData>
      <sheetData sheetId="7">
        <row r="42">
          <cell r="J42">
            <v>557.7850000000001</v>
          </cell>
          <cell r="S42">
            <v>314.02700000000004</v>
          </cell>
        </row>
        <row r="102">
          <cell r="J102">
            <v>2017.5140000000001</v>
          </cell>
          <cell r="S102">
            <v>1137.458</v>
          </cell>
        </row>
        <row r="172">
          <cell r="J172">
            <v>100</v>
          </cell>
          <cell r="S172">
            <v>25</v>
          </cell>
        </row>
        <row r="242">
          <cell r="J242">
            <v>114</v>
          </cell>
          <cell r="S242">
            <v>28.5</v>
          </cell>
        </row>
        <row r="311">
          <cell r="J311">
            <v>1800</v>
          </cell>
          <cell r="S311">
            <v>450</v>
          </cell>
        </row>
      </sheetData>
      <sheetData sheetId="8">
        <row r="42">
          <cell r="J42">
            <v>557.7850000000001</v>
          </cell>
          <cell r="S42">
            <v>314.02700000000004</v>
          </cell>
        </row>
        <row r="102">
          <cell r="J102">
            <v>2017.5140000000001</v>
          </cell>
          <cell r="S102">
            <v>1137.458</v>
          </cell>
        </row>
        <row r="175">
          <cell r="J175">
            <v>100</v>
          </cell>
          <cell r="S175">
            <v>25</v>
          </cell>
        </row>
        <row r="242">
          <cell r="J242">
            <v>114</v>
          </cell>
          <cell r="S242">
            <v>28.5</v>
          </cell>
        </row>
        <row r="311">
          <cell r="J311">
            <v>600</v>
          </cell>
          <cell r="S311">
            <v>150</v>
          </cell>
        </row>
      </sheetData>
      <sheetData sheetId="9">
        <row r="42">
          <cell r="J42">
            <v>557.7850000000001</v>
          </cell>
          <cell r="S42">
            <v>314.02700000000004</v>
          </cell>
        </row>
        <row r="101">
          <cell r="J101">
            <v>2017.5140000000001</v>
          </cell>
          <cell r="S101">
            <v>1137.458</v>
          </cell>
        </row>
        <row r="174">
          <cell r="J174">
            <v>100</v>
          </cell>
          <cell r="S174">
            <v>25</v>
          </cell>
        </row>
        <row r="241">
          <cell r="J241">
            <v>114</v>
          </cell>
          <cell r="S241">
            <v>28.5</v>
          </cell>
        </row>
        <row r="310">
          <cell r="J310">
            <v>600</v>
          </cell>
          <cell r="S310">
            <v>150</v>
          </cell>
        </row>
      </sheetData>
      <sheetData sheetId="10">
        <row r="42">
          <cell r="J42">
            <v>557.7850000000001</v>
          </cell>
          <cell r="S42">
            <v>314.02700000000004</v>
          </cell>
        </row>
        <row r="101">
          <cell r="J101">
            <v>2017.5140000000001</v>
          </cell>
          <cell r="S101">
            <v>1137.458</v>
          </cell>
        </row>
        <row r="176">
          <cell r="J176">
            <v>100</v>
          </cell>
          <cell r="S176">
            <v>25</v>
          </cell>
        </row>
        <row r="243">
          <cell r="J243">
            <v>114</v>
          </cell>
          <cell r="S243">
            <v>28.5</v>
          </cell>
        </row>
        <row r="312">
          <cell r="J312">
            <v>600</v>
          </cell>
          <cell r="S312">
            <v>150</v>
          </cell>
        </row>
      </sheetData>
      <sheetData sheetId="11">
        <row r="42">
          <cell r="J42">
            <v>557.7850000000001</v>
          </cell>
          <cell r="S42">
            <v>314.02700000000004</v>
          </cell>
        </row>
        <row r="101">
          <cell r="J101">
            <v>2017.5140000000001</v>
          </cell>
          <cell r="S101">
            <v>1137.458</v>
          </cell>
        </row>
        <row r="179">
          <cell r="J179">
            <v>100</v>
          </cell>
          <cell r="S179">
            <v>25</v>
          </cell>
        </row>
        <row r="246">
          <cell r="J246">
            <v>114</v>
          </cell>
          <cell r="S246">
            <v>28.5</v>
          </cell>
        </row>
        <row r="315">
          <cell r="J315">
            <v>600</v>
          </cell>
          <cell r="S315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7">
          <cell r="I67">
            <v>436.13626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7">
          <cell r="O67">
            <v>206.10027122000002</v>
          </cell>
        </row>
      </sheetData>
      <sheetData sheetId="7">
        <row r="68">
          <cell r="O68">
            <v>206.00662606600002</v>
          </cell>
        </row>
      </sheetData>
      <sheetData sheetId="8">
        <row r="68">
          <cell r="O68">
            <v>205.97546879140003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70">
          <cell r="I70">
            <v>436.13626</v>
          </cell>
        </row>
      </sheetData>
      <sheetData sheetId="2">
        <row r="71">
          <cell r="M71">
            <v>207.631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1">
          <cell r="I71">
            <v>436.13626</v>
          </cell>
          <cell r="M71">
            <v>207.631</v>
          </cell>
        </row>
      </sheetData>
      <sheetData sheetId="5">
        <row r="69">
          <cell r="M69">
            <v>207.631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68">
          <cell r="I68">
            <v>436.13626</v>
          </cell>
        </row>
      </sheetData>
      <sheetData sheetId="9">
        <row r="68">
          <cell r="I68">
            <v>436.13626</v>
          </cell>
          <cell r="M68">
            <v>207.631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2">
          <cell r="O72">
            <v>207.585962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G44">
            <v>73142.07</v>
          </cell>
          <cell r="H44">
            <v>10102.68</v>
          </cell>
          <cell r="AB44">
            <v>440391.95999999996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0">
      <selection activeCell="A14" sqref="A14:IV32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18" t="s">
        <v>55</v>
      </c>
      <c r="C1" s="318"/>
      <c r="D1" s="318"/>
      <c r="E1" s="318"/>
      <c r="F1" s="318"/>
      <c r="G1" s="318"/>
      <c r="H1" s="318"/>
    </row>
    <row r="2" spans="2:8" ht="21" customHeight="1">
      <c r="B2" s="318" t="s">
        <v>56</v>
      </c>
      <c r="C2" s="318"/>
      <c r="D2" s="318"/>
      <c r="E2" s="318"/>
      <c r="F2" s="318"/>
      <c r="G2" s="318"/>
      <c r="H2" s="318"/>
    </row>
    <row r="5" spans="1:17" ht="12.75">
      <c r="A5" s="320" t="s">
        <v>89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12.75">
      <c r="A6" s="321" t="s">
        <v>93</v>
      </c>
      <c r="B6" s="321"/>
      <c r="C6" s="321"/>
      <c r="D6" s="321"/>
      <c r="E6" s="321"/>
      <c r="F6" s="321"/>
      <c r="G6" s="32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19" t="s">
        <v>57</v>
      </c>
      <c r="B8" s="319"/>
      <c r="C8" s="319"/>
      <c r="D8" s="319"/>
      <c r="E8" s="319">
        <v>8.65</v>
      </c>
      <c r="F8" s="319"/>
    </row>
    <row r="9" spans="1:18" ht="12.75" customHeight="1">
      <c r="A9" s="292" t="s">
        <v>58</v>
      </c>
      <c r="B9" s="295" t="s">
        <v>1</v>
      </c>
      <c r="C9" s="312" t="s">
        <v>59</v>
      </c>
      <c r="D9" s="315" t="s">
        <v>95</v>
      </c>
      <c r="E9" s="304" t="s">
        <v>60</v>
      </c>
      <c r="F9" s="305"/>
      <c r="G9" s="308" t="s">
        <v>61</v>
      </c>
      <c r="H9" s="309"/>
      <c r="I9" s="277" t="str">
        <f>Лист1!AF3</f>
        <v>Доходы по нежил.помещениям</v>
      </c>
      <c r="J9" s="283" t="s">
        <v>10</v>
      </c>
      <c r="K9" s="284"/>
      <c r="L9" s="284"/>
      <c r="M9" s="284"/>
      <c r="N9" s="284"/>
      <c r="O9" s="285"/>
      <c r="P9" s="280" t="s">
        <v>76</v>
      </c>
      <c r="Q9" s="289" t="s">
        <v>62</v>
      </c>
      <c r="R9" s="289" t="s">
        <v>12</v>
      </c>
    </row>
    <row r="10" spans="1:18" ht="12.75">
      <c r="A10" s="293"/>
      <c r="B10" s="296"/>
      <c r="C10" s="313"/>
      <c r="D10" s="316"/>
      <c r="E10" s="306"/>
      <c r="F10" s="307"/>
      <c r="G10" s="310"/>
      <c r="H10" s="311"/>
      <c r="I10" s="278"/>
      <c r="J10" s="286"/>
      <c r="K10" s="287"/>
      <c r="L10" s="287"/>
      <c r="M10" s="287"/>
      <c r="N10" s="287"/>
      <c r="O10" s="288"/>
      <c r="P10" s="281"/>
      <c r="Q10" s="290"/>
      <c r="R10" s="290"/>
    </row>
    <row r="11" spans="1:18" ht="26.25" customHeight="1">
      <c r="A11" s="293"/>
      <c r="B11" s="296"/>
      <c r="C11" s="313"/>
      <c r="D11" s="316"/>
      <c r="E11" s="298" t="s">
        <v>63</v>
      </c>
      <c r="F11" s="299"/>
      <c r="G11" s="89" t="s">
        <v>64</v>
      </c>
      <c r="H11" s="272" t="s">
        <v>7</v>
      </c>
      <c r="I11" s="278"/>
      <c r="J11" s="300" t="s">
        <v>65</v>
      </c>
      <c r="K11" s="302" t="s">
        <v>32</v>
      </c>
      <c r="L11" s="302" t="s">
        <v>66</v>
      </c>
      <c r="M11" s="302" t="s">
        <v>37</v>
      </c>
      <c r="N11" s="302" t="s">
        <v>67</v>
      </c>
      <c r="O11" s="272" t="s">
        <v>39</v>
      </c>
      <c r="P11" s="281"/>
      <c r="Q11" s="290"/>
      <c r="R11" s="290"/>
    </row>
    <row r="12" spans="1:18" ht="66.75" customHeight="1" thickBot="1">
      <c r="A12" s="294"/>
      <c r="B12" s="297"/>
      <c r="C12" s="314"/>
      <c r="D12" s="317"/>
      <c r="E12" s="63" t="s">
        <v>68</v>
      </c>
      <c r="F12" s="67" t="s">
        <v>21</v>
      </c>
      <c r="G12" s="82" t="s">
        <v>69</v>
      </c>
      <c r="H12" s="273"/>
      <c r="I12" s="279"/>
      <c r="J12" s="301"/>
      <c r="K12" s="303"/>
      <c r="L12" s="303"/>
      <c r="M12" s="303"/>
      <c r="N12" s="303"/>
      <c r="O12" s="273"/>
      <c r="P12" s="282"/>
      <c r="Q12" s="291"/>
      <c r="R12" s="291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3621.7</v>
      </c>
      <c r="C15" s="27">
        <f>B15*8.65</f>
        <v>31327.704999999998</v>
      </c>
      <c r="D15" s="28">
        <f>Лист1!D9</f>
        <v>7546.2175804</v>
      </c>
      <c r="E15" s="14">
        <f>Лист1!S9</f>
        <v>22280.370000000003</v>
      </c>
      <c r="F15" s="30">
        <f>Лист1!T9</f>
        <v>4206.19</v>
      </c>
      <c r="G15" s="29">
        <f>Лист1!AB9</f>
        <v>225.67000000000002</v>
      </c>
      <c r="H15" s="30">
        <f>Лист1!AC9</f>
        <v>11978.077580399999</v>
      </c>
      <c r="I15" s="87">
        <f>Лист1!AD9</f>
        <v>0</v>
      </c>
      <c r="J15" s="29">
        <f>Лист1!AG9</f>
        <v>2173.02</v>
      </c>
      <c r="K15" s="14">
        <f>Лист1!AI9+Лист1!AJ9</f>
        <v>3640.2457907999997</v>
      </c>
      <c r="L15" s="14">
        <f>Лист1!AH9+Лист1!AK9+Лист1!AL9+Лист1!AM9+Лист1!AN9+Лист1!AO9+Лист1!AP9</f>
        <v>12782.402990269997</v>
      </c>
      <c r="M15" s="31">
        <f>Лист1!AS9+Лист1!AU9</f>
        <v>9068.5596</v>
      </c>
      <c r="N15" s="31">
        <f>Лист1!AX9</f>
        <v>0</v>
      </c>
      <c r="O15" s="30">
        <f>Лист1!BB9</f>
        <v>27664.22838107</v>
      </c>
      <c r="P15" s="90">
        <f>Лист1!BC9</f>
        <v>0</v>
      </c>
      <c r="Q15" s="75">
        <f>Лист1!BD9</f>
        <v>-15686.15080067</v>
      </c>
      <c r="R15" s="75">
        <f>Лист1!BE9</f>
        <v>-22054.700000000004</v>
      </c>
    </row>
    <row r="16" spans="1:18" ht="12.75" hidden="1">
      <c r="A16" s="11" t="s">
        <v>42</v>
      </c>
      <c r="B16" s="84">
        <f>Лист1!B10</f>
        <v>3621.7</v>
      </c>
      <c r="C16" s="27">
        <f>B16*8.65</f>
        <v>31327.704999999998</v>
      </c>
      <c r="D16" s="28">
        <f>Лист1!D10</f>
        <v>7546.2175804</v>
      </c>
      <c r="E16" s="14">
        <f>Лист1!S10</f>
        <v>20310.71</v>
      </c>
      <c r="F16" s="30">
        <f>Лист1!T10</f>
        <v>3989.19</v>
      </c>
      <c r="G16" s="29">
        <f>Лист1!AB10</f>
        <v>17503.01</v>
      </c>
      <c r="H16" s="30">
        <f>Лист1!AC10</f>
        <v>29038.417580399997</v>
      </c>
      <c r="I16" s="87">
        <f>Лист1!AD10</f>
        <v>0</v>
      </c>
      <c r="J16" s="29">
        <f>Лист1!AG10</f>
        <v>2173.02</v>
      </c>
      <c r="K16" s="14">
        <f>Лист1!AI10+Лист1!AJ10</f>
        <v>3640.2457907999997</v>
      </c>
      <c r="L16" s="14">
        <f>Лист1!AH10+Лист1!AK10+Лист1!AL10+Лист1!AM10+Лист1!AN10+Лист1!AO10+Лист1!AP10</f>
        <v>12743.824641869998</v>
      </c>
      <c r="M16" s="31">
        <f>Лист1!AS10+Лист1!AU10</f>
        <v>3988.4</v>
      </c>
      <c r="N16" s="31">
        <f>Лист1!AX10</f>
        <v>0</v>
      </c>
      <c r="O16" s="30">
        <f>Лист1!BB10</f>
        <v>22545.49043267</v>
      </c>
      <c r="P16" s="90">
        <f>Лист1!BC10</f>
        <v>0</v>
      </c>
      <c r="Q16" s="75">
        <f>Лист1!BD10</f>
        <v>6492.927147729995</v>
      </c>
      <c r="R16" s="75">
        <f>Лист1!BE10</f>
        <v>-2807.7000000000007</v>
      </c>
    </row>
    <row r="17" spans="1:20" ht="13.5" hidden="1" thickBot="1">
      <c r="A17" s="32" t="s">
        <v>43</v>
      </c>
      <c r="B17" s="84">
        <f>Лист1!B11</f>
        <v>3621.7</v>
      </c>
      <c r="C17" s="33">
        <f>B17*8.65</f>
        <v>31327.704999999998</v>
      </c>
      <c r="D17" s="28">
        <f>Лист1!D11</f>
        <v>7529.61389675</v>
      </c>
      <c r="E17" s="14">
        <f>Лист1!S11</f>
        <v>21552.85</v>
      </c>
      <c r="F17" s="30">
        <f>Лист1!T11</f>
        <v>4029.7200000000003</v>
      </c>
      <c r="G17" s="29">
        <f>Лист1!AB11</f>
        <v>22421.27</v>
      </c>
      <c r="H17" s="30">
        <f>Лист1!AC11</f>
        <v>33980.60389675</v>
      </c>
      <c r="I17" s="87">
        <f>Лист1!AD11</f>
        <v>0</v>
      </c>
      <c r="J17" s="29">
        <f>Лист1!AG11</f>
        <v>2173.02</v>
      </c>
      <c r="K17" s="14">
        <f>Лист1!AI11+Лист1!AJ11</f>
        <v>3629.65904792</v>
      </c>
      <c r="L17" s="14">
        <f>Лист1!AH11+Лист1!AK11+Лист1!AL11+Лист1!AM11+Лист1!AN11+Лист1!AO11+Лист1!AP11</f>
        <v>12723.563512040999</v>
      </c>
      <c r="M17" s="31">
        <f>Лист1!AS11+Лист1!AU11</f>
        <v>6714.2</v>
      </c>
      <c r="N17" s="31">
        <f>Лист1!AX11</f>
        <v>0</v>
      </c>
      <c r="O17" s="30">
        <f>Лист1!BB11</f>
        <v>25240.442559961</v>
      </c>
      <c r="P17" s="90">
        <f>Лист1!BC11</f>
        <v>0</v>
      </c>
      <c r="Q17" s="75">
        <f>Лист1!BD11</f>
        <v>8740.161336788999</v>
      </c>
      <c r="R17" s="75">
        <f>Лист1!BE11</f>
        <v>868.4200000000019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 aca="true" t="shared" si="0" ref="C18:R18">SUM(C15:C17)</f>
        <v>93983.11499999999</v>
      </c>
      <c r="D18" s="68">
        <f t="shared" si="0"/>
        <v>22622.04905755</v>
      </c>
      <c r="E18" s="36">
        <f t="shared" si="0"/>
        <v>64143.93</v>
      </c>
      <c r="F18" s="69">
        <f t="shared" si="0"/>
        <v>12225.099999999999</v>
      </c>
      <c r="G18" s="68">
        <f t="shared" si="0"/>
        <v>40149.95</v>
      </c>
      <c r="H18" s="69">
        <f t="shared" si="0"/>
        <v>74997.09905754999</v>
      </c>
      <c r="I18" s="69">
        <f t="shared" si="0"/>
        <v>0</v>
      </c>
      <c r="J18" s="68">
        <f t="shared" si="0"/>
        <v>6519.0599999999995</v>
      </c>
      <c r="K18" s="36">
        <f t="shared" si="0"/>
        <v>10910.15062952</v>
      </c>
      <c r="L18" s="36">
        <f t="shared" si="0"/>
        <v>38249.79114418099</v>
      </c>
      <c r="M18" s="36">
        <f t="shared" si="0"/>
        <v>19771.1596</v>
      </c>
      <c r="N18" s="36">
        <f t="shared" si="0"/>
        <v>0</v>
      </c>
      <c r="O18" s="69">
        <f t="shared" si="0"/>
        <v>75450.161373701</v>
      </c>
      <c r="P18" s="69">
        <f t="shared" si="0"/>
        <v>0</v>
      </c>
      <c r="Q18" s="76">
        <f t="shared" si="0"/>
        <v>-453.0623161510066</v>
      </c>
      <c r="R18" s="76">
        <f t="shared" si="0"/>
        <v>-23993.980000000003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3621.7</v>
      </c>
      <c r="C20" s="27">
        <f aca="true" t="shared" si="1" ref="C20:C31">B20*8.65</f>
        <v>31327.704999999998</v>
      </c>
      <c r="D20" s="28">
        <f>Лист1!D14</f>
        <v>3915.9631249999998</v>
      </c>
      <c r="E20" s="14">
        <f>Лист1!S14</f>
        <v>21760.63</v>
      </c>
      <c r="F20" s="30">
        <f>Лист1!T14</f>
        <v>4057.6800000000003</v>
      </c>
      <c r="G20" s="29">
        <f>Лист1!AB14</f>
        <v>17058.89</v>
      </c>
      <c r="H20" s="30">
        <f>Лист1!AC14</f>
        <v>25032.533125</v>
      </c>
      <c r="I20" s="87">
        <f>Лист1!AF14</f>
        <v>0</v>
      </c>
      <c r="J20" s="29">
        <f>Лист1!AG14</f>
        <v>1955.718</v>
      </c>
      <c r="K20" s="14">
        <f>Лист1!AI14+Лист1!AJ14</f>
        <v>3149.4103416999997</v>
      </c>
      <c r="L20" s="14">
        <f>Лист1!AH14+Лист1!AK14+Лист1!AL14+Лист1!AM14+Лист1!AN14+Лист1!AO14+Лист1!AP14+Лист1!AQ14+Лист1!AR14</f>
        <v>10816.060660885998</v>
      </c>
      <c r="M20" s="31">
        <f>Лист1!AS14+Лист1!AT14+Лист1!AU14+Лист1!AZ14+Лист1!BA14</f>
        <v>0</v>
      </c>
      <c r="N20" s="31">
        <f>Лист1!AX14</f>
        <v>4694.3232</v>
      </c>
      <c r="O20" s="30">
        <f>Лист1!BB14</f>
        <v>15921.189002586</v>
      </c>
      <c r="P20" s="90">
        <f>Лист1!BC14</f>
        <v>0</v>
      </c>
      <c r="Q20" s="75">
        <f>Лист1!BD14</f>
        <v>9111.344122414002</v>
      </c>
      <c r="R20" s="75">
        <f>Лист1!BE14</f>
        <v>-4701.740000000002</v>
      </c>
      <c r="S20" s="1"/>
      <c r="T20" s="1"/>
    </row>
    <row r="21" spans="1:20" ht="12.75" hidden="1">
      <c r="A21" s="11" t="s">
        <v>46</v>
      </c>
      <c r="B21" s="84">
        <f>Лист1!B15</f>
        <v>3621.5</v>
      </c>
      <c r="C21" s="27">
        <f t="shared" si="1"/>
        <v>31325.975000000002</v>
      </c>
      <c r="D21" s="28">
        <f>Лист1!D15</f>
        <v>3915.7468750000003</v>
      </c>
      <c r="E21" s="14">
        <f>Лист1!S15</f>
        <v>21445.760000000002</v>
      </c>
      <c r="F21" s="30">
        <f>Лист1!T15</f>
        <v>4104.43</v>
      </c>
      <c r="G21" s="29">
        <f>Лист1!AB15</f>
        <v>19500.489999999998</v>
      </c>
      <c r="H21" s="30">
        <f>Лист1!AC15</f>
        <v>27520.666875</v>
      </c>
      <c r="I21" s="87">
        <f>Лист1!AF15</f>
        <v>0</v>
      </c>
      <c r="J21" s="29">
        <f>Лист1!AG15</f>
        <v>1955.6100000000001</v>
      </c>
      <c r="K21" s="14">
        <f>Лист1!AI15+Лист1!AJ15</f>
        <v>3149.2600215</v>
      </c>
      <c r="L21" s="14">
        <f>Лист1!AH15+Лист1!AK15+Лист1!AL15+Лист1!AM15+Лист1!AN15+Лист1!AO15+Лист1!AP15+Лист1!AQ15+Лист1!AR15</f>
        <v>10831.076741919998</v>
      </c>
      <c r="M21" s="31">
        <f>Лист1!AS15+Лист1!AT15+Лист1!AU15+Лист1!AZ15+Лист1!BA15</f>
        <v>1569.4</v>
      </c>
      <c r="N21" s="31">
        <f>Лист1!AX15</f>
        <v>3326.4672000000005</v>
      </c>
      <c r="O21" s="30">
        <f>Лист1!BB15</f>
        <v>17505.346763420002</v>
      </c>
      <c r="P21" s="90">
        <f>Лист1!BC15</f>
        <v>0</v>
      </c>
      <c r="Q21" s="75">
        <f>Лист1!BD15</f>
        <v>10015.320111579997</v>
      </c>
      <c r="R21" s="75">
        <f>Лист1!BE15</f>
        <v>-1945.270000000004</v>
      </c>
      <c r="S21" s="1"/>
      <c r="T21" s="1"/>
    </row>
    <row r="22" spans="1:20" ht="12.75" hidden="1">
      <c r="A22" s="11" t="s">
        <v>47</v>
      </c>
      <c r="B22" s="84">
        <f>Лист1!B16</f>
        <v>3621.5</v>
      </c>
      <c r="C22" s="27">
        <f t="shared" si="1"/>
        <v>31325.975000000002</v>
      </c>
      <c r="D22" s="28">
        <f>Лист1!D16</f>
        <v>3915.7468750000003</v>
      </c>
      <c r="E22" s="14">
        <f>Лист1!S16</f>
        <v>21677.079999999998</v>
      </c>
      <c r="F22" s="30">
        <f>Лист1!T16</f>
        <v>4104.43</v>
      </c>
      <c r="G22" s="29">
        <f>Лист1!AB16</f>
        <v>23444.940000000002</v>
      </c>
      <c r="H22" s="30">
        <f>Лист1!AC16</f>
        <v>31465.116875000003</v>
      </c>
      <c r="I22" s="87">
        <f>Лист1!AF16</f>
        <v>0</v>
      </c>
      <c r="J22" s="29">
        <f>Лист1!AG16</f>
        <v>1955.6100000000001</v>
      </c>
      <c r="K22" s="14">
        <f>Лист1!AI16+Лист1!AJ16</f>
        <v>3151.0762037500003</v>
      </c>
      <c r="L22" s="14">
        <f>Лист1!AH16+Лист1!AK16+Лист1!AL16+Лист1!AM16+Лист1!AN16+Лист1!AO16+Лист1!AP16+Лист1!AQ16+Лист1!AR16</f>
        <v>10470.79579807</v>
      </c>
      <c r="M22" s="31">
        <f>Лист1!AS16+Лист1!AT16+Лист1!AU16+Лист1!AZ16+Лист1!BA16</f>
        <v>18430.42</v>
      </c>
      <c r="N22" s="31">
        <f>Лист1!AX16</f>
        <v>2460.8192</v>
      </c>
      <c r="O22" s="30">
        <f>Лист1!BB16</f>
        <v>34007.902001819995</v>
      </c>
      <c r="P22" s="90">
        <f>Лист1!BC16</f>
        <v>0</v>
      </c>
      <c r="Q22" s="75">
        <f>Лист1!BD16</f>
        <v>-2542.785126819992</v>
      </c>
      <c r="R22" s="75">
        <f>Лист1!BE16</f>
        <v>1767.8600000000042</v>
      </c>
      <c r="S22" s="1"/>
      <c r="T22" s="1"/>
    </row>
    <row r="23" spans="1:20" ht="12.75" hidden="1">
      <c r="A23" s="11" t="s">
        <v>48</v>
      </c>
      <c r="B23" s="84">
        <f>Лист1!B17</f>
        <v>3621.5</v>
      </c>
      <c r="C23" s="27">
        <f t="shared" si="1"/>
        <v>31325.975000000002</v>
      </c>
      <c r="D23" s="28">
        <f>Лист1!D17</f>
        <v>3915.7468750000003</v>
      </c>
      <c r="E23" s="14">
        <f>Лист1!S17</f>
        <v>21195.559999999998</v>
      </c>
      <c r="F23" s="30">
        <f>Лист1!T17</f>
        <v>4417.719999999999</v>
      </c>
      <c r="G23" s="29">
        <f>Лист1!AB17</f>
        <v>21245.219999999998</v>
      </c>
      <c r="H23" s="30">
        <f>Лист1!AC17</f>
        <v>29578.686875</v>
      </c>
      <c r="I23" s="87">
        <f>Лист1!AF17</f>
        <v>0</v>
      </c>
      <c r="J23" s="29">
        <f>Лист1!AG17</f>
        <v>1955.6100000000001</v>
      </c>
      <c r="K23" s="14">
        <f>Лист1!AI17+Лист1!AJ17</f>
        <v>3245.1544443000003</v>
      </c>
      <c r="L23" s="14">
        <f>Лист1!AH17+Лист1!AK17+Лист1!AL17+Лист1!AM17+Лист1!AN17+Лист1!AO17+Лист1!AP17+Лист1!AQ17+Лист1!AR17</f>
        <v>10619.15554324</v>
      </c>
      <c r="M23" s="31">
        <f>Лист1!AS17+Лист1!AT17+Лист1!AU17+Лист1!AZ17+Лист1!BA17</f>
        <v>7442.1302000000005</v>
      </c>
      <c r="N23" s="31">
        <f>Лист1!AX17</f>
        <v>3737.4848</v>
      </c>
      <c r="O23" s="30">
        <f>Лист1!BB17</f>
        <v>37481.144587539995</v>
      </c>
      <c r="P23" s="90">
        <f>Лист1!BC17</f>
        <v>0</v>
      </c>
      <c r="Q23" s="75">
        <f>Лист1!BD17</f>
        <v>-7902.457712539996</v>
      </c>
      <c r="R23" s="75">
        <f>Лист1!BE17</f>
        <v>49.659999999999854</v>
      </c>
      <c r="S23" s="1"/>
      <c r="T23" s="1"/>
    </row>
    <row r="24" spans="1:20" ht="12.75" hidden="1">
      <c r="A24" s="11" t="s">
        <v>49</v>
      </c>
      <c r="B24" s="84">
        <f>Лист1!B18</f>
        <v>3621.5</v>
      </c>
      <c r="C24" s="27">
        <f t="shared" si="1"/>
        <v>31325.975000000002</v>
      </c>
      <c r="D24" s="28">
        <f>Лист1!D18</f>
        <v>3003.815000000004</v>
      </c>
      <c r="E24" s="14">
        <f>Лист1!S18</f>
        <v>23402.1</v>
      </c>
      <c r="F24" s="30">
        <f>Лист1!T18</f>
        <v>4920.06</v>
      </c>
      <c r="G24" s="29">
        <f>Лист1!AB18</f>
        <v>21248.960000000003</v>
      </c>
      <c r="H24" s="30">
        <f>Лист1!AC18</f>
        <v>29172.835000000006</v>
      </c>
      <c r="I24" s="87">
        <f>Лист1!AF18</f>
        <v>0</v>
      </c>
      <c r="J24" s="29">
        <f>Лист1!AG18</f>
        <v>2172.9</v>
      </c>
      <c r="K24" s="14">
        <f>Лист1!AI18+Лист1!AJ18</f>
        <v>3632.3645</v>
      </c>
      <c r="L24" s="14">
        <f>Лист1!AH18+Лист1!AK18+Лист1!AL18+Лист1!AM18+Лист1!AN18+Лист1!AO18+Лист1!AP18+Лист1!AQ18+Лист1!AR18</f>
        <v>12440.576799999999</v>
      </c>
      <c r="M24" s="31">
        <f>Лист1!AS18+Лист1!AT18+Лист1!AU18+Лист1!AZ18+Лист1!BA18</f>
        <v>10286.1662</v>
      </c>
      <c r="N24" s="31">
        <f>Лист1!AX18</f>
        <v>2100.0224</v>
      </c>
      <c r="O24" s="30">
        <f>Лист1!BB18</f>
        <v>30632.0299</v>
      </c>
      <c r="P24" s="90">
        <f>Лист1!BC18</f>
        <v>0</v>
      </c>
      <c r="Q24" s="75">
        <f>Лист1!BD18</f>
        <v>-1459.194899999995</v>
      </c>
      <c r="R24" s="75">
        <f>Лист1!BE18</f>
        <v>-2153.139999999996</v>
      </c>
      <c r="S24" s="1"/>
      <c r="T24" s="1"/>
    </row>
    <row r="25" spans="1:20" ht="12.75" hidden="1">
      <c r="A25" s="11" t="s">
        <v>50</v>
      </c>
      <c r="B25" s="84">
        <f>Лист1!B19</f>
        <v>3621.5</v>
      </c>
      <c r="C25" s="27">
        <f t="shared" si="1"/>
        <v>31325.975000000002</v>
      </c>
      <c r="D25" s="28">
        <f>Лист1!D19</f>
        <v>3015.355000000002</v>
      </c>
      <c r="E25" s="14">
        <f>Лист1!S19</f>
        <v>23390.559999999998</v>
      </c>
      <c r="F25" s="30">
        <f>Лист1!T19</f>
        <v>4920.0599999999995</v>
      </c>
      <c r="G25" s="29">
        <f>Лист1!AB19</f>
        <v>24875.530000000002</v>
      </c>
      <c r="H25" s="30">
        <f>Лист1!AC19</f>
        <v>32810.94500000001</v>
      </c>
      <c r="I25" s="87">
        <f>Лист1!AF19</f>
        <v>0</v>
      </c>
      <c r="J25" s="29">
        <f>Лист1!AG19</f>
        <v>2172.9</v>
      </c>
      <c r="K25" s="14">
        <f>Лист1!AI19+Лист1!AJ19</f>
        <v>3632.3645</v>
      </c>
      <c r="L25" s="14">
        <f>Лист1!AH19+Лист1!AK19+Лист1!AL19+Лист1!AM19+Лист1!AN19+Лист1!AO19+Лист1!AP19+Лист1!AQ19+Лист1!AR19</f>
        <v>12440.902735</v>
      </c>
      <c r="M25" s="31">
        <f>Лист1!AS19+Лист1!AT19+Лист1!AU19+Лист1!AZ19+Лист1!BA19</f>
        <v>38605.0216</v>
      </c>
      <c r="N25" s="31">
        <f>Лист1!AX19</f>
        <v>1451.1168000000002</v>
      </c>
      <c r="O25" s="30">
        <f>Лист1!BB19</f>
        <v>58302.305635</v>
      </c>
      <c r="P25" s="90">
        <f>Лист1!BC19</f>
        <v>0</v>
      </c>
      <c r="Q25" s="75">
        <f>Лист1!BD19</f>
        <v>-25491.36063499999</v>
      </c>
      <c r="R25" s="75">
        <f>Лист1!BE19</f>
        <v>1484.9700000000048</v>
      </c>
      <c r="S25" s="1"/>
      <c r="T25" s="1"/>
    </row>
    <row r="26" spans="1:20" ht="12.75" hidden="1">
      <c r="A26" s="11" t="s">
        <v>51</v>
      </c>
      <c r="B26" s="84">
        <f>Лист1!B20</f>
        <v>3621.5</v>
      </c>
      <c r="C26" s="27">
        <f t="shared" si="1"/>
        <v>31325.975000000002</v>
      </c>
      <c r="D26" s="28">
        <f>Лист1!D20</f>
        <v>2942.3950000000036</v>
      </c>
      <c r="E26" s="14">
        <f>Лист1!S20</f>
        <v>23463.52</v>
      </c>
      <c r="F26" s="30">
        <f>Лист1!T20</f>
        <v>4920.06</v>
      </c>
      <c r="G26" s="29">
        <f>Лист1!AB20</f>
        <v>24430.1</v>
      </c>
      <c r="H26" s="30">
        <f>Лист1!AC20</f>
        <v>32292.555</v>
      </c>
      <c r="I26" s="87">
        <f>Лист1!AF20</f>
        <v>436.13626</v>
      </c>
      <c r="J26" s="29">
        <f>Лист1!AG20</f>
        <v>2172.9</v>
      </c>
      <c r="K26" s="14">
        <f>Лист1!AI20+Лист1!AJ20</f>
        <v>3580.42168765</v>
      </c>
      <c r="L26" s="14">
        <f>Лист1!AH20+Лист1!AK20+Лист1!AL20+Лист1!AM20+Лист1!AN20+Лист1!AO20+Лист1!AP20+Лист1!AQ20+Лист1!AR20</f>
        <v>12317.124283229998</v>
      </c>
      <c r="M26" s="31">
        <f>Лист1!AS20+Лист1!AT20+Лист1!AU20+Лист1!AZ20+Лист1!BA20</f>
        <v>2855.4701999999997</v>
      </c>
      <c r="N26" s="31">
        <f>Лист1!AX20</f>
        <v>1157.7216</v>
      </c>
      <c r="O26" s="30">
        <f>Лист1!BB20</f>
        <v>22083.63777088</v>
      </c>
      <c r="P26" s="90">
        <f>Лист1!BC20</f>
        <v>206.10027122000002</v>
      </c>
      <c r="Q26" s="75">
        <f>Лист1!BD20</f>
        <v>10438.9532179</v>
      </c>
      <c r="R26" s="75">
        <f>Лист1!BE20</f>
        <v>966.5799999999981</v>
      </c>
      <c r="S26" s="1"/>
      <c r="T26" s="1"/>
    </row>
    <row r="27" spans="1:20" ht="12.75" hidden="1">
      <c r="A27" s="11" t="s">
        <v>52</v>
      </c>
      <c r="B27" s="84">
        <f>Лист1!B21</f>
        <v>3621.5</v>
      </c>
      <c r="C27" s="27">
        <f t="shared" si="1"/>
        <v>31325.975000000002</v>
      </c>
      <c r="D27" s="28">
        <f>Лист1!D21</f>
        <v>2968.044999999999</v>
      </c>
      <c r="E27" s="14">
        <f>Лист1!S21</f>
        <v>23320.21</v>
      </c>
      <c r="F27" s="30">
        <f>Лист1!T21</f>
        <v>5037.72</v>
      </c>
      <c r="G27" s="29">
        <f>Лист1!AB21</f>
        <v>19148.02</v>
      </c>
      <c r="H27" s="30">
        <f>Лист1!AC21</f>
        <v>27153.785</v>
      </c>
      <c r="I27" s="87">
        <f>Лист1!AF21</f>
        <v>436.13626</v>
      </c>
      <c r="J27" s="29">
        <f>Лист1!AG21</f>
        <v>2172.9</v>
      </c>
      <c r="K27" s="14">
        <f>Лист1!AI21+Лист1!AJ21</f>
        <v>3578.82344727</v>
      </c>
      <c r="L27" s="14">
        <f>Лист1!AH21+Лист1!AK21+Лист1!AL21+Лист1!AM21+Лист1!AN21+Лист1!AO21+Лист1!AP21+Лист1!AQ21+Лист1!AR21</f>
        <v>28923.106487</v>
      </c>
      <c r="M27" s="31">
        <f>Лист1!AS21+Лист1!AT21+Лист1!AU21+Лист1!AZ21+Лист1!BA21</f>
        <v>39894.1716</v>
      </c>
      <c r="N27" s="31">
        <f>Лист1!AX21</f>
        <v>1129.968</v>
      </c>
      <c r="O27" s="30">
        <f>Лист1!BB21</f>
        <v>75698.96953427</v>
      </c>
      <c r="P27" s="90">
        <f>Лист1!BC21</f>
        <v>206.00662606600002</v>
      </c>
      <c r="Q27" s="75">
        <f>Лист1!BD21</f>
        <v>-48315.054900336</v>
      </c>
      <c r="R27" s="75">
        <f>Лист1!BE21</f>
        <v>-4172.189999999999</v>
      </c>
      <c r="S27" s="1"/>
      <c r="T27" s="1"/>
    </row>
    <row r="28" spans="1:20" ht="12.75" hidden="1">
      <c r="A28" s="11" t="s">
        <v>53</v>
      </c>
      <c r="B28" s="84">
        <f>Лист1!B22</f>
        <v>3621.5</v>
      </c>
      <c r="C28" s="27">
        <f t="shared" si="1"/>
        <v>31325.975000000002</v>
      </c>
      <c r="D28" s="28">
        <f>Лист1!D22</f>
        <v>2970.775000000001</v>
      </c>
      <c r="E28" s="14">
        <f>Лист1!S22</f>
        <v>23304.89</v>
      </c>
      <c r="F28" s="30">
        <f>Лист1!T22</f>
        <v>5050.3099999999995</v>
      </c>
      <c r="G28" s="29">
        <f>Лист1!AB22</f>
        <v>24266.42</v>
      </c>
      <c r="H28" s="30">
        <f>Лист1!AC22</f>
        <v>32287.504999999997</v>
      </c>
      <c r="I28" s="87">
        <f>Лист1!AF22</f>
        <v>436.13626</v>
      </c>
      <c r="J28" s="29">
        <f>Лист1!AG22</f>
        <v>2172.9</v>
      </c>
      <c r="K28" s="14">
        <f>Лист1!AI22+Лист1!AJ22</f>
        <v>3578.2059453050006</v>
      </c>
      <c r="L28" s="14">
        <f>Лист1!AH22+Лист1!AK22+Лист1!AL22+Лист1!AM22+Лист1!AN22+Лист1!AO22+Лист1!AP22+Лист1!AQ22+Лист1!AR22</f>
        <v>12313.719834211</v>
      </c>
      <c r="M28" s="31">
        <f>Лист1!AS22+Лист1!AT22+Лист1!AU22+Лист1!AZ22+Лист1!BA22</f>
        <v>0</v>
      </c>
      <c r="N28" s="31">
        <f>Лист1!AX22</f>
        <v>1540.9856</v>
      </c>
      <c r="O28" s="30">
        <f>Лист1!BB22</f>
        <v>19605.811379516002</v>
      </c>
      <c r="P28" s="90">
        <f>Лист1!BC22</f>
        <v>205.97546879140003</v>
      </c>
      <c r="Q28" s="75">
        <f>Лист1!BD22</f>
        <v>12911.854411692595</v>
      </c>
      <c r="R28" s="75">
        <f>Лист1!BE22</f>
        <v>961.5299999999988</v>
      </c>
      <c r="S28" s="1"/>
      <c r="T28" s="1"/>
    </row>
    <row r="29" spans="1:20" ht="12.75" hidden="1">
      <c r="A29" s="11" t="s">
        <v>41</v>
      </c>
      <c r="B29" s="84">
        <f>Лист1!B23</f>
        <v>3621.5</v>
      </c>
      <c r="C29" s="27">
        <f t="shared" si="1"/>
        <v>31325.975000000002</v>
      </c>
      <c r="D29" s="28">
        <f>Лист1!D23</f>
        <v>2970.7849999999994</v>
      </c>
      <c r="E29" s="14">
        <f>Лист1!S23</f>
        <v>23304.88</v>
      </c>
      <c r="F29" s="30">
        <f>Лист1!T23</f>
        <v>5050.3099999999995</v>
      </c>
      <c r="G29" s="29">
        <f>Лист1!AB23</f>
        <v>24776.82</v>
      </c>
      <c r="H29" s="30">
        <f>Лист1!AC23</f>
        <v>32797.91499999999</v>
      </c>
      <c r="I29" s="87">
        <f>Лист1!AF23</f>
        <v>436.13626</v>
      </c>
      <c r="J29" s="29">
        <f>Лист1!AG23</f>
        <v>2172.9</v>
      </c>
      <c r="K29" s="14">
        <f>Лист1!AI23+Лист1!AJ23</f>
        <v>3619.54439</v>
      </c>
      <c r="L29" s="14">
        <f>Лист1!AH23+Лист1!AK23+Лист1!AL23+Лист1!AM23+Лист1!AN23+Лист1!AO23+Лист1!AP23+Лист1!AQ23+Лист1!AR23</f>
        <v>12419.572100000001</v>
      </c>
      <c r="M29" s="31">
        <f>Лист1!AS23+Лист1!AT23+Лист1!AU23+Лист1!AZ23+Лист1!BA23</f>
        <v>34283.7672</v>
      </c>
      <c r="N29" s="31">
        <f>Лист1!AX23</f>
        <v>1576.6688</v>
      </c>
      <c r="O29" s="30">
        <f>Лист1!BB23</f>
        <v>54072.45249</v>
      </c>
      <c r="P29" s="90">
        <f>Лист1!BC23</f>
        <v>207.585962</v>
      </c>
      <c r="Q29" s="75">
        <f>Лист1!BD23</f>
        <v>-21045.98719200001</v>
      </c>
      <c r="R29" s="75">
        <f>Лист1!BE23</f>
        <v>1471.9399999999987</v>
      </c>
      <c r="S29" s="1"/>
      <c r="T29" s="1"/>
    </row>
    <row r="30" spans="1:20" ht="12.75" hidden="1">
      <c r="A30" s="11" t="s">
        <v>42</v>
      </c>
      <c r="B30" s="84">
        <f>Лист1!B24</f>
        <v>3621.5</v>
      </c>
      <c r="C30" s="27">
        <f t="shared" si="1"/>
        <v>31325.975000000002</v>
      </c>
      <c r="D30" s="28">
        <f>Лист1!D24</f>
        <v>2976.4050000000007</v>
      </c>
      <c r="E30" s="14">
        <f>Лист1!S24</f>
        <v>23299.260000000002</v>
      </c>
      <c r="F30" s="30">
        <f>Лист1!T24</f>
        <v>5050.3099999999995</v>
      </c>
      <c r="G30" s="29">
        <f>Лист1!AB24</f>
        <v>25804.5</v>
      </c>
      <c r="H30" s="30">
        <f>Лист1!AC24</f>
        <v>33831.215</v>
      </c>
      <c r="I30" s="87">
        <f>Лист1!AF24</f>
        <v>436.13626</v>
      </c>
      <c r="J30" s="29">
        <f>Лист1!AG24</f>
        <v>2172.9</v>
      </c>
      <c r="K30" s="14">
        <f>Лист1!AI24+Лист1!AJ24</f>
        <v>3632.3645</v>
      </c>
      <c r="L30" s="14">
        <f>Лист1!AH24+Лист1!AK24+Лист1!AL24+Лист1!AM24+Лист1!AN24+Лист1!AO24+Лист1!AP24+Лист1!AQ24+Лист1!AR24</f>
        <v>12433.3338</v>
      </c>
      <c r="M30" s="31">
        <f>Лист1!AS24+Лист1!AT24+Лист1!AU24+Лист1!AZ24+Лист1!BA24</f>
        <v>0</v>
      </c>
      <c r="N30" s="31">
        <f>Лист1!AX24</f>
        <v>2261.2576</v>
      </c>
      <c r="O30" s="30">
        <f>Лист1!BB24</f>
        <v>20499.855900000002</v>
      </c>
      <c r="P30" s="90">
        <f>Лист1!BC24</f>
        <v>207.87714000000003</v>
      </c>
      <c r="Q30" s="75">
        <f>Лист1!BD24</f>
        <v>13559.618219999993</v>
      </c>
      <c r="R30" s="75">
        <f>Лист1!BE24</f>
        <v>2505.239999999998</v>
      </c>
      <c r="S30" s="1"/>
      <c r="T30" s="1"/>
    </row>
    <row r="31" spans="1:20" ht="13.5" hidden="1" thickBot="1">
      <c r="A31" s="32" t="s">
        <v>43</v>
      </c>
      <c r="B31" s="84">
        <f>Лист1!B25</f>
        <v>3621.5</v>
      </c>
      <c r="C31" s="33">
        <f t="shared" si="1"/>
        <v>31325.975000000002</v>
      </c>
      <c r="D31" s="28">
        <f>Лист1!D25</f>
        <v>4115.465000000002</v>
      </c>
      <c r="E31" s="14">
        <f>Лист1!S25</f>
        <v>22160.199999999997</v>
      </c>
      <c r="F31" s="30">
        <f>Лист1!T25</f>
        <v>5050.3099999999995</v>
      </c>
      <c r="G31" s="29">
        <f>Лист1!AB25</f>
        <v>27792.66</v>
      </c>
      <c r="H31" s="30">
        <f>Лист1!AC25</f>
        <v>36958.435</v>
      </c>
      <c r="I31" s="87">
        <f>Лист1!AF25</f>
        <v>436.13626</v>
      </c>
      <c r="J31" s="29">
        <f>Лист1!AG25</f>
        <v>2172.9</v>
      </c>
      <c r="K31" s="14">
        <f>Лист1!AI25+Лист1!AJ25</f>
        <v>3632.3645</v>
      </c>
      <c r="L31" s="14">
        <f>Лист1!AH25+Лист1!AK25+Лист1!AL25+Лист1!AM25+Лист1!AN25+Лист1!AO25+Лист1!AP25+Лист1!AQ25+Лист1!AR25</f>
        <v>12433.3338</v>
      </c>
      <c r="M31" s="31">
        <f>Лист1!AS25+Лист1!AT25+Лист1!AU25+Лист1!AZ25+Лист1!BA25</f>
        <v>35498.6008</v>
      </c>
      <c r="N31" s="31">
        <f>Лист1!AX25</f>
        <v>3134.8352000000004</v>
      </c>
      <c r="O31" s="30">
        <f>Лист1!BB25</f>
        <v>56872.0343</v>
      </c>
      <c r="P31" s="90">
        <f>Лист1!BC25</f>
        <v>207.87714000000003</v>
      </c>
      <c r="Q31" s="75">
        <f>Лист1!BD25</f>
        <v>-19685.340180000003</v>
      </c>
      <c r="R31" s="75">
        <f>Лист1!BE25</f>
        <v>5632.460000000003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2" ref="C32:R32">SUM(C20:C31)</f>
        <v>375913.42999999993</v>
      </c>
      <c r="D32" s="68">
        <f t="shared" si="2"/>
        <v>40626.24375000001</v>
      </c>
      <c r="E32" s="36">
        <f t="shared" si="2"/>
        <v>271724.65</v>
      </c>
      <c r="F32" s="69">
        <f t="shared" si="2"/>
        <v>56683.399999999994</v>
      </c>
      <c r="G32" s="68">
        <f t="shared" si="2"/>
        <v>273592.55</v>
      </c>
      <c r="H32" s="69">
        <f t="shared" si="2"/>
        <v>370902.1937499999</v>
      </c>
      <c r="I32" s="69">
        <f t="shared" si="2"/>
        <v>2616.8175600000004</v>
      </c>
      <c r="J32" s="68">
        <f t="shared" si="2"/>
        <v>25205.748000000007</v>
      </c>
      <c r="K32" s="36">
        <f t="shared" si="2"/>
        <v>41581.354481475006</v>
      </c>
      <c r="L32" s="36">
        <f t="shared" si="2"/>
        <v>158458.75858355698</v>
      </c>
      <c r="M32" s="36">
        <f t="shared" si="2"/>
        <v>188865.14780000004</v>
      </c>
      <c r="N32" s="36">
        <f t="shared" si="2"/>
        <v>28571.670400000003</v>
      </c>
      <c r="O32" s="69">
        <f t="shared" si="2"/>
        <v>442682.679265032</v>
      </c>
      <c r="P32" s="69">
        <f t="shared" si="2"/>
        <v>1241.4226080774001</v>
      </c>
      <c r="Q32" s="76">
        <f t="shared" si="2"/>
        <v>-70405.0905631094</v>
      </c>
      <c r="R32" s="76">
        <f t="shared" si="2"/>
        <v>1867.900000000005</v>
      </c>
      <c r="S32" s="72"/>
      <c r="T32" s="72"/>
    </row>
    <row r="33" spans="1:20" ht="13.5" thickBot="1">
      <c r="A33" s="274" t="s">
        <v>94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 aca="true" t="shared" si="3" ref="C34:R34">C18+C32</f>
        <v>469896.5449999999</v>
      </c>
      <c r="D34" s="37">
        <f t="shared" si="3"/>
        <v>63248.29280755001</v>
      </c>
      <c r="E34" s="38">
        <f t="shared" si="3"/>
        <v>335868.58</v>
      </c>
      <c r="F34" s="39">
        <f t="shared" si="3"/>
        <v>68908.5</v>
      </c>
      <c r="G34" s="37">
        <f t="shared" si="3"/>
        <v>313742.5</v>
      </c>
      <c r="H34" s="39">
        <f t="shared" si="3"/>
        <v>445899.29280754994</v>
      </c>
      <c r="I34" s="39">
        <f t="shared" si="3"/>
        <v>2616.8175600000004</v>
      </c>
      <c r="J34" s="37">
        <f t="shared" si="3"/>
        <v>31724.808000000005</v>
      </c>
      <c r="K34" s="38">
        <f t="shared" si="3"/>
        <v>52491.50511099501</v>
      </c>
      <c r="L34" s="38">
        <f t="shared" si="3"/>
        <v>196708.54972773796</v>
      </c>
      <c r="M34" s="38">
        <f t="shared" si="3"/>
        <v>208636.30740000005</v>
      </c>
      <c r="N34" s="38">
        <f t="shared" si="3"/>
        <v>28571.670400000003</v>
      </c>
      <c r="O34" s="79">
        <f t="shared" si="3"/>
        <v>518132.840638733</v>
      </c>
      <c r="P34" s="79">
        <f t="shared" si="3"/>
        <v>1241.4226080774001</v>
      </c>
      <c r="Q34" s="78">
        <f t="shared" si="3"/>
        <v>-70858.15287926041</v>
      </c>
      <c r="R34" s="78">
        <f t="shared" si="3"/>
        <v>-22126.079999999998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3621.5</v>
      </c>
      <c r="C36" s="27">
        <f aca="true" t="shared" si="4" ref="C36:C47">B36*8.65</f>
        <v>31325.975000000002</v>
      </c>
      <c r="D36" s="28">
        <f>Лист1!D30</f>
        <v>2978.4350000000045</v>
      </c>
      <c r="E36" s="14">
        <f>Лист1!S30</f>
        <v>23297.23</v>
      </c>
      <c r="F36" s="30">
        <f>Лист1!T30</f>
        <v>5050.3099999999995</v>
      </c>
      <c r="G36" s="29">
        <f>Лист1!AB30</f>
        <v>17048.38</v>
      </c>
      <c r="H36" s="30">
        <f>Лист1!AC30</f>
        <v>25077.125000000007</v>
      </c>
      <c r="I36" s="87">
        <f>Лист1!AF30</f>
        <v>436.13626</v>
      </c>
      <c r="J36" s="29">
        <f>Лист1!AG30</f>
        <v>2172.9</v>
      </c>
      <c r="K36" s="14">
        <f>Лист1!AI30+Лист1!AJ30</f>
        <v>3621.5</v>
      </c>
      <c r="L36" s="14">
        <f>Лист1!AH30+Лист1!AK30+Лист1!AL30+Лист1!AM30+Лист1!AN30+Лист1!AO30+Лист1!AP30+Лист1!AQ30+Лист1!AR30</f>
        <v>12421.744999999999</v>
      </c>
      <c r="M36" s="31">
        <f>Лист1!AS30+Лист1!AT30+Лист1!AU30+Лист1!AZ30+Лист1!BA30</f>
        <v>0</v>
      </c>
      <c r="N36" s="31">
        <f>Лист1!AX30</f>
        <v>3309.6</v>
      </c>
      <c r="O36" s="30">
        <f>Лист1!BB30</f>
        <v>21525.745</v>
      </c>
      <c r="P36" s="90">
        <f>Лист1!BC30</f>
        <v>207.631</v>
      </c>
      <c r="Q36" s="75">
        <f>Лист1!BD30</f>
        <v>3779.8852600000077</v>
      </c>
      <c r="R36" s="75">
        <f>Лист1!BE30</f>
        <v>-6248.8499999999985</v>
      </c>
      <c r="S36" s="1"/>
      <c r="T36" s="1"/>
    </row>
    <row r="37" spans="1:20" ht="12.75">
      <c r="A37" s="11" t="s">
        <v>46</v>
      </c>
      <c r="B37" s="84">
        <f>Лист1!B31</f>
        <v>3621.5</v>
      </c>
      <c r="C37" s="27">
        <f t="shared" si="4"/>
        <v>31325.975000000002</v>
      </c>
      <c r="D37" s="28">
        <f>Лист1!D31</f>
        <v>2978.4250000000025</v>
      </c>
      <c r="E37" s="14">
        <f>Лист1!S31</f>
        <v>23297.239999999998</v>
      </c>
      <c r="F37" s="30">
        <f>Лист1!T31</f>
        <v>5050.3099999999995</v>
      </c>
      <c r="G37" s="29">
        <f>Лист1!AB31</f>
        <v>22391.89</v>
      </c>
      <c r="H37" s="30">
        <f>Лист1!AC31</f>
        <v>30420.625</v>
      </c>
      <c r="I37" s="87">
        <f>Лист1!AF31</f>
        <v>436.13626</v>
      </c>
      <c r="J37" s="29">
        <f>Лист1!AG31</f>
        <v>2172.9</v>
      </c>
      <c r="K37" s="14">
        <f>Лист1!AI31+Лист1!AJ31</f>
        <v>3621.5</v>
      </c>
      <c r="L37" s="14">
        <f>Лист1!AH31+Лист1!AK31+Лист1!AL31+Лист1!AM31+Лист1!AN31+Лист1!AO31+Лист1!AP31+Лист1!AQ31+Лист1!AR31</f>
        <v>12421.744999999999</v>
      </c>
      <c r="M37" s="31">
        <f>Лист1!AS31+Лист1!AT31+Лист1!AU31+Лист1!AZ31+Лист1!BA31</f>
        <v>8221</v>
      </c>
      <c r="N37" s="31">
        <f>Лист1!AX31</f>
        <v>2695</v>
      </c>
      <c r="O37" s="30">
        <f>Лист1!BB31</f>
        <v>29132.145</v>
      </c>
      <c r="P37" s="90">
        <f>Лист1!BC31</f>
        <v>207.631</v>
      </c>
      <c r="Q37" s="75">
        <f>Лист1!BD31</f>
        <v>1516.9852599999988</v>
      </c>
      <c r="R37" s="75">
        <f>Лист1!BE31</f>
        <v>-905.3499999999985</v>
      </c>
      <c r="S37" s="1"/>
      <c r="T37" s="1"/>
    </row>
    <row r="38" spans="1:20" ht="12.75">
      <c r="A38" s="11" t="s">
        <v>47</v>
      </c>
      <c r="B38" s="84">
        <f>Лист1!B32</f>
        <v>3621.5</v>
      </c>
      <c r="C38" s="27">
        <f t="shared" si="4"/>
        <v>31325.975000000002</v>
      </c>
      <c r="D38" s="28">
        <f>Лист1!D32</f>
        <v>2978.4350000000036</v>
      </c>
      <c r="E38" s="14">
        <f>Лист1!S32</f>
        <v>23181.77</v>
      </c>
      <c r="F38" s="30">
        <f>Лист1!T32</f>
        <v>5165.7699999999995</v>
      </c>
      <c r="G38" s="29">
        <f>Лист1!AB32</f>
        <v>25583.03</v>
      </c>
      <c r="H38" s="30">
        <f>Лист1!AC32</f>
        <v>33727.235</v>
      </c>
      <c r="I38" s="87">
        <f>Лист1!AF32</f>
        <v>436.13626</v>
      </c>
      <c r="J38" s="29">
        <f>Лист1!AG32</f>
        <v>2172.9</v>
      </c>
      <c r="K38" s="14">
        <f>Лист1!AI32+Лист1!AJ32</f>
        <v>3621.5</v>
      </c>
      <c r="L38" s="14">
        <f>Лист1!AH32+Лист1!AK32+Лист1!AL32+Лист1!AM32+Лист1!AN32+Лист1!AO32+Лист1!AP32+Лист1!AQ32+Лист1!AR32</f>
        <v>12421.744999999999</v>
      </c>
      <c r="M38" s="31">
        <f>Лист1!AS32+Лист1!AT32+Лист1!AU32+Лист1!AZ32+Лист1!BA32</f>
        <v>1752</v>
      </c>
      <c r="N38" s="31">
        <f>Лист1!AX32</f>
        <v>1703.8</v>
      </c>
      <c r="O38" s="30">
        <f>Лист1!BB32</f>
        <v>21671.945</v>
      </c>
      <c r="P38" s="90">
        <f>Лист1!BC32</f>
        <v>207.631</v>
      </c>
      <c r="Q38" s="75">
        <f>Лист1!BD32</f>
        <v>12283.79526</v>
      </c>
      <c r="R38" s="75">
        <f>Лист1!BE32</f>
        <v>2401.2599999999984</v>
      </c>
      <c r="S38" s="1"/>
      <c r="T38" s="1"/>
    </row>
    <row r="39" spans="1:20" ht="12.75">
      <c r="A39" s="11" t="s">
        <v>48</v>
      </c>
      <c r="B39" s="84">
        <f>Лист1!B33</f>
        <v>3621.5</v>
      </c>
      <c r="C39" s="27">
        <f t="shared" si="4"/>
        <v>31325.975000000002</v>
      </c>
      <c r="D39" s="28">
        <f>Лист1!D33</f>
        <v>2976.8149999999996</v>
      </c>
      <c r="E39" s="14">
        <f>Лист1!S33</f>
        <v>23044.440000000002</v>
      </c>
      <c r="F39" s="30">
        <f>Лист1!T33</f>
        <v>5304.72</v>
      </c>
      <c r="G39" s="29">
        <f>Лист1!AB33</f>
        <v>21245.219999999998</v>
      </c>
      <c r="H39" s="30">
        <f>Лист1!AC33</f>
        <v>29526.754999999997</v>
      </c>
      <c r="I39" s="87">
        <f>Лист1!AF33</f>
        <v>436.13626</v>
      </c>
      <c r="J39" s="29">
        <f>Лист1!AG33</f>
        <v>2172.9</v>
      </c>
      <c r="K39" s="14">
        <f>Лист1!AI33+Лист1!AJ33</f>
        <v>3621.5</v>
      </c>
      <c r="L39" s="14">
        <f>Лист1!AH33+Лист1!AK33+Лист1!AL33+Лист1!AM33+Лист1!AN33+Лист1!AO33+Лист1!AP33+Лист1!AQ33+Лист1!AR33</f>
        <v>17252.045</v>
      </c>
      <c r="M39" s="31">
        <f>Лист1!AS33+Лист1!AT33+Лист1!AU33+Лист1!AZ33+Лист1!BA33</f>
        <v>5058</v>
      </c>
      <c r="N39" s="31">
        <f>Лист1!AX33</f>
        <v>1276.8</v>
      </c>
      <c r="O39" s="30">
        <f>Лист1!BB33</f>
        <v>29381.245</v>
      </c>
      <c r="P39" s="90">
        <f>Лист1!BC33</f>
        <v>207.631</v>
      </c>
      <c r="Q39" s="75">
        <f>Лист1!BD33</f>
        <v>374.01525999999774</v>
      </c>
      <c r="R39" s="75">
        <f>Лист1!BE33</f>
        <v>-1799.2200000000048</v>
      </c>
      <c r="S39" s="1"/>
      <c r="T39" s="1"/>
    </row>
    <row r="40" spans="1:20" ht="12.75">
      <c r="A40" s="11" t="s">
        <v>49</v>
      </c>
      <c r="B40" s="84">
        <f>Лист1!B34</f>
        <v>3625.39</v>
      </c>
      <c r="C40" s="27">
        <f t="shared" si="4"/>
        <v>31359.6235</v>
      </c>
      <c r="D40" s="28">
        <f>Лист1!D34</f>
        <v>2976.7834999999995</v>
      </c>
      <c r="E40" s="14">
        <f>Лист1!S34</f>
        <v>23110.97</v>
      </c>
      <c r="F40" s="30">
        <f>Лист1!T34</f>
        <v>5271.87</v>
      </c>
      <c r="G40" s="29">
        <f>Лист1!AB34</f>
        <v>26232.71</v>
      </c>
      <c r="H40" s="30">
        <f>Лист1!AC34</f>
        <v>34481.3635</v>
      </c>
      <c r="I40" s="87">
        <f>Лист1!AF34</f>
        <v>436.13626</v>
      </c>
      <c r="J40" s="29">
        <f>Лист1!AG34</f>
        <v>2175.234</v>
      </c>
      <c r="K40" s="14">
        <f>Лист1!AI34+Лист1!AJ34</f>
        <v>3625.39</v>
      </c>
      <c r="L40" s="14">
        <f>Лист1!AH34+Лист1!AK34+Лист1!AL34+Лист1!AM34+Лист1!AN34+Лист1!AO34+Лист1!AP34+Лист1!AQ34+Лист1!AR34</f>
        <v>12435.0877</v>
      </c>
      <c r="M40" s="31">
        <f>Лист1!AS34+Лист1!AT34+Лист1!AU34+Лист1!AZ34+Лист1!BA34</f>
        <v>23002</v>
      </c>
      <c r="N40" s="31">
        <f>Лист1!AX34</f>
        <v>1192.8</v>
      </c>
      <c r="O40" s="30">
        <f>Лист1!BB34</f>
        <v>42430.5117</v>
      </c>
      <c r="P40" s="90">
        <f>Лист1!BC34</f>
        <v>207.631</v>
      </c>
      <c r="Q40" s="75">
        <f>Лист1!BD34</f>
        <v>-7720.642940000004</v>
      </c>
      <c r="R40" s="75">
        <f>Лист1!BE34</f>
        <v>3121.739999999998</v>
      </c>
      <c r="S40" s="1"/>
      <c r="T40" s="1"/>
    </row>
    <row r="41" spans="1:20" ht="12.75">
      <c r="A41" s="11" t="s">
        <v>50</v>
      </c>
      <c r="B41" s="84">
        <f>Лист1!B35</f>
        <v>3625.39</v>
      </c>
      <c r="C41" s="27">
        <f t="shared" si="4"/>
        <v>31359.6235</v>
      </c>
      <c r="D41" s="28">
        <f>Лист1!D35</f>
        <v>2981.3334999999997</v>
      </c>
      <c r="E41" s="14">
        <f>Лист1!S35</f>
        <v>23106.43</v>
      </c>
      <c r="F41" s="30">
        <f>Лист1!T35</f>
        <v>5271.86</v>
      </c>
      <c r="G41" s="29">
        <f>Лист1!AB35</f>
        <v>20131.469999999998</v>
      </c>
      <c r="H41" s="30">
        <f>Лист1!AC35</f>
        <v>28384.663499999995</v>
      </c>
      <c r="I41" s="87">
        <f>Лист1!AF35</f>
        <v>436.13626</v>
      </c>
      <c r="J41" s="29">
        <f>Лист1!AG35</f>
        <v>2175.234</v>
      </c>
      <c r="K41" s="14">
        <f>Лист1!AI35+Лист1!AJ35</f>
        <v>3625.39</v>
      </c>
      <c r="L41" s="14">
        <f>Лист1!AH35+Лист1!AK35+Лист1!AL35+Лист1!AM35+Лист1!AN35+Лист1!AO35+Лист1!AP35+Лист1!AQ35+Лист1!AR35</f>
        <v>12535.0877</v>
      </c>
      <c r="M41" s="31">
        <f>Лист1!AS35+Лист1!AT35+Лист1!AU35+Лист1!AZ35+Лист1!BA35</f>
        <v>16107</v>
      </c>
      <c r="N41" s="31">
        <f>Лист1!AX35</f>
        <v>792.4</v>
      </c>
      <c r="O41" s="30">
        <f>Лист1!BB35</f>
        <v>35235.1117</v>
      </c>
      <c r="P41" s="90">
        <f>Лист1!BC35</f>
        <v>207.631</v>
      </c>
      <c r="Q41" s="75">
        <f>Лист1!BD35</f>
        <v>-6621.942940000007</v>
      </c>
      <c r="R41" s="75">
        <f>Лист1!BE35</f>
        <v>-2974.9600000000028</v>
      </c>
      <c r="S41" s="1"/>
      <c r="T41" s="1"/>
    </row>
    <row r="42" spans="1:20" ht="12.75">
      <c r="A42" s="11" t="s">
        <v>51</v>
      </c>
      <c r="B42" s="84">
        <f>Лист1!B36</f>
        <v>3625.39</v>
      </c>
      <c r="C42" s="27">
        <f t="shared" si="4"/>
        <v>31359.6235</v>
      </c>
      <c r="D42" s="28">
        <f>Лист1!D36</f>
        <v>2869.993500000003</v>
      </c>
      <c r="E42" s="14">
        <f>Лист1!S36</f>
        <v>28489.629999999997</v>
      </c>
      <c r="F42" s="30">
        <f>Лист1!T36</f>
        <v>0</v>
      </c>
      <c r="G42" s="29">
        <f>Лист1!AB36</f>
        <v>24573.32</v>
      </c>
      <c r="H42" s="30">
        <f>Лист1!AC36</f>
        <v>27443.313500000004</v>
      </c>
      <c r="I42" s="87">
        <f>Лист1!AF36</f>
        <v>436.13626</v>
      </c>
      <c r="J42" s="29">
        <f>Лист1!AG36</f>
        <v>2175.234</v>
      </c>
      <c r="K42" s="14">
        <f>Лист1!AI36+Лист1!AJ36</f>
        <v>3625.39</v>
      </c>
      <c r="L42" s="14">
        <f>Лист1!AH36+Лист1!AK36+Лист1!AL36+Лист1!AM36+Лист1!AN36+Лист1!AO36+Лист1!AP36+Лист1!AQ36+Лист1!AR36</f>
        <v>12435.0877</v>
      </c>
      <c r="M42" s="31">
        <f>Лист1!AS36+Лист1!AT36+Лист1!AU36+Лист1!AZ36+Лист1!BA36</f>
        <v>0</v>
      </c>
      <c r="N42" s="31">
        <f>Лист1!AX36</f>
        <v>956.1999999999999</v>
      </c>
      <c r="O42" s="30">
        <f>Лист1!BB36</f>
        <v>19191.9117</v>
      </c>
      <c r="P42" s="90">
        <f>Лист1!BC36</f>
        <v>207.631</v>
      </c>
      <c r="Q42" s="75">
        <f>Лист1!BD36</f>
        <v>8479.907060000003</v>
      </c>
      <c r="R42" s="75">
        <f>Лист1!BE36</f>
        <v>-3916.3099999999977</v>
      </c>
      <c r="S42" s="1"/>
      <c r="T42" s="1"/>
    </row>
    <row r="43" spans="1:20" ht="12.75">
      <c r="A43" s="11" t="s">
        <v>52</v>
      </c>
      <c r="B43" s="84">
        <f>Лист1!B37</f>
        <v>3625.39</v>
      </c>
      <c r="C43" s="27">
        <f t="shared" si="4"/>
        <v>31359.6235</v>
      </c>
      <c r="D43" s="28">
        <f>Лист1!D37</f>
        <v>2869.4835000000035</v>
      </c>
      <c r="E43" s="14">
        <f>Лист1!S37</f>
        <v>28490.14</v>
      </c>
      <c r="F43" s="30">
        <f>Лист1!T37</f>
        <v>0</v>
      </c>
      <c r="G43" s="29">
        <f>Лист1!AB37</f>
        <v>26163.61</v>
      </c>
      <c r="H43" s="30">
        <f>Лист1!AC37</f>
        <v>29033.093500000003</v>
      </c>
      <c r="I43" s="87">
        <f>Лист1!AF37</f>
        <v>436.13626</v>
      </c>
      <c r="J43" s="29">
        <f>Лист1!AG37</f>
        <v>2175.234</v>
      </c>
      <c r="K43" s="14">
        <f>Лист1!AI37+Лист1!AJ37</f>
        <v>3625.39</v>
      </c>
      <c r="L43" s="14">
        <f>Лист1!AH37+Лист1!AK37+Лист1!AL37+Лист1!AM37+Лист1!AN37+Лист1!AO37+Лист1!AP37+Лист1!AQ37+Лист1!AR37</f>
        <v>12435.0877</v>
      </c>
      <c r="M43" s="31">
        <f>Лист1!AS37+Лист1!AT37+Лист1!AU37+Лист1!AZ37+Лист1!BA37</f>
        <v>3682.8</v>
      </c>
      <c r="N43" s="31">
        <f>Лист1!AX37</f>
        <v>802.1999999999999</v>
      </c>
      <c r="O43" s="30">
        <f>Лист1!BB37</f>
        <v>22720.7117</v>
      </c>
      <c r="P43" s="90">
        <f>Лист1!BC37</f>
        <v>207.631</v>
      </c>
      <c r="Q43" s="75">
        <f>Лист1!BD37</f>
        <v>6540.887060000002</v>
      </c>
      <c r="R43" s="75">
        <f>Лист1!BE37</f>
        <v>-2326.529999999999</v>
      </c>
      <c r="S43" s="1"/>
      <c r="T43" s="1"/>
    </row>
    <row r="44" spans="1:20" ht="12.75">
      <c r="A44" s="11" t="s">
        <v>53</v>
      </c>
      <c r="B44" s="84">
        <f>Лист1!B38</f>
        <v>3625.39</v>
      </c>
      <c r="C44" s="27">
        <f t="shared" si="4"/>
        <v>31359.6235</v>
      </c>
      <c r="D44" s="28">
        <f>Лист1!D38</f>
        <v>32869.4535</v>
      </c>
      <c r="E44" s="14">
        <f>Лист1!S38</f>
        <v>28490.17</v>
      </c>
      <c r="F44" s="30">
        <f>Лист1!T38</f>
        <v>0</v>
      </c>
      <c r="G44" s="29">
        <f>Лист1!AB38</f>
        <v>26805.67</v>
      </c>
      <c r="H44" s="30">
        <f>Лист1!AC38</f>
        <v>59675.1235</v>
      </c>
      <c r="I44" s="87">
        <f>Лист1!AF38</f>
        <v>436.13626</v>
      </c>
      <c r="J44" s="29">
        <f>Лист1!AG38</f>
        <v>2175.234</v>
      </c>
      <c r="K44" s="14">
        <f>Лист1!AI38+Лист1!AJ38</f>
        <v>3625.39</v>
      </c>
      <c r="L44" s="14">
        <f>Лист1!AH38+Лист1!AK38+Лист1!AL38+Лист1!AM38+Лист1!AN38+Лист1!AO38+Лист1!AP38+Лист1!AQ38+Лист1!AR38</f>
        <v>12435.0877</v>
      </c>
      <c r="M44" s="31">
        <f>Лист1!AS38+Лист1!AT38+Лист1!AU38+Лист1!AZ38+Лист1!BA38</f>
        <v>0</v>
      </c>
      <c r="N44" s="31">
        <f>Лист1!AX38</f>
        <v>1267</v>
      </c>
      <c r="O44" s="30">
        <f>Лист1!BB38</f>
        <v>19502.7117</v>
      </c>
      <c r="P44" s="90">
        <f>Лист1!BC38</f>
        <v>207.631</v>
      </c>
      <c r="Q44" s="75">
        <f>Лист1!BD38</f>
        <v>40400.91706</v>
      </c>
      <c r="R44" s="75">
        <f>Лист1!BE38</f>
        <v>-1684.5</v>
      </c>
      <c r="S44" s="1"/>
      <c r="T44" s="1"/>
    </row>
    <row r="45" spans="1:20" ht="12.75">
      <c r="A45" s="11" t="s">
        <v>41</v>
      </c>
      <c r="B45" s="84">
        <f>Лист1!B39</f>
        <v>3625.39</v>
      </c>
      <c r="C45" s="27">
        <f t="shared" si="4"/>
        <v>31359.6235</v>
      </c>
      <c r="D45" s="28">
        <f>Лист1!D39</f>
        <v>2869.5034999999993</v>
      </c>
      <c r="E45" s="14">
        <f>Лист1!S39</f>
        <v>28490.12</v>
      </c>
      <c r="F45" s="30">
        <f>Лист1!T39</f>
        <v>0</v>
      </c>
      <c r="G45" s="29">
        <f>Лист1!AB39</f>
        <v>23897.5</v>
      </c>
      <c r="H45" s="30">
        <f>Лист1!AC39</f>
        <v>26767.0035</v>
      </c>
      <c r="I45" s="87">
        <f>Лист1!AF39</f>
        <v>586.13626</v>
      </c>
      <c r="J45" s="29">
        <f>Лист1!AG39</f>
        <v>2175.234</v>
      </c>
      <c r="K45" s="14">
        <f>Лист1!AI39+Лист1!AJ39</f>
        <v>3625.39</v>
      </c>
      <c r="L45" s="14">
        <f>Лист1!AH39+Лист1!AK39+Лист1!AL39+Лист1!AM39+Лист1!AN39+Лист1!AO39+Лист1!AP39+Лист1!AQ39+Лист1!AR39</f>
        <v>12435.0877</v>
      </c>
      <c r="M45" s="31">
        <f>Лист1!AS39+Лист1!AT39+Лист1!AU39+Лист1!AZ39+Лист1!BA39</f>
        <v>300</v>
      </c>
      <c r="N45" s="31">
        <f>Лист1!AX39</f>
        <v>1485.3999999999999</v>
      </c>
      <c r="O45" s="30">
        <f>Лист1!BB39</f>
        <v>20021.1117</v>
      </c>
      <c r="P45" s="90">
        <f>Лист1!BC39</f>
        <v>245.131</v>
      </c>
      <c r="Q45" s="75">
        <f>Лист1!BD39</f>
        <v>7086.897059999997</v>
      </c>
      <c r="R45" s="75">
        <f>Лист1!BE39</f>
        <v>-4592.619999999999</v>
      </c>
      <c r="S45" s="1"/>
      <c r="T45" s="1"/>
    </row>
    <row r="46" spans="1:20" ht="12.75">
      <c r="A46" s="11" t="s">
        <v>42</v>
      </c>
      <c r="B46" s="84">
        <f>Лист1!B40</f>
        <v>3625.39</v>
      </c>
      <c r="C46" s="27">
        <f t="shared" si="4"/>
        <v>31359.6235</v>
      </c>
      <c r="D46" s="28">
        <f>Лист1!D40</f>
        <v>2869.5034999999993</v>
      </c>
      <c r="E46" s="14">
        <f>Лист1!S40</f>
        <v>28490.12</v>
      </c>
      <c r="F46" s="30">
        <f>Лист1!T40</f>
        <v>0</v>
      </c>
      <c r="G46" s="29">
        <f>Лист1!AB40</f>
        <v>27488.270000000004</v>
      </c>
      <c r="H46" s="30">
        <f>Лист1!AC40</f>
        <v>30357.773500000003</v>
      </c>
      <c r="I46" s="87">
        <f>Лист1!AF40</f>
        <v>586.13626</v>
      </c>
      <c r="J46" s="29">
        <f>Лист1!AG40</f>
        <v>2175.234</v>
      </c>
      <c r="K46" s="14">
        <f>Лист1!AI40+Лист1!AJ40</f>
        <v>3625.39</v>
      </c>
      <c r="L46" s="14">
        <f>Лист1!AH40+Лист1!AK40+Лист1!AL40+Лист1!AM40+Лист1!AN40+Лист1!AO40+Лист1!AP40+Лист1!AQ40+Лист1!AR40</f>
        <v>12435.0877</v>
      </c>
      <c r="M46" s="31">
        <f>Лист1!AS40+Лист1!AT40+Лист1!AU40+Лист1!AZ40+Лист1!BA40</f>
        <v>835</v>
      </c>
      <c r="N46" s="31">
        <f>Лист1!AX40</f>
        <v>1800.3999999999999</v>
      </c>
      <c r="O46" s="30">
        <f>Лист1!BB40</f>
        <v>20871.1117</v>
      </c>
      <c r="P46" s="90">
        <f>Лист1!BC40</f>
        <v>245.131</v>
      </c>
      <c r="Q46" s="75">
        <f>Лист1!BD40</f>
        <v>9827.667060000002</v>
      </c>
      <c r="R46" s="75">
        <f>Лист1!BE40</f>
        <v>-1001.8499999999949</v>
      </c>
      <c r="S46" s="1"/>
      <c r="T46" s="1"/>
    </row>
    <row r="47" spans="1:20" ht="13.5" thickBot="1">
      <c r="A47" s="32" t="s">
        <v>43</v>
      </c>
      <c r="B47" s="84">
        <f>Лист1!B41</f>
        <v>3625.39</v>
      </c>
      <c r="C47" s="33">
        <f t="shared" si="4"/>
        <v>31359.6235</v>
      </c>
      <c r="D47" s="28">
        <f>Лист1!D41</f>
        <v>2869.493500000001</v>
      </c>
      <c r="E47" s="14">
        <f>Лист1!S41</f>
        <v>28490.13</v>
      </c>
      <c r="F47" s="30">
        <f>Лист1!T41</f>
        <v>0</v>
      </c>
      <c r="G47" s="29">
        <f>Лист1!AB41</f>
        <v>36266.24</v>
      </c>
      <c r="H47" s="30">
        <f>Лист1!AC41</f>
        <v>39135.7335</v>
      </c>
      <c r="I47" s="87">
        <f>Лист1!AF41</f>
        <v>586.13626</v>
      </c>
      <c r="J47" s="29">
        <f>Лист1!AG41</f>
        <v>2175.234</v>
      </c>
      <c r="K47" s="14">
        <f>Лист1!AI41+Лист1!AJ41</f>
        <v>3625.39</v>
      </c>
      <c r="L47" s="14">
        <f>Лист1!AH41+Лист1!AK41+Лист1!AL41+Лист1!AM41+Лист1!AN41+Лист1!AO41+Лист1!AP41+Лист1!AQ41+Лист1!AR41</f>
        <v>12435.0877</v>
      </c>
      <c r="M47" s="31">
        <f>Лист1!AS41+Лист1!AT41+Лист1!AU41+Лист1!AZ41+Лист1!BA41</f>
        <v>80644.5858</v>
      </c>
      <c r="N47" s="31">
        <f>Лист1!AX41</f>
        <v>13057.8</v>
      </c>
      <c r="O47" s="30">
        <f>Лист1!BB41</f>
        <v>111938.0975</v>
      </c>
      <c r="P47" s="90">
        <f>Лист1!BC41</f>
        <v>245.131</v>
      </c>
      <c r="Q47" s="75">
        <f>Лист1!BD41</f>
        <v>-72461.35874</v>
      </c>
      <c r="R47" s="75">
        <f>Лист1!BE41</f>
        <v>7776.109999999997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5" ref="C48:R48">SUM(C36:C47)</f>
        <v>376180.8879999999</v>
      </c>
      <c r="D48" s="68">
        <f t="shared" si="5"/>
        <v>65087.65800000002</v>
      </c>
      <c r="E48" s="36">
        <f t="shared" si="5"/>
        <v>309978.39</v>
      </c>
      <c r="F48" s="69">
        <f t="shared" si="5"/>
        <v>31114.84</v>
      </c>
      <c r="G48" s="68">
        <f t="shared" si="5"/>
        <v>297827.31</v>
      </c>
      <c r="H48" s="69">
        <f t="shared" si="5"/>
        <v>394029.8080000001</v>
      </c>
      <c r="I48" s="69">
        <f t="shared" si="5"/>
        <v>5683.635120000002</v>
      </c>
      <c r="J48" s="68">
        <f t="shared" si="5"/>
        <v>26093.472</v>
      </c>
      <c r="K48" s="36">
        <f t="shared" si="5"/>
        <v>43489.119999999995</v>
      </c>
      <c r="L48" s="36">
        <f t="shared" si="5"/>
        <v>154097.98160000003</v>
      </c>
      <c r="M48" s="36">
        <f t="shared" si="5"/>
        <v>139602.3858</v>
      </c>
      <c r="N48" s="36">
        <f t="shared" si="5"/>
        <v>30339.4</v>
      </c>
      <c r="O48" s="69">
        <f t="shared" si="5"/>
        <v>393622.35939999996</v>
      </c>
      <c r="P48" s="69">
        <f t="shared" si="5"/>
        <v>2604.072</v>
      </c>
      <c r="Q48" s="76">
        <f t="shared" si="5"/>
        <v>3487.0117200000095</v>
      </c>
      <c r="R48" s="76">
        <f t="shared" si="5"/>
        <v>-12151.080000000002</v>
      </c>
      <c r="S48" s="72"/>
      <c r="T48" s="72"/>
    </row>
    <row r="49" spans="1:20" ht="13.5" thickBot="1">
      <c r="A49" s="274" t="s">
        <v>70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 aca="true" t="shared" si="6" ref="C50:R50">C34+C48</f>
        <v>846077.4329999998</v>
      </c>
      <c r="D50" s="37">
        <f t="shared" si="6"/>
        <v>128335.95080755002</v>
      </c>
      <c r="E50" s="38">
        <f t="shared" si="6"/>
        <v>645846.97</v>
      </c>
      <c r="F50" s="39">
        <f t="shared" si="6"/>
        <v>100023.34</v>
      </c>
      <c r="G50" s="37">
        <f t="shared" si="6"/>
        <v>611569.81</v>
      </c>
      <c r="H50" s="39">
        <f t="shared" si="6"/>
        <v>839929.10080755</v>
      </c>
      <c r="I50" s="39">
        <f t="shared" si="6"/>
        <v>8300.452680000002</v>
      </c>
      <c r="J50" s="37">
        <f t="shared" si="6"/>
        <v>57818.280000000006</v>
      </c>
      <c r="K50" s="38">
        <f t="shared" si="6"/>
        <v>95980.625110995</v>
      </c>
      <c r="L50" s="38">
        <f t="shared" si="6"/>
        <v>350806.53132773796</v>
      </c>
      <c r="M50" s="38">
        <f t="shared" si="6"/>
        <v>348238.69320000004</v>
      </c>
      <c r="N50" s="38">
        <f t="shared" si="6"/>
        <v>58911.070400000004</v>
      </c>
      <c r="O50" s="79">
        <f t="shared" si="6"/>
        <v>911755.200038733</v>
      </c>
      <c r="P50" s="79">
        <f t="shared" si="6"/>
        <v>3845.4946080774002</v>
      </c>
      <c r="Q50" s="78">
        <f t="shared" si="6"/>
        <v>-67371.1411592604</v>
      </c>
      <c r="R50" s="78">
        <f t="shared" si="6"/>
        <v>-34277.16</v>
      </c>
      <c r="S50" s="73"/>
      <c r="T50" s="72"/>
    </row>
    <row r="52" spans="19:20" ht="12.75">
      <c r="S52" s="1"/>
      <c r="T52" s="1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276" t="s">
        <v>74</v>
      </c>
      <c r="D54" s="276"/>
      <c r="S54" s="1"/>
      <c r="T54" s="1"/>
    </row>
    <row r="55" spans="1:20" ht="12.75">
      <c r="A55" s="124">
        <v>255067.06</v>
      </c>
      <c r="B55" s="124">
        <v>296942.34</v>
      </c>
      <c r="C55" s="270">
        <f>A55-B55</f>
        <v>-41875.28000000003</v>
      </c>
      <c r="D55" s="271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41" sqref="AX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322" t="s">
        <v>90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2" t="s">
        <v>0</v>
      </c>
      <c r="B3" s="324" t="s">
        <v>1</v>
      </c>
      <c r="C3" s="324" t="s">
        <v>2</v>
      </c>
      <c r="D3" s="324" t="s">
        <v>3</v>
      </c>
      <c r="E3" s="327" t="s">
        <v>4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38" t="s">
        <v>5</v>
      </c>
      <c r="T3" s="338"/>
      <c r="U3" s="339" t="s">
        <v>6</v>
      </c>
      <c r="V3" s="339"/>
      <c r="W3" s="339"/>
      <c r="X3" s="339"/>
      <c r="Y3" s="339"/>
      <c r="Z3" s="339"/>
      <c r="AA3" s="339"/>
      <c r="AB3" s="339"/>
      <c r="AC3" s="341" t="s">
        <v>87</v>
      </c>
      <c r="AD3" s="341" t="s">
        <v>8</v>
      </c>
      <c r="AE3" s="344" t="s">
        <v>9</v>
      </c>
      <c r="AF3" s="353" t="s">
        <v>75</v>
      </c>
      <c r="AG3" s="284" t="s">
        <v>10</v>
      </c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0" t="s">
        <v>76</v>
      </c>
      <c r="BD3" s="335" t="s">
        <v>11</v>
      </c>
      <c r="BE3" s="329" t="s">
        <v>12</v>
      </c>
    </row>
    <row r="4" spans="1:57" ht="36" customHeight="1" thickBot="1">
      <c r="A4" s="293"/>
      <c r="B4" s="325"/>
      <c r="C4" s="325"/>
      <c r="D4" s="325"/>
      <c r="E4" s="328" t="s">
        <v>13</v>
      </c>
      <c r="F4" s="328"/>
      <c r="G4" s="328" t="s">
        <v>14</v>
      </c>
      <c r="H4" s="328"/>
      <c r="I4" s="328" t="s">
        <v>15</v>
      </c>
      <c r="J4" s="328"/>
      <c r="K4" s="328" t="s">
        <v>16</v>
      </c>
      <c r="L4" s="328"/>
      <c r="M4" s="328" t="s">
        <v>17</v>
      </c>
      <c r="N4" s="328"/>
      <c r="O4" s="328" t="s">
        <v>18</v>
      </c>
      <c r="P4" s="328"/>
      <c r="Q4" s="328" t="s">
        <v>19</v>
      </c>
      <c r="R4" s="328"/>
      <c r="S4" s="328"/>
      <c r="T4" s="328"/>
      <c r="U4" s="340"/>
      <c r="V4" s="340"/>
      <c r="W4" s="340"/>
      <c r="X4" s="340"/>
      <c r="Y4" s="340"/>
      <c r="Z4" s="340"/>
      <c r="AA4" s="340"/>
      <c r="AB4" s="340"/>
      <c r="AC4" s="342"/>
      <c r="AD4" s="342"/>
      <c r="AE4" s="345"/>
      <c r="AF4" s="354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1"/>
      <c r="BD4" s="336"/>
      <c r="BE4" s="330"/>
    </row>
    <row r="5" spans="1:57" ht="29.25" customHeight="1" thickBot="1">
      <c r="A5" s="293"/>
      <c r="B5" s="325"/>
      <c r="C5" s="325"/>
      <c r="D5" s="325"/>
      <c r="E5" s="347" t="s">
        <v>20</v>
      </c>
      <c r="F5" s="347" t="s">
        <v>21</v>
      </c>
      <c r="G5" s="347" t="s">
        <v>20</v>
      </c>
      <c r="H5" s="347" t="s">
        <v>21</v>
      </c>
      <c r="I5" s="347" t="s">
        <v>20</v>
      </c>
      <c r="J5" s="347" t="s">
        <v>21</v>
      </c>
      <c r="K5" s="347" t="s">
        <v>20</v>
      </c>
      <c r="L5" s="347" t="s">
        <v>21</v>
      </c>
      <c r="M5" s="347" t="s">
        <v>20</v>
      </c>
      <c r="N5" s="347" t="s">
        <v>21</v>
      </c>
      <c r="O5" s="347" t="s">
        <v>20</v>
      </c>
      <c r="P5" s="347" t="s">
        <v>21</v>
      </c>
      <c r="Q5" s="347" t="s">
        <v>20</v>
      </c>
      <c r="R5" s="347" t="s">
        <v>21</v>
      </c>
      <c r="S5" s="347" t="s">
        <v>20</v>
      </c>
      <c r="T5" s="347" t="s">
        <v>21</v>
      </c>
      <c r="U5" s="349" t="s">
        <v>22</v>
      </c>
      <c r="V5" s="349" t="s">
        <v>23</v>
      </c>
      <c r="W5" s="349" t="s">
        <v>24</v>
      </c>
      <c r="X5" s="349" t="s">
        <v>25</v>
      </c>
      <c r="Y5" s="349" t="s">
        <v>26</v>
      </c>
      <c r="Z5" s="349" t="s">
        <v>27</v>
      </c>
      <c r="AA5" s="349" t="s">
        <v>28</v>
      </c>
      <c r="AB5" s="349" t="s">
        <v>29</v>
      </c>
      <c r="AC5" s="342"/>
      <c r="AD5" s="342"/>
      <c r="AE5" s="345"/>
      <c r="AF5" s="354"/>
      <c r="AG5" s="287" t="s">
        <v>30</v>
      </c>
      <c r="AH5" s="287" t="s">
        <v>31</v>
      </c>
      <c r="AI5" s="287" t="s">
        <v>32</v>
      </c>
      <c r="AJ5" s="287" t="s">
        <v>33</v>
      </c>
      <c r="AK5" s="287" t="s">
        <v>34</v>
      </c>
      <c r="AL5" s="287" t="s">
        <v>33</v>
      </c>
      <c r="AM5" s="287" t="s">
        <v>35</v>
      </c>
      <c r="AN5" s="287" t="s">
        <v>33</v>
      </c>
      <c r="AO5" s="287" t="s">
        <v>36</v>
      </c>
      <c r="AP5" s="287" t="s">
        <v>33</v>
      </c>
      <c r="AQ5" s="359" t="s">
        <v>80</v>
      </c>
      <c r="AR5" s="361" t="s">
        <v>33</v>
      </c>
      <c r="AS5" s="333" t="s">
        <v>81</v>
      </c>
      <c r="AT5" s="351" t="s">
        <v>82</v>
      </c>
      <c r="AU5" s="351" t="s">
        <v>33</v>
      </c>
      <c r="AV5" s="356" t="s">
        <v>83</v>
      </c>
      <c r="AW5" s="357"/>
      <c r="AX5" s="358"/>
      <c r="AY5" s="287" t="s">
        <v>19</v>
      </c>
      <c r="AZ5" s="287" t="s">
        <v>38</v>
      </c>
      <c r="BA5" s="287" t="s">
        <v>33</v>
      </c>
      <c r="BB5" s="287" t="s">
        <v>39</v>
      </c>
      <c r="BC5" s="281"/>
      <c r="BD5" s="336"/>
      <c r="BE5" s="330"/>
    </row>
    <row r="6" spans="1:57" ht="54" customHeight="1" thickBot="1">
      <c r="A6" s="323"/>
      <c r="B6" s="326"/>
      <c r="C6" s="326"/>
      <c r="D6" s="326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50"/>
      <c r="V6" s="350"/>
      <c r="W6" s="350"/>
      <c r="X6" s="350"/>
      <c r="Y6" s="350"/>
      <c r="Z6" s="350"/>
      <c r="AA6" s="350"/>
      <c r="AB6" s="350"/>
      <c r="AC6" s="343"/>
      <c r="AD6" s="343"/>
      <c r="AE6" s="346"/>
      <c r="AF6" s="355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60"/>
      <c r="AR6" s="362"/>
      <c r="AS6" s="334"/>
      <c r="AT6" s="352"/>
      <c r="AU6" s="352"/>
      <c r="AV6" s="115" t="s">
        <v>84</v>
      </c>
      <c r="AW6" s="115" t="s">
        <v>85</v>
      </c>
      <c r="AX6" s="115" t="s">
        <v>86</v>
      </c>
      <c r="AY6" s="332"/>
      <c r="AZ6" s="332"/>
      <c r="BA6" s="332"/>
      <c r="BB6" s="332"/>
      <c r="BC6" s="282"/>
      <c r="BD6" s="337"/>
      <c r="BE6" s="331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3621.7</v>
      </c>
      <c r="C9" s="103">
        <f>B9*8.65</f>
        <v>31327.704999999998</v>
      </c>
      <c r="D9" s="104">
        <f>C9*0.24088</f>
        <v>7546.2175804</v>
      </c>
      <c r="E9" s="128">
        <v>2575.75</v>
      </c>
      <c r="F9" s="128">
        <v>474.7</v>
      </c>
      <c r="G9" s="128">
        <v>3477.32</v>
      </c>
      <c r="H9" s="128">
        <v>640.85</v>
      </c>
      <c r="I9" s="128">
        <v>8371.22</v>
      </c>
      <c r="J9" s="128">
        <v>1542.78</v>
      </c>
      <c r="K9" s="128">
        <v>5795.5</v>
      </c>
      <c r="L9" s="128">
        <v>1068.08</v>
      </c>
      <c r="M9" s="128">
        <v>2060.58</v>
      </c>
      <c r="N9" s="128">
        <v>479.78</v>
      </c>
      <c r="O9" s="91">
        <v>0</v>
      </c>
      <c r="P9" s="91">
        <v>0</v>
      </c>
      <c r="Q9" s="91">
        <v>0</v>
      </c>
      <c r="R9" s="91">
        <v>0</v>
      </c>
      <c r="S9" s="91">
        <f>E9+G9+I9+K9+M9+O9+Q9</f>
        <v>22280.370000000003</v>
      </c>
      <c r="T9" s="105">
        <f>P9+N9+L9+J9+H9+F9+R9</f>
        <v>4206.19</v>
      </c>
      <c r="U9" s="91">
        <v>26.09</v>
      </c>
      <c r="V9" s="91">
        <v>35.22</v>
      </c>
      <c r="W9" s="91">
        <v>84.79</v>
      </c>
      <c r="X9" s="91">
        <v>58.7</v>
      </c>
      <c r="Y9" s="91">
        <v>20.87</v>
      </c>
      <c r="Z9" s="106">
        <v>0</v>
      </c>
      <c r="AA9" s="106">
        <v>0</v>
      </c>
      <c r="AB9" s="106">
        <f>SUM(U9:AA9)</f>
        <v>225.67000000000002</v>
      </c>
      <c r="AC9" s="107">
        <f>D9+T9+AB9</f>
        <v>11978.077580399999</v>
      </c>
      <c r="AD9" s="108">
        <f>P9+Z9</f>
        <v>0</v>
      </c>
      <c r="AE9" s="100">
        <f>R9+AA9</f>
        <v>0</v>
      </c>
      <c r="AF9" s="100"/>
      <c r="AG9" s="16">
        <f>0.6*B9</f>
        <v>2173.02</v>
      </c>
      <c r="AH9" s="16">
        <f>B9*0.2*1.05826</f>
        <v>766.5400484</v>
      </c>
      <c r="AI9" s="16">
        <f>0.8518*B9-0.01</f>
        <v>3084.9540599999996</v>
      </c>
      <c r="AJ9" s="16">
        <f>AI9*0.18</f>
        <v>555.2917307999999</v>
      </c>
      <c r="AK9" s="16">
        <f>1.04*B9*0.9531</f>
        <v>3589.9159607999995</v>
      </c>
      <c r="AL9" s="16">
        <f>AK9*0.18</f>
        <v>646.184872944</v>
      </c>
      <c r="AM9" s="16">
        <f>(1.91)*B9*0.9531</f>
        <v>6593.018735699999</v>
      </c>
      <c r="AN9" s="16">
        <f>AM9*0.18</f>
        <v>1186.7433724259997</v>
      </c>
      <c r="AO9" s="16"/>
      <c r="AP9" s="16">
        <f>AO9*0.18</f>
        <v>0</v>
      </c>
      <c r="AQ9" s="16"/>
      <c r="AR9" s="16"/>
      <c r="AS9" s="95">
        <v>7685.22</v>
      </c>
      <c r="AT9" s="95"/>
      <c r="AU9" s="48">
        <f>AS9*0.18</f>
        <v>1383.3396</v>
      </c>
      <c r="AV9" s="14"/>
      <c r="AW9" s="14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27664.22838107</v>
      </c>
      <c r="BC9" s="14">
        <v>0</v>
      </c>
      <c r="BD9" s="14">
        <f>AC9-BB9</f>
        <v>-15686.15080067</v>
      </c>
      <c r="BE9" s="30">
        <f>AB9-S9</f>
        <v>-22054.700000000004</v>
      </c>
    </row>
    <row r="10" spans="1:57" ht="12.75">
      <c r="A10" s="11" t="s">
        <v>42</v>
      </c>
      <c r="B10" s="102">
        <v>3621.7</v>
      </c>
      <c r="C10" s="103">
        <f>B10*8.65</f>
        <v>31327.704999999998</v>
      </c>
      <c r="D10" s="104">
        <f>C10*0.24088</f>
        <v>7546.2175804</v>
      </c>
      <c r="E10" s="128">
        <v>2348.07</v>
      </c>
      <c r="F10" s="128">
        <v>461.18</v>
      </c>
      <c r="G10" s="128">
        <v>3169.84</v>
      </c>
      <c r="H10" s="128">
        <v>622.61</v>
      </c>
      <c r="I10" s="128">
        <v>7631.2</v>
      </c>
      <c r="J10" s="128">
        <v>1498.82</v>
      </c>
      <c r="K10" s="128">
        <v>5283.17</v>
      </c>
      <c r="L10" s="128">
        <v>1037.64</v>
      </c>
      <c r="M10" s="128">
        <v>1878.43</v>
      </c>
      <c r="N10" s="128">
        <v>368.94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20310.71</v>
      </c>
      <c r="T10" s="105">
        <f>P10+N10+L10+J10+H10+F10+R10</f>
        <v>3989.19</v>
      </c>
      <c r="U10" s="91">
        <v>2050.15</v>
      </c>
      <c r="V10" s="91">
        <v>2745.56</v>
      </c>
      <c r="W10" s="91">
        <v>6520.75</v>
      </c>
      <c r="X10" s="91">
        <v>4533.8</v>
      </c>
      <c r="Y10" s="91">
        <v>1652.75</v>
      </c>
      <c r="Z10" s="91">
        <v>0</v>
      </c>
      <c r="AA10" s="106">
        <v>0</v>
      </c>
      <c r="AB10" s="109">
        <f>SUM(U10:AA10)</f>
        <v>17503.01</v>
      </c>
      <c r="AC10" s="110">
        <f>D10+T10+AB10</f>
        <v>29038.417580399997</v>
      </c>
      <c r="AD10" s="100">
        <f>P10+Z10</f>
        <v>0</v>
      </c>
      <c r="AE10" s="100">
        <f>R10+AA10</f>
        <v>0</v>
      </c>
      <c r="AF10" s="100"/>
      <c r="AG10" s="16">
        <f>0.6*B10</f>
        <v>2173.02</v>
      </c>
      <c r="AH10" s="16">
        <f>B10*0.201</f>
        <v>727.9617</v>
      </c>
      <c r="AI10" s="16">
        <f>0.8518*B10-0.01</f>
        <v>3084.9540599999996</v>
      </c>
      <c r="AJ10" s="16">
        <f>AI10*0.18</f>
        <v>555.2917307999999</v>
      </c>
      <c r="AK10" s="16">
        <f>1.04*B10*0.9531</f>
        <v>3589.9159607999995</v>
      </c>
      <c r="AL10" s="16">
        <f>AK10*0.18</f>
        <v>646.184872944</v>
      </c>
      <c r="AM10" s="16">
        <f>(1.91)*B10*0.9531</f>
        <v>6593.018735699999</v>
      </c>
      <c r="AN10" s="16">
        <f>AM10*0.18</f>
        <v>1186.7433724259997</v>
      </c>
      <c r="AO10" s="16"/>
      <c r="AP10" s="16">
        <f>AO10*0.18</f>
        <v>0</v>
      </c>
      <c r="AQ10" s="16"/>
      <c r="AR10" s="16"/>
      <c r="AS10" s="95">
        <v>3380</v>
      </c>
      <c r="AT10" s="95"/>
      <c r="AU10" s="48">
        <f>AS10*0.18</f>
        <v>608.4</v>
      </c>
      <c r="AV10" s="14"/>
      <c r="AW10" s="14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22545.49043267</v>
      </c>
      <c r="BC10" s="14">
        <v>0</v>
      </c>
      <c r="BD10" s="14">
        <f>AC10-BB10</f>
        <v>6492.927147729995</v>
      </c>
      <c r="BE10" s="30">
        <f>AB10-S10</f>
        <v>-2807.7000000000007</v>
      </c>
    </row>
    <row r="11" spans="1:57" ht="12.75">
      <c r="A11" s="11" t="s">
        <v>43</v>
      </c>
      <c r="B11" s="102">
        <v>3621.7</v>
      </c>
      <c r="C11" s="103">
        <f>B11*8.65</f>
        <v>31327.704999999998</v>
      </c>
      <c r="D11" s="104">
        <f>C11*0.24035</f>
        <v>7529.61389675</v>
      </c>
      <c r="E11" s="128">
        <v>2491.65</v>
      </c>
      <c r="F11" s="128">
        <v>465.86</v>
      </c>
      <c r="G11" s="128">
        <v>3363.73</v>
      </c>
      <c r="H11" s="128">
        <v>628.93</v>
      </c>
      <c r="I11" s="128">
        <v>8097.87</v>
      </c>
      <c r="J11" s="128">
        <v>1514.05</v>
      </c>
      <c r="K11" s="128">
        <v>5606.27</v>
      </c>
      <c r="L11" s="128">
        <v>1048.18</v>
      </c>
      <c r="M11" s="128">
        <v>1993.33</v>
      </c>
      <c r="N11" s="129">
        <v>372.7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21552.85</v>
      </c>
      <c r="T11" s="105">
        <f>P11+N11+L11+J11+H11+F11+R11</f>
        <v>4029.7200000000003</v>
      </c>
      <c r="U11" s="91">
        <v>2592.11</v>
      </c>
      <c r="V11" s="91">
        <v>3499.38</v>
      </c>
      <c r="W11" s="91">
        <v>8424.2</v>
      </c>
      <c r="X11" s="91">
        <v>5832.28</v>
      </c>
      <c r="Y11" s="91">
        <v>2073.3</v>
      </c>
      <c r="Z11" s="91">
        <v>0</v>
      </c>
      <c r="AA11" s="106">
        <v>0</v>
      </c>
      <c r="AB11" s="109">
        <f>SUM(U11:AA11)</f>
        <v>22421.27</v>
      </c>
      <c r="AC11" s="110">
        <f>D11+T11+AB11</f>
        <v>33980.60389675</v>
      </c>
      <c r="AD11" s="100">
        <f>P11+Z11</f>
        <v>0</v>
      </c>
      <c r="AE11" s="100">
        <f>R11+AA11</f>
        <v>0</v>
      </c>
      <c r="AF11" s="100"/>
      <c r="AG11" s="16">
        <f>0.6*B11</f>
        <v>2173.02</v>
      </c>
      <c r="AH11" s="16">
        <f>B11*0.2*1.02524</f>
        <v>742.6223416</v>
      </c>
      <c r="AI11" s="16">
        <f>0.84932*B11</f>
        <v>3075.982244</v>
      </c>
      <c r="AJ11" s="16">
        <f>AI11*0.18</f>
        <v>553.67680392</v>
      </c>
      <c r="AK11" s="16">
        <f>1.04*B11*0.95033</f>
        <v>3579.48256744</v>
      </c>
      <c r="AL11" s="16">
        <f>AK11*0.18</f>
        <v>644.3068621392</v>
      </c>
      <c r="AM11" s="16">
        <f>(1.91)*B11*0.95033</f>
        <v>6573.85740751</v>
      </c>
      <c r="AN11" s="16">
        <f>AM11*0.18</f>
        <v>1183.2943333517999</v>
      </c>
      <c r="AO11" s="16"/>
      <c r="AP11" s="16">
        <f>AO11*0.18</f>
        <v>0</v>
      </c>
      <c r="AQ11" s="16"/>
      <c r="AR11" s="16"/>
      <c r="AS11" s="95">
        <v>5690</v>
      </c>
      <c r="AT11" s="95"/>
      <c r="AU11" s="48">
        <f>AS11*0.18</f>
        <v>1024.2</v>
      </c>
      <c r="AV11" s="14"/>
      <c r="AW11" s="14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25240.442559961</v>
      </c>
      <c r="BC11" s="14">
        <v>0</v>
      </c>
      <c r="BD11" s="14">
        <f>AC11-BB11</f>
        <v>8740.161336788999</v>
      </c>
      <c r="BE11" s="30">
        <f>AB11-S11</f>
        <v>868.4200000000019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93983.11499999999</v>
      </c>
      <c r="D12" s="60">
        <f t="shared" si="0"/>
        <v>22622.04905755</v>
      </c>
      <c r="E12" s="57">
        <f>SUM(E9:E11)</f>
        <v>7415.469999999999</v>
      </c>
      <c r="F12" s="57">
        <f t="shared" si="0"/>
        <v>1401.74</v>
      </c>
      <c r="G12" s="57">
        <f t="shared" si="0"/>
        <v>10010.89</v>
      </c>
      <c r="H12" s="57">
        <f t="shared" si="0"/>
        <v>1892.3899999999999</v>
      </c>
      <c r="I12" s="57">
        <f t="shared" si="0"/>
        <v>24100.289999999997</v>
      </c>
      <c r="J12" s="57">
        <f t="shared" si="0"/>
        <v>4555.65</v>
      </c>
      <c r="K12" s="57">
        <f t="shared" si="0"/>
        <v>16684.940000000002</v>
      </c>
      <c r="L12" s="57">
        <f t="shared" si="0"/>
        <v>3153.9000000000005</v>
      </c>
      <c r="M12" s="57">
        <f t="shared" si="0"/>
        <v>5932.34</v>
      </c>
      <c r="N12" s="57">
        <f t="shared" si="0"/>
        <v>1221.42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64143.93</v>
      </c>
      <c r="T12" s="57">
        <f t="shared" si="0"/>
        <v>12225.099999999999</v>
      </c>
      <c r="U12" s="61">
        <f t="shared" si="0"/>
        <v>4668.35</v>
      </c>
      <c r="V12" s="61">
        <f t="shared" si="0"/>
        <v>6280.16</v>
      </c>
      <c r="W12" s="61">
        <f t="shared" si="0"/>
        <v>15029.740000000002</v>
      </c>
      <c r="X12" s="61">
        <f t="shared" si="0"/>
        <v>10424.779999999999</v>
      </c>
      <c r="Y12" s="61">
        <f t="shared" si="0"/>
        <v>3746.92</v>
      </c>
      <c r="Z12" s="61">
        <f t="shared" si="0"/>
        <v>0</v>
      </c>
      <c r="AA12" s="61">
        <f t="shared" si="0"/>
        <v>0</v>
      </c>
      <c r="AB12" s="61">
        <f t="shared" si="0"/>
        <v>40149.95</v>
      </c>
      <c r="AC12" s="61">
        <f t="shared" si="0"/>
        <v>74997.09905754999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6519.0599999999995</v>
      </c>
      <c r="AH12" s="18">
        <f t="shared" si="0"/>
        <v>2237.1240900000003</v>
      </c>
      <c r="AI12" s="18">
        <f t="shared" si="0"/>
        <v>9245.890363999999</v>
      </c>
      <c r="AJ12" s="18">
        <f t="shared" si="0"/>
        <v>1664.2602655199998</v>
      </c>
      <c r="AK12" s="18">
        <f t="shared" si="0"/>
        <v>10759.31448904</v>
      </c>
      <c r="AL12" s="18">
        <f t="shared" si="0"/>
        <v>1936.6766080272</v>
      </c>
      <c r="AM12" s="18">
        <f>SUM(AM9:AM11)</f>
        <v>19759.894878909996</v>
      </c>
      <c r="AN12" s="18">
        <f>SUM(AN9:AN11)</f>
        <v>3556.7810782037996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16755.22</v>
      </c>
      <c r="AT12" s="18">
        <f>SUM(AT9:AT11)</f>
        <v>0</v>
      </c>
      <c r="AU12" s="18">
        <f>SUM(AU9:AU11)</f>
        <v>3015.9395999999997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75450.161373701</v>
      </c>
      <c r="BC12" s="18">
        <f t="shared" si="0"/>
        <v>0</v>
      </c>
      <c r="BD12" s="18">
        <f t="shared" si="0"/>
        <v>-453.0623161510066</v>
      </c>
      <c r="BE12" s="19">
        <f t="shared" si="0"/>
        <v>-23993.980000000003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1">
        <v>3621.7</v>
      </c>
      <c r="C14" s="103">
        <f>B14*8.65</f>
        <v>31327.704999999998</v>
      </c>
      <c r="D14" s="104">
        <f>C14*0.125</f>
        <v>3915.9631249999998</v>
      </c>
      <c r="E14" s="128">
        <v>2515.69</v>
      </c>
      <c r="F14" s="128">
        <v>469.09</v>
      </c>
      <c r="G14" s="128">
        <v>3396.17</v>
      </c>
      <c r="H14" s="128">
        <v>633.29</v>
      </c>
      <c r="I14" s="128">
        <v>8175.99</v>
      </c>
      <c r="J14" s="128">
        <v>1524.55</v>
      </c>
      <c r="K14" s="128">
        <v>5660.34</v>
      </c>
      <c r="L14" s="128">
        <v>1055.46</v>
      </c>
      <c r="M14" s="128">
        <v>2012.44</v>
      </c>
      <c r="N14" s="129">
        <v>375.29</v>
      </c>
      <c r="O14" s="106">
        <v>0</v>
      </c>
      <c r="P14" s="106">
        <v>0</v>
      </c>
      <c r="Q14" s="106">
        <v>0</v>
      </c>
      <c r="R14" s="106">
        <v>0</v>
      </c>
      <c r="S14" s="91">
        <f>E14+G14+I14+K14+M14+O14+Q14</f>
        <v>21760.63</v>
      </c>
      <c r="T14" s="105">
        <f>P14+N14+L14+J14+H14+F14+R14</f>
        <v>4057.6800000000003</v>
      </c>
      <c r="U14" s="91">
        <v>1972.11</v>
      </c>
      <c r="V14" s="91">
        <v>2662.32</v>
      </c>
      <c r="W14" s="91">
        <v>6409.28</v>
      </c>
      <c r="X14" s="91">
        <v>4437.24</v>
      </c>
      <c r="Y14" s="91">
        <v>1577.94</v>
      </c>
      <c r="Z14" s="91">
        <v>0</v>
      </c>
      <c r="AA14" s="106">
        <v>0</v>
      </c>
      <c r="AB14" s="112">
        <f>SUM(U14:AA14)</f>
        <v>17058.89</v>
      </c>
      <c r="AC14" s="110">
        <f>D14+T14+AB14</f>
        <v>25032.533125</v>
      </c>
      <c r="AD14" s="100">
        <f>P14+Z14</f>
        <v>0</v>
      </c>
      <c r="AE14" s="100">
        <f>R14+AA14</f>
        <v>0</v>
      </c>
      <c r="AF14" s="100"/>
      <c r="AG14" s="16">
        <f>0.6*B14*0.9</f>
        <v>1955.718</v>
      </c>
      <c r="AH14" s="16">
        <f>B14*0.2*0.891</f>
        <v>645.3869400000001</v>
      </c>
      <c r="AI14" s="16">
        <f>0.85*B14*0.867-0.02</f>
        <v>2668.991815</v>
      </c>
      <c r="AJ14" s="16">
        <f>AI14*0.18</f>
        <v>480.4185267</v>
      </c>
      <c r="AK14" s="16">
        <f>0.83*B14*0.8685</f>
        <v>2610.7205535</v>
      </c>
      <c r="AL14" s="16">
        <f>AK14*0.18</f>
        <v>469.92969962999996</v>
      </c>
      <c r="AM14" s="16">
        <f>1.91*B14*0.8686</f>
        <v>6008.494464199999</v>
      </c>
      <c r="AN14" s="16">
        <f>AM14*0.18</f>
        <v>1081.529003556</v>
      </c>
      <c r="AO14" s="16"/>
      <c r="AP14" s="16">
        <f>AO14*0.18</f>
        <v>0</v>
      </c>
      <c r="AQ14" s="113"/>
      <c r="AR14" s="113">
        <f>AQ14*0.18</f>
        <v>0</v>
      </c>
      <c r="AS14" s="95"/>
      <c r="AT14" s="95"/>
      <c r="AU14" s="95">
        <f>(AS14+AT14)*0.18</f>
        <v>0</v>
      </c>
      <c r="AV14" s="114"/>
      <c r="AW14" s="125">
        <v>3552</v>
      </c>
      <c r="AX14" s="16">
        <f aca="true" t="shared" si="1" ref="AX14:AX22">AW14*1.12*1.18</f>
        <v>4694.3232</v>
      </c>
      <c r="AY14" s="116"/>
      <c r="AZ14" s="117"/>
      <c r="BA14" s="117">
        <f>AZ14*0.18</f>
        <v>0</v>
      </c>
      <c r="BB14" s="117">
        <f>SUM(AG14:AU14)</f>
        <v>15921.189002586</v>
      </c>
      <c r="BC14" s="123"/>
      <c r="BD14" s="14">
        <f aca="true" t="shared" si="2" ref="BD14:BD24">AC14+AF14-BB14-BC14</f>
        <v>9111.344122414002</v>
      </c>
      <c r="BE14" s="30">
        <f>AB14-S14</f>
        <v>-4701.740000000002</v>
      </c>
    </row>
    <row r="15" spans="1:57" ht="12.75">
      <c r="A15" s="11" t="s">
        <v>46</v>
      </c>
      <c r="B15" s="111">
        <v>3621.5</v>
      </c>
      <c r="C15" s="103">
        <f aca="true" t="shared" si="3" ref="C15:C25">B15*8.65</f>
        <v>31325.975000000002</v>
      </c>
      <c r="D15" s="104">
        <f>C15*0.125</f>
        <v>3915.7468750000003</v>
      </c>
      <c r="E15" s="128">
        <v>2479.28</v>
      </c>
      <c r="F15" s="128">
        <v>474.5</v>
      </c>
      <c r="G15" s="128">
        <v>3347.02</v>
      </c>
      <c r="H15" s="128">
        <v>640.59</v>
      </c>
      <c r="I15" s="128">
        <v>8057.63</v>
      </c>
      <c r="J15" s="128">
        <v>1542.12</v>
      </c>
      <c r="K15" s="128">
        <v>5578.41</v>
      </c>
      <c r="L15" s="128">
        <v>1067.62</v>
      </c>
      <c r="M15" s="128">
        <v>1983.42</v>
      </c>
      <c r="N15" s="129">
        <v>379.6</v>
      </c>
      <c r="O15" s="106">
        <v>0</v>
      </c>
      <c r="P15" s="106">
        <v>0</v>
      </c>
      <c r="Q15" s="106">
        <v>0</v>
      </c>
      <c r="R15" s="106">
        <v>0</v>
      </c>
      <c r="S15" s="91">
        <f>E15+G15+I15+K15+M15+O15+Q15</f>
        <v>21445.760000000002</v>
      </c>
      <c r="T15" s="105">
        <f>P15+N15+L15+J15+H15+F15+R15</f>
        <v>4104.43</v>
      </c>
      <c r="U15" s="91">
        <v>2254.34</v>
      </c>
      <c r="V15" s="91">
        <v>3043.39</v>
      </c>
      <c r="W15" s="91">
        <v>7326.82</v>
      </c>
      <c r="X15" s="91">
        <v>5072.4</v>
      </c>
      <c r="Y15" s="91">
        <v>1803.54</v>
      </c>
      <c r="Z15" s="91">
        <v>0</v>
      </c>
      <c r="AA15" s="106">
        <v>0</v>
      </c>
      <c r="AB15" s="109">
        <f aca="true" t="shared" si="4" ref="AB15:AB22">SUM(U15:AA15)</f>
        <v>19500.489999999998</v>
      </c>
      <c r="AC15" s="110">
        <f>D15+T15+AB15</f>
        <v>27520.666875</v>
      </c>
      <c r="AD15" s="100">
        <f>P15+Z15</f>
        <v>0</v>
      </c>
      <c r="AE15" s="100">
        <f>R15+AA15</f>
        <v>0</v>
      </c>
      <c r="AF15" s="100"/>
      <c r="AG15" s="16">
        <f>0.6*B15*0.9</f>
        <v>1955.6100000000001</v>
      </c>
      <c r="AH15" s="16">
        <f>B15*0.2*0.9153</f>
        <v>662.9517900000001</v>
      </c>
      <c r="AI15" s="16">
        <f>0.85*B15*0.867</f>
        <v>2668.864425</v>
      </c>
      <c r="AJ15" s="16">
        <f>AI15*0.18</f>
        <v>480.3955965</v>
      </c>
      <c r="AK15" s="16">
        <f>0.83*B15*0.8684</f>
        <v>2610.2757979999997</v>
      </c>
      <c r="AL15" s="16">
        <f>AK15*0.18</f>
        <v>469.8496436399999</v>
      </c>
      <c r="AM15" s="16">
        <f>(1.91)*B15*0.8684</f>
        <v>6006.779245999999</v>
      </c>
      <c r="AN15" s="16">
        <f>AM15*0.18</f>
        <v>1081.2202642799998</v>
      </c>
      <c r="AO15" s="16"/>
      <c r="AP15" s="16">
        <f aca="true" t="shared" si="5" ref="AP15:AR25">AO15*0.18</f>
        <v>0</v>
      </c>
      <c r="AQ15" s="113"/>
      <c r="AR15" s="113">
        <f>AQ15*0.18</f>
        <v>0</v>
      </c>
      <c r="AS15" s="95">
        <v>1330</v>
      </c>
      <c r="AT15" s="95"/>
      <c r="AU15" s="95">
        <f aca="true" t="shared" si="6" ref="AU15:AU25">(AS15+AT15)*0.18</f>
        <v>239.39999999999998</v>
      </c>
      <c r="AV15" s="114"/>
      <c r="AW15" s="125">
        <v>2517</v>
      </c>
      <c r="AX15" s="16">
        <f t="shared" si="1"/>
        <v>3326.4672000000005</v>
      </c>
      <c r="AY15" s="116"/>
      <c r="AZ15" s="117"/>
      <c r="BA15" s="117">
        <f>AZ15*0.18</f>
        <v>0</v>
      </c>
      <c r="BB15" s="117">
        <f>SUM(AG15:AU15)+AY15</f>
        <v>17505.346763420002</v>
      </c>
      <c r="BC15" s="120"/>
      <c r="BD15" s="14">
        <f t="shared" si="2"/>
        <v>10015.320111579997</v>
      </c>
      <c r="BE15" s="30">
        <f aca="true" t="shared" si="7" ref="BE15:BE24">AB15-S15</f>
        <v>-1945.270000000004</v>
      </c>
    </row>
    <row r="16" spans="1:57" ht="12.75">
      <c r="A16" s="11" t="s">
        <v>47</v>
      </c>
      <c r="B16" s="130">
        <v>3621.5</v>
      </c>
      <c r="C16" s="103">
        <f t="shared" si="3"/>
        <v>31325.975000000002</v>
      </c>
      <c r="D16" s="104">
        <f>C16*0.125</f>
        <v>3915.7468750000003</v>
      </c>
      <c r="E16" s="131">
        <v>2506.01</v>
      </c>
      <c r="F16" s="131">
        <v>474.5</v>
      </c>
      <c r="G16" s="131">
        <v>3383.12</v>
      </c>
      <c r="H16" s="131">
        <v>640.59</v>
      </c>
      <c r="I16" s="131">
        <v>8144.57</v>
      </c>
      <c r="J16" s="131">
        <v>1542.12</v>
      </c>
      <c r="K16" s="131">
        <v>5638.58</v>
      </c>
      <c r="L16" s="131">
        <v>1067.62</v>
      </c>
      <c r="M16" s="131">
        <v>2004.8</v>
      </c>
      <c r="N16" s="132">
        <v>379.6</v>
      </c>
      <c r="O16" s="106">
        <v>0</v>
      </c>
      <c r="P16" s="106">
        <v>0</v>
      </c>
      <c r="Q16" s="106">
        <v>0</v>
      </c>
      <c r="R16" s="106">
        <v>0</v>
      </c>
      <c r="S16" s="91">
        <f>E16+G16+I16+K16+M16+O16+Q16</f>
        <v>21677.079999999998</v>
      </c>
      <c r="T16" s="105">
        <f>P16+N16+L16+J16+H16+F16+R16</f>
        <v>4104.43</v>
      </c>
      <c r="U16" s="92">
        <v>2710.41</v>
      </c>
      <c r="V16" s="92">
        <v>3659.03</v>
      </c>
      <c r="W16" s="92">
        <v>8808.77</v>
      </c>
      <c r="X16" s="92">
        <v>6098.44</v>
      </c>
      <c r="Y16" s="92">
        <v>2168.29</v>
      </c>
      <c r="Z16" s="92">
        <v>0</v>
      </c>
      <c r="AA16" s="118">
        <v>0</v>
      </c>
      <c r="AB16" s="112">
        <f t="shared" si="4"/>
        <v>23444.940000000002</v>
      </c>
      <c r="AC16" s="110">
        <f>D16+T16+AB16</f>
        <v>31465.116875000003</v>
      </c>
      <c r="AD16" s="100">
        <f>P16+Z16</f>
        <v>0</v>
      </c>
      <c r="AE16" s="100">
        <f>R16+AA16</f>
        <v>0</v>
      </c>
      <c r="AF16" s="100"/>
      <c r="AG16" s="16">
        <f>0.6*B16*0.9</f>
        <v>1955.6100000000001</v>
      </c>
      <c r="AH16" s="119">
        <f>B16*0.2*0.9082</f>
        <v>657.8092600000001</v>
      </c>
      <c r="AI16" s="16">
        <f>0.85*B16*0.8675</f>
        <v>2670.4035625</v>
      </c>
      <c r="AJ16" s="16">
        <f>AI16*0.18</f>
        <v>480.67264125</v>
      </c>
      <c r="AK16" s="119">
        <f>0.83*B16*0.838</f>
        <v>2518.8981099999996</v>
      </c>
      <c r="AL16" s="16">
        <f>AK16*0.18</f>
        <v>453.4016597999999</v>
      </c>
      <c r="AM16" s="16">
        <f>1.91*B16*0.8381</f>
        <v>5797.1921765</v>
      </c>
      <c r="AN16" s="16">
        <f>AM16*0.18</f>
        <v>1043.49459177</v>
      </c>
      <c r="AO16" s="16"/>
      <c r="AP16" s="16">
        <f t="shared" si="5"/>
        <v>0</v>
      </c>
      <c r="AQ16" s="113"/>
      <c r="AR16" s="113">
        <f>AQ16*0.18</f>
        <v>0</v>
      </c>
      <c r="AS16" s="95">
        <v>15619</v>
      </c>
      <c r="AT16" s="95"/>
      <c r="AU16" s="95">
        <f t="shared" si="6"/>
        <v>2811.42</v>
      </c>
      <c r="AV16" s="114"/>
      <c r="AW16" s="125">
        <v>1862</v>
      </c>
      <c r="AX16" s="16">
        <f t="shared" si="1"/>
        <v>2460.8192</v>
      </c>
      <c r="AY16" s="116"/>
      <c r="AZ16" s="117"/>
      <c r="BA16" s="117">
        <f>AZ16*0.18</f>
        <v>0</v>
      </c>
      <c r="BB16" s="117">
        <f>SUM(AG16:AU16)</f>
        <v>34007.902001819995</v>
      </c>
      <c r="BC16" s="120"/>
      <c r="BD16" s="14">
        <f t="shared" si="2"/>
        <v>-2542.785126819992</v>
      </c>
      <c r="BE16" s="30">
        <f t="shared" si="7"/>
        <v>1767.8600000000042</v>
      </c>
    </row>
    <row r="17" spans="1:57" ht="12.75">
      <c r="A17" s="11" t="s">
        <v>48</v>
      </c>
      <c r="B17" s="133">
        <v>3621.5</v>
      </c>
      <c r="C17" s="103">
        <f t="shared" si="3"/>
        <v>31325.975000000002</v>
      </c>
      <c r="D17" s="104">
        <f>C17*0.125</f>
        <v>3915.7468750000003</v>
      </c>
      <c r="E17" s="131">
        <v>2450.34</v>
      </c>
      <c r="F17" s="131">
        <v>510.72</v>
      </c>
      <c r="G17" s="131">
        <v>3307.99</v>
      </c>
      <c r="H17" s="131">
        <v>689.48</v>
      </c>
      <c r="I17" s="131">
        <v>7963.63</v>
      </c>
      <c r="J17" s="131">
        <v>1659.83</v>
      </c>
      <c r="K17" s="131">
        <v>5513.32</v>
      </c>
      <c r="L17" s="131">
        <v>1149.11</v>
      </c>
      <c r="M17" s="131">
        <v>1960.28</v>
      </c>
      <c r="N17" s="132">
        <v>408.58</v>
      </c>
      <c r="O17" s="118">
        <v>0</v>
      </c>
      <c r="P17" s="118">
        <v>0</v>
      </c>
      <c r="Q17" s="118">
        <v>0</v>
      </c>
      <c r="R17" s="118">
        <v>0</v>
      </c>
      <c r="S17" s="91">
        <f aca="true" t="shared" si="8" ref="S17:S25">E17+G17+I17+K17+M17+O17+Q17</f>
        <v>21195.559999999998</v>
      </c>
      <c r="T17" s="105">
        <f aca="true" t="shared" si="9" ref="T17:T25">P17+N17+L17+J17+H17+F17+R17</f>
        <v>4417.719999999999</v>
      </c>
      <c r="U17" s="91">
        <v>2456.11</v>
      </c>
      <c r="V17" s="91">
        <v>3315.7</v>
      </c>
      <c r="W17" s="91">
        <v>7982.32</v>
      </c>
      <c r="X17" s="91">
        <v>5526.24</v>
      </c>
      <c r="Y17" s="91">
        <v>1964.85</v>
      </c>
      <c r="Z17" s="91">
        <v>0</v>
      </c>
      <c r="AA17" s="91">
        <v>0</v>
      </c>
      <c r="AB17" s="112">
        <f t="shared" si="4"/>
        <v>21245.219999999998</v>
      </c>
      <c r="AC17" s="110">
        <f aca="true" t="shared" si="10" ref="AC17:AC22">D17+T17+AB17</f>
        <v>29578.686875</v>
      </c>
      <c r="AD17" s="100">
        <f aca="true" t="shared" si="11" ref="AD17:AD25">P17+Z17</f>
        <v>0</v>
      </c>
      <c r="AE17" s="100">
        <f aca="true" t="shared" si="12" ref="AE17:AE25">R17+AA17</f>
        <v>0</v>
      </c>
      <c r="AF17" s="100"/>
      <c r="AG17" s="16">
        <f>0.6*B17*0.9</f>
        <v>1955.6100000000001</v>
      </c>
      <c r="AH17" s="119">
        <f>B17*0.2*0.9234</f>
        <v>668.81862</v>
      </c>
      <c r="AI17" s="16">
        <f>0.85*B17*0.8934</f>
        <v>2750.130885</v>
      </c>
      <c r="AJ17" s="16">
        <f aca="true" t="shared" si="13" ref="AJ17:AJ25">AI17*0.18</f>
        <v>495.0235593</v>
      </c>
      <c r="AK17" s="16">
        <f>0.83*B17*0.8498</f>
        <v>2554.367081</v>
      </c>
      <c r="AL17" s="16">
        <f aca="true" t="shared" si="14" ref="AL17:AL25">AK17*0.18</f>
        <v>459.78607457999993</v>
      </c>
      <c r="AM17" s="16">
        <f>(1.91)*B17*0.8498</f>
        <v>5878.121837</v>
      </c>
      <c r="AN17" s="16">
        <f aca="true" t="shared" si="15" ref="AN17:AN25">AM17*0.18</f>
        <v>1058.06193066</v>
      </c>
      <c r="AO17" s="16"/>
      <c r="AP17" s="16">
        <f t="shared" si="5"/>
        <v>0</v>
      </c>
      <c r="AQ17" s="113"/>
      <c r="AR17" s="113">
        <f t="shared" si="5"/>
        <v>0</v>
      </c>
      <c r="AS17" s="95">
        <v>6306.89</v>
      </c>
      <c r="AT17" s="95"/>
      <c r="AU17" s="95">
        <f t="shared" si="6"/>
        <v>1135.2402</v>
      </c>
      <c r="AV17" s="114"/>
      <c r="AW17" s="126">
        <v>2828</v>
      </c>
      <c r="AX17" s="16">
        <f t="shared" si="1"/>
        <v>3737.4848</v>
      </c>
      <c r="AY17" s="127"/>
      <c r="AZ17" s="31"/>
      <c r="BA17" s="14">
        <f>AZ17*0.18</f>
        <v>0</v>
      </c>
      <c r="BB17" s="14">
        <f>SUM(AG17:BA17)-AV17-AW17+AX14+AX15+AX16</f>
        <v>37481.144587539995</v>
      </c>
      <c r="BC17" s="120"/>
      <c r="BD17" s="14">
        <f t="shared" si="2"/>
        <v>-7902.457712539996</v>
      </c>
      <c r="BE17" s="30">
        <f t="shared" si="7"/>
        <v>49.659999999999854</v>
      </c>
    </row>
    <row r="18" spans="1:57" ht="12.75">
      <c r="A18" s="11" t="s">
        <v>49</v>
      </c>
      <c r="B18" s="134">
        <v>3621.5</v>
      </c>
      <c r="C18" s="103">
        <f t="shared" si="3"/>
        <v>31325.975000000002</v>
      </c>
      <c r="D18" s="121">
        <f aca="true" t="shared" si="16" ref="D18:D25">C18-E18-F18-G18-H18-I18-J18-K18-L18-M18-N18</f>
        <v>3003.815000000004</v>
      </c>
      <c r="E18" s="131">
        <v>2701.69</v>
      </c>
      <c r="F18" s="131">
        <v>567.71</v>
      </c>
      <c r="G18" s="131">
        <v>3658.13</v>
      </c>
      <c r="H18" s="131">
        <v>769.55</v>
      </c>
      <c r="I18" s="131">
        <v>8791.31</v>
      </c>
      <c r="J18" s="131">
        <v>1848.18</v>
      </c>
      <c r="K18" s="131">
        <v>6089.61</v>
      </c>
      <c r="L18" s="131">
        <v>1280.47</v>
      </c>
      <c r="M18" s="131">
        <v>2161.36</v>
      </c>
      <c r="N18" s="132">
        <v>454.15</v>
      </c>
      <c r="O18" s="118">
        <v>0</v>
      </c>
      <c r="P18" s="118">
        <v>0</v>
      </c>
      <c r="Q18" s="118">
        <v>0</v>
      </c>
      <c r="R18" s="118">
        <v>0</v>
      </c>
      <c r="S18" s="91">
        <f t="shared" si="8"/>
        <v>23402.1</v>
      </c>
      <c r="T18" s="105">
        <f t="shared" si="9"/>
        <v>4920.06</v>
      </c>
      <c r="U18" s="92">
        <v>2456.52</v>
      </c>
      <c r="V18" s="92">
        <v>3316.36</v>
      </c>
      <c r="W18" s="92">
        <v>7983.59</v>
      </c>
      <c r="X18" s="92">
        <v>5527.26</v>
      </c>
      <c r="Y18" s="92">
        <v>1965.23</v>
      </c>
      <c r="Z18" s="92">
        <v>0</v>
      </c>
      <c r="AA18" s="118">
        <v>0</v>
      </c>
      <c r="AB18" s="112">
        <f t="shared" si="4"/>
        <v>21248.960000000003</v>
      </c>
      <c r="AC18" s="110">
        <f t="shared" si="10"/>
        <v>29172.835000000006</v>
      </c>
      <c r="AD18" s="100">
        <f t="shared" si="11"/>
        <v>0</v>
      </c>
      <c r="AE18" s="100">
        <f t="shared" si="12"/>
        <v>0</v>
      </c>
      <c r="AF18" s="100"/>
      <c r="AG18" s="16">
        <f aca="true" t="shared" si="17" ref="AG18:AG25">0.6*B18</f>
        <v>2172.9</v>
      </c>
      <c r="AH18" s="16">
        <f>B18*0.2*1.01</f>
        <v>731.5430000000001</v>
      </c>
      <c r="AI18" s="16">
        <f>0.85*B18</f>
        <v>3078.275</v>
      </c>
      <c r="AJ18" s="16">
        <f t="shared" si="13"/>
        <v>554.0895</v>
      </c>
      <c r="AK18" s="16">
        <f>0.83*B18</f>
        <v>3005.845</v>
      </c>
      <c r="AL18" s="16">
        <f t="shared" si="14"/>
        <v>541.0521</v>
      </c>
      <c r="AM18" s="16">
        <f>(1.91)*B18</f>
        <v>6917.065</v>
      </c>
      <c r="AN18" s="16">
        <f t="shared" si="15"/>
        <v>1245.0717</v>
      </c>
      <c r="AO18" s="16"/>
      <c r="AP18" s="16">
        <f t="shared" si="5"/>
        <v>0</v>
      </c>
      <c r="AQ18" s="113"/>
      <c r="AR18" s="113">
        <f t="shared" si="5"/>
        <v>0</v>
      </c>
      <c r="AS18" s="95">
        <v>8717.09</v>
      </c>
      <c r="AT18" s="95"/>
      <c r="AU18" s="95">
        <f t="shared" si="6"/>
        <v>1569.0762</v>
      </c>
      <c r="AV18" s="114"/>
      <c r="AW18" s="126">
        <v>1589</v>
      </c>
      <c r="AX18" s="16">
        <f t="shared" si="1"/>
        <v>2100.0224</v>
      </c>
      <c r="AY18" s="116"/>
      <c r="AZ18" s="117"/>
      <c r="BA18" s="117">
        <f aca="true" t="shared" si="18" ref="BA18:BA25">AZ18*0.18</f>
        <v>0</v>
      </c>
      <c r="BB18" s="117">
        <f>SUM(AG18:BA18)-AV18-AW18</f>
        <v>30632.0299</v>
      </c>
      <c r="BC18" s="120"/>
      <c r="BD18" s="14">
        <f t="shared" si="2"/>
        <v>-1459.194899999995</v>
      </c>
      <c r="BE18" s="30">
        <f>AB18-S18</f>
        <v>-2153.139999999996</v>
      </c>
    </row>
    <row r="19" spans="1:57" ht="12.75">
      <c r="A19" s="11" t="s">
        <v>50</v>
      </c>
      <c r="B19" s="134">
        <v>3621.5</v>
      </c>
      <c r="C19" s="103">
        <f t="shared" si="3"/>
        <v>31325.975000000002</v>
      </c>
      <c r="D19" s="121">
        <f t="shared" si="16"/>
        <v>3015.355000000002</v>
      </c>
      <c r="E19" s="131">
        <v>2700.4</v>
      </c>
      <c r="F19" s="131">
        <v>567.69</v>
      </c>
      <c r="G19" s="131">
        <v>3656.31</v>
      </c>
      <c r="H19" s="131">
        <v>769.55</v>
      </c>
      <c r="I19" s="131">
        <v>8786.96</v>
      </c>
      <c r="J19" s="131">
        <v>1848.19</v>
      </c>
      <c r="K19" s="131">
        <v>6086.61</v>
      </c>
      <c r="L19" s="131">
        <v>1280.47</v>
      </c>
      <c r="M19" s="131">
        <v>2160.28</v>
      </c>
      <c r="N19" s="132">
        <v>454.16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8"/>
        <v>23390.559999999998</v>
      </c>
      <c r="T19" s="105">
        <f t="shared" si="9"/>
        <v>4920.0599999999995</v>
      </c>
      <c r="U19" s="92">
        <v>2872.67</v>
      </c>
      <c r="V19" s="92">
        <v>3887.16</v>
      </c>
      <c r="W19" s="92">
        <v>9345.28</v>
      </c>
      <c r="X19" s="92">
        <v>6472.26</v>
      </c>
      <c r="Y19" s="92">
        <v>2298.16</v>
      </c>
      <c r="Z19" s="92">
        <v>0</v>
      </c>
      <c r="AA19" s="118">
        <v>0</v>
      </c>
      <c r="AB19" s="112">
        <f t="shared" si="4"/>
        <v>24875.530000000002</v>
      </c>
      <c r="AC19" s="110">
        <f t="shared" si="10"/>
        <v>32810.94500000001</v>
      </c>
      <c r="AD19" s="100">
        <f t="shared" si="11"/>
        <v>0</v>
      </c>
      <c r="AE19" s="100">
        <f t="shared" si="12"/>
        <v>0</v>
      </c>
      <c r="AF19" s="100"/>
      <c r="AG19" s="16">
        <f t="shared" si="17"/>
        <v>2172.9</v>
      </c>
      <c r="AH19" s="16">
        <f>B19*0.2*1.01045</f>
        <v>731.8689350000001</v>
      </c>
      <c r="AI19" s="16">
        <f>0.85*B19</f>
        <v>3078.275</v>
      </c>
      <c r="AJ19" s="16">
        <f t="shared" si="13"/>
        <v>554.0895</v>
      </c>
      <c r="AK19" s="16">
        <f>0.83*B19</f>
        <v>3005.845</v>
      </c>
      <c r="AL19" s="16">
        <f t="shared" si="14"/>
        <v>541.0521</v>
      </c>
      <c r="AM19" s="16">
        <f>(1.91)*B19</f>
        <v>6917.065</v>
      </c>
      <c r="AN19" s="16">
        <f t="shared" si="15"/>
        <v>1245.0717</v>
      </c>
      <c r="AO19" s="16"/>
      <c r="AP19" s="16">
        <f t="shared" si="5"/>
        <v>0</v>
      </c>
      <c r="AQ19" s="113"/>
      <c r="AR19" s="113">
        <f t="shared" si="5"/>
        <v>0</v>
      </c>
      <c r="AS19" s="95">
        <v>32716.12</v>
      </c>
      <c r="AT19" s="95"/>
      <c r="AU19" s="95">
        <f t="shared" si="6"/>
        <v>5888.901599999999</v>
      </c>
      <c r="AV19" s="114"/>
      <c r="AW19" s="126">
        <v>1098</v>
      </c>
      <c r="AX19" s="16">
        <f t="shared" si="1"/>
        <v>1451.1168000000002</v>
      </c>
      <c r="AY19" s="116"/>
      <c r="AZ19" s="117"/>
      <c r="BA19" s="117">
        <f t="shared" si="18"/>
        <v>0</v>
      </c>
      <c r="BB19" s="117">
        <f>SUM(AG19:BA19)-AV19-AW19</f>
        <v>58302.305635</v>
      </c>
      <c r="BC19" s="120"/>
      <c r="BD19" s="14">
        <f t="shared" si="2"/>
        <v>-25491.36063499999</v>
      </c>
      <c r="BE19" s="30">
        <f t="shared" si="7"/>
        <v>1484.9700000000048</v>
      </c>
    </row>
    <row r="20" spans="1:57" ht="12.75">
      <c r="A20" s="11" t="s">
        <v>51</v>
      </c>
      <c r="B20" s="111">
        <v>3621.5</v>
      </c>
      <c r="C20" s="103">
        <f t="shared" si="3"/>
        <v>31325.975000000002</v>
      </c>
      <c r="D20" s="121">
        <f t="shared" si="16"/>
        <v>2942.3950000000036</v>
      </c>
      <c r="E20" s="131">
        <v>2708.8</v>
      </c>
      <c r="F20" s="131">
        <v>567.71</v>
      </c>
      <c r="G20" s="131">
        <v>3667.68</v>
      </c>
      <c r="H20" s="131">
        <v>769.55</v>
      </c>
      <c r="I20" s="131">
        <v>8814.39</v>
      </c>
      <c r="J20" s="131">
        <v>1848.18</v>
      </c>
      <c r="K20" s="131">
        <v>6105.6</v>
      </c>
      <c r="L20" s="131">
        <v>1280.47</v>
      </c>
      <c r="M20" s="131">
        <v>2167.05</v>
      </c>
      <c r="N20" s="132">
        <v>454.15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8"/>
        <v>23463.52</v>
      </c>
      <c r="T20" s="105">
        <f t="shared" si="9"/>
        <v>4920.06</v>
      </c>
      <c r="U20" s="92">
        <v>2820.08</v>
      </c>
      <c r="V20" s="92">
        <v>3819.36</v>
      </c>
      <c r="W20" s="92">
        <v>9177.39</v>
      </c>
      <c r="X20" s="92">
        <v>6357.28</v>
      </c>
      <c r="Y20" s="92">
        <v>2255.99</v>
      </c>
      <c r="Z20" s="92">
        <v>0</v>
      </c>
      <c r="AA20" s="118">
        <v>0</v>
      </c>
      <c r="AB20" s="112">
        <f t="shared" si="4"/>
        <v>24430.1</v>
      </c>
      <c r="AC20" s="110">
        <f t="shared" si="10"/>
        <v>32292.555</v>
      </c>
      <c r="AD20" s="100">
        <f t="shared" si="11"/>
        <v>0</v>
      </c>
      <c r="AE20" s="100">
        <f t="shared" si="12"/>
        <v>0</v>
      </c>
      <c r="AF20" s="100">
        <f>'[2]Т07-09'!$I$67</f>
        <v>436.13626</v>
      </c>
      <c r="AG20" s="16">
        <f t="shared" si="17"/>
        <v>2172.9</v>
      </c>
      <c r="AH20" s="16">
        <f>B20*0.2*0.99426</f>
        <v>720.1425180000001</v>
      </c>
      <c r="AI20" s="16">
        <f>0.85*B20*0.9857</f>
        <v>3034.2556675</v>
      </c>
      <c r="AJ20" s="16">
        <f t="shared" si="13"/>
        <v>546.16602015</v>
      </c>
      <c r="AK20" s="16">
        <f>0.83*B20*0.9905</f>
        <v>2977.2894725</v>
      </c>
      <c r="AL20" s="16">
        <f t="shared" si="14"/>
        <v>535.91210505</v>
      </c>
      <c r="AM20" s="16">
        <f>(1.91)*B20*0.9904</f>
        <v>6850.661176</v>
      </c>
      <c r="AN20" s="16">
        <f t="shared" si="15"/>
        <v>1233.1190116799999</v>
      </c>
      <c r="AO20" s="16"/>
      <c r="AP20" s="16">
        <f t="shared" si="5"/>
        <v>0</v>
      </c>
      <c r="AQ20" s="113"/>
      <c r="AR20" s="113">
        <f t="shared" si="5"/>
        <v>0</v>
      </c>
      <c r="AS20" s="95">
        <v>2419.89</v>
      </c>
      <c r="AT20" s="95"/>
      <c r="AU20" s="95">
        <f t="shared" si="6"/>
        <v>435.58019999999993</v>
      </c>
      <c r="AV20" s="114"/>
      <c r="AW20" s="126">
        <v>876</v>
      </c>
      <c r="AX20" s="16">
        <f t="shared" si="1"/>
        <v>1157.7216</v>
      </c>
      <c r="AY20" s="116"/>
      <c r="AZ20" s="117"/>
      <c r="BA20" s="117">
        <f t="shared" si="18"/>
        <v>0</v>
      </c>
      <c r="BB20" s="117">
        <f>SUM(AG20:BA20)-AV20-AW20</f>
        <v>22083.63777088</v>
      </c>
      <c r="BC20" s="120">
        <f>'[3]Т07-09'!$O$67</f>
        <v>206.10027122000002</v>
      </c>
      <c r="BD20" s="14">
        <f t="shared" si="2"/>
        <v>10438.9532179</v>
      </c>
      <c r="BE20" s="30">
        <f t="shared" si="7"/>
        <v>966.5799999999981</v>
      </c>
    </row>
    <row r="21" spans="1:57" ht="12.75">
      <c r="A21" s="11" t="s">
        <v>52</v>
      </c>
      <c r="B21" s="102">
        <v>3621.5</v>
      </c>
      <c r="C21" s="103">
        <f t="shared" si="3"/>
        <v>31325.975000000002</v>
      </c>
      <c r="D21" s="121">
        <f t="shared" si="16"/>
        <v>2968.044999999999</v>
      </c>
      <c r="E21" s="131">
        <v>2692.2</v>
      </c>
      <c r="F21" s="131">
        <v>581.29</v>
      </c>
      <c r="G21" s="131">
        <v>3645.36</v>
      </c>
      <c r="H21" s="131">
        <v>787.95</v>
      </c>
      <c r="I21" s="131">
        <v>8760.53</v>
      </c>
      <c r="J21" s="131">
        <v>1892.38</v>
      </c>
      <c r="K21" s="131">
        <v>6068.34</v>
      </c>
      <c r="L21" s="131">
        <v>1311.09</v>
      </c>
      <c r="M21" s="131">
        <v>2153.78</v>
      </c>
      <c r="N21" s="132">
        <v>465.01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8"/>
        <v>23320.21</v>
      </c>
      <c r="T21" s="105">
        <f t="shared" si="9"/>
        <v>5037.72</v>
      </c>
      <c r="U21" s="92">
        <v>2210.8</v>
      </c>
      <c r="V21" s="92">
        <v>2992.72</v>
      </c>
      <c r="W21" s="92">
        <v>7193.31</v>
      </c>
      <c r="X21" s="92">
        <v>4982.55</v>
      </c>
      <c r="Y21" s="92">
        <v>1768.64</v>
      </c>
      <c r="Z21" s="92">
        <v>0</v>
      </c>
      <c r="AA21" s="118">
        <v>0</v>
      </c>
      <c r="AB21" s="112">
        <f t="shared" si="4"/>
        <v>19148.02</v>
      </c>
      <c r="AC21" s="110">
        <f t="shared" si="10"/>
        <v>27153.785</v>
      </c>
      <c r="AD21" s="100">
        <f t="shared" si="11"/>
        <v>0</v>
      </c>
      <c r="AE21" s="100">
        <f t="shared" si="12"/>
        <v>0</v>
      </c>
      <c r="AF21" s="100">
        <f>'[2]Т07-09'!$I$67</f>
        <v>436.13626</v>
      </c>
      <c r="AG21" s="16">
        <f t="shared" si="17"/>
        <v>2172.9</v>
      </c>
      <c r="AH21" s="16">
        <f>B21*0.2*0.99875</f>
        <v>723.3946250000001</v>
      </c>
      <c r="AI21" s="16">
        <f>0.85*B21*0.98526</f>
        <v>3032.9012265</v>
      </c>
      <c r="AJ21" s="16">
        <f t="shared" si="13"/>
        <v>545.92222077</v>
      </c>
      <c r="AK21" s="16">
        <f>0.83*B21*0.99</f>
        <v>2975.78655</v>
      </c>
      <c r="AL21" s="16">
        <f t="shared" si="14"/>
        <v>535.641579</v>
      </c>
      <c r="AM21" s="16">
        <f>(1.91)*B21*0.99</f>
        <v>6847.89435</v>
      </c>
      <c r="AN21" s="16">
        <f t="shared" si="15"/>
        <v>1232.6209829999998</v>
      </c>
      <c r="AO21" s="16"/>
      <c r="AP21" s="16">
        <f t="shared" si="5"/>
        <v>0</v>
      </c>
      <c r="AQ21" s="113">
        <f>1060.98+13013.4</f>
        <v>14074.38</v>
      </c>
      <c r="AR21" s="113">
        <f t="shared" si="5"/>
        <v>2533.3884</v>
      </c>
      <c r="AS21" s="95">
        <v>33808.62</v>
      </c>
      <c r="AT21" s="95"/>
      <c r="AU21" s="95">
        <f t="shared" si="6"/>
        <v>6085.551600000001</v>
      </c>
      <c r="AV21" s="114"/>
      <c r="AW21" s="126">
        <v>855</v>
      </c>
      <c r="AX21" s="16">
        <f t="shared" si="1"/>
        <v>1129.968</v>
      </c>
      <c r="AY21" s="116"/>
      <c r="AZ21" s="117"/>
      <c r="BA21" s="117">
        <f t="shared" si="18"/>
        <v>0</v>
      </c>
      <c r="BB21" s="117">
        <f>SUM(AG21:BA21)-AV21-AW21</f>
        <v>75698.96953427</v>
      </c>
      <c r="BC21" s="120">
        <f>'[3]Т08-09'!$O$68</f>
        <v>206.00662606600002</v>
      </c>
      <c r="BD21" s="14">
        <f t="shared" si="2"/>
        <v>-48315.054900336</v>
      </c>
      <c r="BE21" s="30">
        <f t="shared" si="7"/>
        <v>-4172.189999999999</v>
      </c>
    </row>
    <row r="22" spans="1:57" ht="12.75">
      <c r="A22" s="11" t="s">
        <v>53</v>
      </c>
      <c r="B22" s="102">
        <v>3621.5</v>
      </c>
      <c r="C22" s="103">
        <f t="shared" si="3"/>
        <v>31325.975000000002</v>
      </c>
      <c r="D22" s="121">
        <f t="shared" si="16"/>
        <v>2970.775000000001</v>
      </c>
      <c r="E22" s="128">
        <v>2690.43</v>
      </c>
      <c r="F22" s="128">
        <v>582.74</v>
      </c>
      <c r="G22" s="128">
        <v>3642.98</v>
      </c>
      <c r="H22" s="128">
        <v>789.92</v>
      </c>
      <c r="I22" s="128">
        <v>8754.77</v>
      </c>
      <c r="J22" s="128">
        <v>1897.11</v>
      </c>
      <c r="K22" s="128">
        <v>6064.35</v>
      </c>
      <c r="L22" s="128">
        <v>1314.37</v>
      </c>
      <c r="M22" s="128">
        <v>2152.36</v>
      </c>
      <c r="N22" s="129">
        <v>466.17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8"/>
        <v>23304.89</v>
      </c>
      <c r="T22" s="105">
        <f t="shared" si="9"/>
        <v>5050.3099999999995</v>
      </c>
      <c r="U22" s="91">
        <v>2801.51</v>
      </c>
      <c r="V22" s="91">
        <v>3793.21</v>
      </c>
      <c r="W22" s="91">
        <v>9115.97</v>
      </c>
      <c r="X22" s="91">
        <v>6314.5</v>
      </c>
      <c r="Y22" s="91">
        <v>2241.23</v>
      </c>
      <c r="Z22" s="91">
        <v>0</v>
      </c>
      <c r="AA22" s="106">
        <v>0</v>
      </c>
      <c r="AB22" s="112">
        <f t="shared" si="4"/>
        <v>24266.42</v>
      </c>
      <c r="AC22" s="110">
        <f t="shared" si="10"/>
        <v>32287.504999999997</v>
      </c>
      <c r="AD22" s="100">
        <f t="shared" si="11"/>
        <v>0</v>
      </c>
      <c r="AE22" s="100">
        <f t="shared" si="12"/>
        <v>0</v>
      </c>
      <c r="AF22" s="100">
        <f>'[2]Т07-09'!$I$67</f>
        <v>436.13626</v>
      </c>
      <c r="AG22" s="16">
        <f t="shared" si="17"/>
        <v>2172.9</v>
      </c>
      <c r="AH22" s="16">
        <f>B22*0.2*0.9997</f>
        <v>724.0827100000001</v>
      </c>
      <c r="AI22" s="16">
        <f>0.85*B22*0.98509</f>
        <v>3032.3779197500003</v>
      </c>
      <c r="AJ22" s="16">
        <f t="shared" si="13"/>
        <v>545.8280255550001</v>
      </c>
      <c r="AK22" s="16">
        <f>0.83*B22*0.98981</f>
        <v>2975.21543945</v>
      </c>
      <c r="AL22" s="16">
        <f t="shared" si="14"/>
        <v>535.5387791009999</v>
      </c>
      <c r="AM22" s="16">
        <f>(1.91)*B22*0.9898</f>
        <v>6846.510937</v>
      </c>
      <c r="AN22" s="16">
        <f t="shared" si="15"/>
        <v>1232.37196866</v>
      </c>
      <c r="AO22" s="16"/>
      <c r="AP22" s="16">
        <f t="shared" si="5"/>
        <v>0</v>
      </c>
      <c r="AQ22" s="113"/>
      <c r="AR22" s="113">
        <f t="shared" si="5"/>
        <v>0</v>
      </c>
      <c r="AS22" s="95"/>
      <c r="AT22" s="95"/>
      <c r="AU22" s="95">
        <f t="shared" si="6"/>
        <v>0</v>
      </c>
      <c r="AV22" s="114"/>
      <c r="AW22" s="126">
        <v>1166</v>
      </c>
      <c r="AX22" s="16">
        <f t="shared" si="1"/>
        <v>1540.9856</v>
      </c>
      <c r="AY22" s="116"/>
      <c r="AZ22" s="117"/>
      <c r="BA22" s="117">
        <f t="shared" si="18"/>
        <v>0</v>
      </c>
      <c r="BB22" s="117">
        <f>SUM(AG22:BA22)-AV22-AW22</f>
        <v>19605.811379516002</v>
      </c>
      <c r="BC22" s="120">
        <f>'[3]Т09-09'!$O$68</f>
        <v>205.97546879140003</v>
      </c>
      <c r="BD22" s="14">
        <f t="shared" si="2"/>
        <v>12911.854411692595</v>
      </c>
      <c r="BE22" s="30">
        <f>AB22-S22</f>
        <v>961.5299999999988</v>
      </c>
    </row>
    <row r="23" spans="1:57" ht="12.75">
      <c r="A23" s="11" t="s">
        <v>41</v>
      </c>
      <c r="B23" s="102">
        <v>3621.5</v>
      </c>
      <c r="C23" s="122">
        <f t="shared" si="3"/>
        <v>31325.975000000002</v>
      </c>
      <c r="D23" s="121">
        <f t="shared" si="16"/>
        <v>2970.7849999999994</v>
      </c>
      <c r="E23" s="93">
        <v>2690.43</v>
      </c>
      <c r="F23" s="91">
        <v>582.74</v>
      </c>
      <c r="G23" s="91">
        <f>3642.98-0.01</f>
        <v>3642.97</v>
      </c>
      <c r="H23" s="91">
        <v>789.92</v>
      </c>
      <c r="I23" s="91">
        <v>8754.77</v>
      </c>
      <c r="J23" s="91">
        <v>1897.11</v>
      </c>
      <c r="K23" s="91">
        <v>6064.35</v>
      </c>
      <c r="L23" s="91">
        <v>1314.37</v>
      </c>
      <c r="M23" s="91">
        <v>2152.36</v>
      </c>
      <c r="N23" s="106">
        <v>466.17</v>
      </c>
      <c r="O23" s="106">
        <v>0</v>
      </c>
      <c r="P23" s="106">
        <v>0</v>
      </c>
      <c r="Q23" s="91">
        <v>0</v>
      </c>
      <c r="R23" s="91">
        <v>0</v>
      </c>
      <c r="S23" s="91">
        <f t="shared" si="8"/>
        <v>23304.88</v>
      </c>
      <c r="T23" s="105">
        <f t="shared" si="9"/>
        <v>5050.3099999999995</v>
      </c>
      <c r="U23" s="94">
        <f>2647.9+212.39</f>
        <v>2860.29</v>
      </c>
      <c r="V23" s="91">
        <f>3585.29+287.88</f>
        <v>3873.17</v>
      </c>
      <c r="W23" s="91">
        <f>8616.23+691.48</f>
        <v>9307.71</v>
      </c>
      <c r="X23" s="91">
        <f>5968.31+479.07</f>
        <v>6447.38</v>
      </c>
      <c r="Y23" s="91">
        <f>2118.3+169.97</f>
        <v>2288.27</v>
      </c>
      <c r="Z23" s="91">
        <v>0</v>
      </c>
      <c r="AA23" s="106">
        <v>0</v>
      </c>
      <c r="AB23" s="106">
        <f>SUM(U23:AA23)</f>
        <v>24776.82</v>
      </c>
      <c r="AC23" s="110">
        <f>AB23+T23+D23</f>
        <v>32797.91499999999</v>
      </c>
      <c r="AD23" s="100">
        <f t="shared" si="11"/>
        <v>0</v>
      </c>
      <c r="AE23" s="100">
        <f t="shared" si="12"/>
        <v>0</v>
      </c>
      <c r="AF23" s="100">
        <f>'[1]Т10'!$I$72</f>
        <v>436.13626</v>
      </c>
      <c r="AG23" s="16">
        <f t="shared" si="17"/>
        <v>2172.9</v>
      </c>
      <c r="AH23" s="16">
        <f>B23*0.2</f>
        <v>724.3000000000001</v>
      </c>
      <c r="AI23" s="16">
        <f>0.847*B23</f>
        <v>3067.4105</v>
      </c>
      <c r="AJ23" s="16">
        <f t="shared" si="13"/>
        <v>552.13389</v>
      </c>
      <c r="AK23" s="16">
        <f>0.83*B23</f>
        <v>3005.845</v>
      </c>
      <c r="AL23" s="16">
        <f t="shared" si="14"/>
        <v>541.0521</v>
      </c>
      <c r="AM23" s="16">
        <f>(2.25/1.18)*B23</f>
        <v>6905.402542372882</v>
      </c>
      <c r="AN23" s="16">
        <f t="shared" si="15"/>
        <v>1242.9724576271187</v>
      </c>
      <c r="AO23" s="16"/>
      <c r="AP23" s="16">
        <f t="shared" si="5"/>
        <v>0</v>
      </c>
      <c r="AQ23" s="113"/>
      <c r="AR23" s="113">
        <f t="shared" si="5"/>
        <v>0</v>
      </c>
      <c r="AS23" s="95">
        <v>29054.04</v>
      </c>
      <c r="AT23" s="95"/>
      <c r="AU23" s="95">
        <f t="shared" si="6"/>
        <v>5229.7272</v>
      </c>
      <c r="AV23" s="114"/>
      <c r="AW23" s="125">
        <v>1193</v>
      </c>
      <c r="AX23" s="16">
        <f>AW23*1.12*1.18</f>
        <v>1576.6688</v>
      </c>
      <c r="AY23" s="116"/>
      <c r="AZ23" s="143"/>
      <c r="BA23" s="117">
        <f t="shared" si="18"/>
        <v>0</v>
      </c>
      <c r="BB23" s="117">
        <f>SUM(AG23:AU23)+AX23+AY23+AZ23+BA23</f>
        <v>54072.45249</v>
      </c>
      <c r="BC23" s="120">
        <f>'[7]Т10'!$O$72</f>
        <v>207.585962</v>
      </c>
      <c r="BD23" s="14">
        <f t="shared" si="2"/>
        <v>-21045.98719200001</v>
      </c>
      <c r="BE23" s="30">
        <f>AB23-S23</f>
        <v>1471.9399999999987</v>
      </c>
    </row>
    <row r="24" spans="1:57" ht="12.75">
      <c r="A24" s="11" t="s">
        <v>42</v>
      </c>
      <c r="B24" s="111">
        <v>3621.5</v>
      </c>
      <c r="C24" s="122">
        <f t="shared" si="3"/>
        <v>31325.975000000002</v>
      </c>
      <c r="D24" s="121">
        <f t="shared" si="16"/>
        <v>2976.4050000000007</v>
      </c>
      <c r="E24" s="128">
        <v>2689.77</v>
      </c>
      <c r="F24" s="128">
        <v>582.74</v>
      </c>
      <c r="G24" s="128">
        <v>3642.13</v>
      </c>
      <c r="H24" s="128">
        <v>789.92</v>
      </c>
      <c r="I24" s="128">
        <v>8752.65</v>
      </c>
      <c r="J24" s="128">
        <v>1897.11</v>
      </c>
      <c r="K24" s="128">
        <v>6062.88</v>
      </c>
      <c r="L24" s="128">
        <v>1314.37</v>
      </c>
      <c r="M24" s="128">
        <v>2151.83</v>
      </c>
      <c r="N24" s="129">
        <v>466.17</v>
      </c>
      <c r="O24" s="106">
        <v>0</v>
      </c>
      <c r="P24" s="106">
        <v>0</v>
      </c>
      <c r="Q24" s="106">
        <v>0</v>
      </c>
      <c r="R24" s="106">
        <v>0</v>
      </c>
      <c r="S24" s="91">
        <f t="shared" si="8"/>
        <v>23299.260000000002</v>
      </c>
      <c r="T24" s="105">
        <f t="shared" si="9"/>
        <v>5050.3099999999995</v>
      </c>
      <c r="U24" s="91">
        <v>2979.2</v>
      </c>
      <c r="V24" s="91">
        <v>4033.35</v>
      </c>
      <c r="W24" s="91">
        <v>9693.88</v>
      </c>
      <c r="X24" s="91">
        <v>6714.64</v>
      </c>
      <c r="Y24" s="91">
        <v>2383.43</v>
      </c>
      <c r="Z24" s="91">
        <v>0</v>
      </c>
      <c r="AA24" s="106">
        <v>0</v>
      </c>
      <c r="AB24" s="106">
        <f>SUM(U24:AA24)</f>
        <v>25804.5</v>
      </c>
      <c r="AC24" s="110">
        <f>D24+T24+AB24</f>
        <v>33831.215</v>
      </c>
      <c r="AD24" s="100">
        <f t="shared" si="11"/>
        <v>0</v>
      </c>
      <c r="AE24" s="100">
        <f t="shared" si="12"/>
        <v>0</v>
      </c>
      <c r="AF24" s="100">
        <f>'[1]Т11'!$I$72</f>
        <v>436.13626</v>
      </c>
      <c r="AG24" s="16">
        <f t="shared" si="17"/>
        <v>2172.9</v>
      </c>
      <c r="AH24" s="16">
        <f>B24*0.2</f>
        <v>724.3000000000001</v>
      </c>
      <c r="AI24" s="16">
        <f>0.85*B24</f>
        <v>3078.275</v>
      </c>
      <c r="AJ24" s="16">
        <f t="shared" si="13"/>
        <v>554.0895</v>
      </c>
      <c r="AK24" s="16">
        <f>0.83*B24</f>
        <v>3005.845</v>
      </c>
      <c r="AL24" s="16">
        <f t="shared" si="14"/>
        <v>541.0521</v>
      </c>
      <c r="AM24" s="16">
        <f>(1.91)*B24</f>
        <v>6917.065</v>
      </c>
      <c r="AN24" s="16">
        <f t="shared" si="15"/>
        <v>1245.0717</v>
      </c>
      <c r="AO24" s="16"/>
      <c r="AP24" s="16">
        <f t="shared" si="5"/>
        <v>0</v>
      </c>
      <c r="AQ24" s="113"/>
      <c r="AR24" s="113">
        <f t="shared" si="5"/>
        <v>0</v>
      </c>
      <c r="AS24" s="95">
        <v>0</v>
      </c>
      <c r="AT24" s="95"/>
      <c r="AU24" s="95">
        <f t="shared" si="6"/>
        <v>0</v>
      </c>
      <c r="AV24" s="114"/>
      <c r="AW24" s="125">
        <v>1711</v>
      </c>
      <c r="AX24" s="16">
        <f>AW24*1.12*1.18</f>
        <v>2261.2576</v>
      </c>
      <c r="AY24" s="116"/>
      <c r="AZ24" s="117"/>
      <c r="BA24" s="117">
        <f t="shared" si="18"/>
        <v>0</v>
      </c>
      <c r="BB24" s="117">
        <f>SUM(AG24:AU24)+AX24+AY24+AZ24+BA24</f>
        <v>20499.855900000002</v>
      </c>
      <c r="BC24" s="123">
        <f>'[1]Т11'!$O$72</f>
        <v>207.87714000000003</v>
      </c>
      <c r="BD24" s="14">
        <f t="shared" si="2"/>
        <v>13559.618219999993</v>
      </c>
      <c r="BE24" s="30">
        <f t="shared" si="7"/>
        <v>2505.239999999998</v>
      </c>
    </row>
    <row r="25" spans="1:57" ht="12.75">
      <c r="A25" s="11" t="s">
        <v>43</v>
      </c>
      <c r="B25" s="102">
        <v>3621.5</v>
      </c>
      <c r="C25" s="122">
        <f t="shared" si="3"/>
        <v>31325.975000000002</v>
      </c>
      <c r="D25" s="121">
        <f t="shared" si="16"/>
        <v>4115.465000000002</v>
      </c>
      <c r="E25" s="128">
        <v>2558.29</v>
      </c>
      <c r="F25" s="128">
        <v>582.74</v>
      </c>
      <c r="G25" s="128">
        <v>3464.41</v>
      </c>
      <c r="H25" s="128">
        <v>789.92</v>
      </c>
      <c r="I25" s="128">
        <v>8325.13</v>
      </c>
      <c r="J25" s="128">
        <v>1897.11</v>
      </c>
      <c r="K25" s="128">
        <v>5766.08</v>
      </c>
      <c r="L25" s="128">
        <v>1314.38</v>
      </c>
      <c r="M25" s="128">
        <v>2046.29</v>
      </c>
      <c r="N25" s="129">
        <v>466.16</v>
      </c>
      <c r="O25" s="106">
        <v>0</v>
      </c>
      <c r="P25" s="106">
        <v>0</v>
      </c>
      <c r="Q25" s="106"/>
      <c r="R25" s="106"/>
      <c r="S25" s="91">
        <f t="shared" si="8"/>
        <v>22160.199999999997</v>
      </c>
      <c r="T25" s="105">
        <f t="shared" si="9"/>
        <v>5050.3099999999995</v>
      </c>
      <c r="U25" s="91">
        <v>3208.54</v>
      </c>
      <c r="V25" s="91">
        <v>4344.5</v>
      </c>
      <c r="W25" s="91">
        <v>10440.67</v>
      </c>
      <c r="X25" s="91">
        <v>7232.04</v>
      </c>
      <c r="Y25" s="91">
        <v>2566.91</v>
      </c>
      <c r="Z25" s="91">
        <v>0</v>
      </c>
      <c r="AA25" s="106">
        <v>0</v>
      </c>
      <c r="AB25" s="106">
        <f>SUM(U25:AA25)</f>
        <v>27792.66</v>
      </c>
      <c r="AC25" s="110">
        <f>D25+T25+AB25</f>
        <v>36958.435</v>
      </c>
      <c r="AD25" s="100">
        <f t="shared" si="11"/>
        <v>0</v>
      </c>
      <c r="AE25" s="100">
        <f t="shared" si="12"/>
        <v>0</v>
      </c>
      <c r="AF25" s="100">
        <f>'[1]Т12'!$I$73</f>
        <v>436.13626</v>
      </c>
      <c r="AG25" s="16">
        <f t="shared" si="17"/>
        <v>2172.9</v>
      </c>
      <c r="AH25" s="16">
        <f>B25*0.2</f>
        <v>724.3000000000001</v>
      </c>
      <c r="AI25" s="16">
        <f>0.85*B25</f>
        <v>3078.275</v>
      </c>
      <c r="AJ25" s="16">
        <f t="shared" si="13"/>
        <v>554.0895</v>
      </c>
      <c r="AK25" s="16">
        <f>0.83*B25</f>
        <v>3005.845</v>
      </c>
      <c r="AL25" s="16">
        <f t="shared" si="14"/>
        <v>541.0521</v>
      </c>
      <c r="AM25" s="16">
        <f>(1.91)*B25</f>
        <v>6917.065</v>
      </c>
      <c r="AN25" s="16">
        <f t="shared" si="15"/>
        <v>1245.0717</v>
      </c>
      <c r="AO25" s="16"/>
      <c r="AP25" s="16">
        <f t="shared" si="5"/>
        <v>0</v>
      </c>
      <c r="AQ25" s="113"/>
      <c r="AR25" s="113">
        <f t="shared" si="5"/>
        <v>0</v>
      </c>
      <c r="AS25" s="95">
        <v>29620</v>
      </c>
      <c r="AT25" s="95">
        <v>463.56</v>
      </c>
      <c r="AU25" s="95">
        <f t="shared" si="6"/>
        <v>5415.0408</v>
      </c>
      <c r="AV25" s="114"/>
      <c r="AW25" s="125">
        <v>2372</v>
      </c>
      <c r="AX25" s="16">
        <f>AW25*1.12*1.18</f>
        <v>3134.8352000000004</v>
      </c>
      <c r="AY25" s="116"/>
      <c r="AZ25" s="117"/>
      <c r="BA25" s="117">
        <f t="shared" si="18"/>
        <v>0</v>
      </c>
      <c r="BB25" s="117">
        <f>SUM(AG25:BA25)-AV25-AW25</f>
        <v>56872.0343</v>
      </c>
      <c r="BC25" s="123">
        <f>'[1]Т12'!$O$73</f>
        <v>207.87714000000003</v>
      </c>
      <c r="BD25" s="14">
        <f>AC25+AF25-BB25-BC25</f>
        <v>-19685.340180000003</v>
      </c>
      <c r="BE25" s="30">
        <f>AB25-S25</f>
        <v>5632.460000000003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375913.42999999993</v>
      </c>
      <c r="D26" s="60">
        <f t="shared" si="19"/>
        <v>40626.24375000001</v>
      </c>
      <c r="E26" s="57">
        <f t="shared" si="19"/>
        <v>31383.33</v>
      </c>
      <c r="F26" s="57">
        <f t="shared" si="19"/>
        <v>6544.169999999999</v>
      </c>
      <c r="G26" s="57">
        <f t="shared" si="19"/>
        <v>42454.270000000004</v>
      </c>
      <c r="H26" s="57">
        <f t="shared" si="19"/>
        <v>8860.23</v>
      </c>
      <c r="I26" s="57">
        <f t="shared" si="19"/>
        <v>102082.33</v>
      </c>
      <c r="J26" s="57">
        <f t="shared" si="19"/>
        <v>21293.99</v>
      </c>
      <c r="K26" s="57">
        <f t="shared" si="19"/>
        <v>70698.46999999999</v>
      </c>
      <c r="L26" s="57">
        <f t="shared" si="19"/>
        <v>14749.8</v>
      </c>
      <c r="M26" s="57">
        <f t="shared" si="19"/>
        <v>25106.25</v>
      </c>
      <c r="N26" s="57">
        <f t="shared" si="19"/>
        <v>5235.21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271724.65</v>
      </c>
      <c r="T26" s="57">
        <f t="shared" si="19"/>
        <v>56683.399999999994</v>
      </c>
      <c r="U26" s="61">
        <f t="shared" si="19"/>
        <v>31602.579999999998</v>
      </c>
      <c r="V26" s="61">
        <f t="shared" si="19"/>
        <v>42740.27</v>
      </c>
      <c r="W26" s="61">
        <f t="shared" si="19"/>
        <v>102784.99</v>
      </c>
      <c r="X26" s="61">
        <f t="shared" si="19"/>
        <v>71182.23</v>
      </c>
      <c r="Y26" s="61">
        <f t="shared" si="19"/>
        <v>25282.48</v>
      </c>
      <c r="Z26" s="61">
        <f t="shared" si="19"/>
        <v>0</v>
      </c>
      <c r="AA26" s="61">
        <f t="shared" si="19"/>
        <v>0</v>
      </c>
      <c r="AB26" s="61">
        <f t="shared" si="19"/>
        <v>273592.55</v>
      </c>
      <c r="AC26" s="61">
        <f t="shared" si="19"/>
        <v>370902.1937499999</v>
      </c>
      <c r="AD26" s="61">
        <f t="shared" si="19"/>
        <v>0</v>
      </c>
      <c r="AE26" s="98">
        <f t="shared" si="19"/>
        <v>0</v>
      </c>
      <c r="AF26" s="98">
        <f t="shared" si="19"/>
        <v>2616.8175600000004</v>
      </c>
      <c r="AG26" s="18">
        <f t="shared" si="19"/>
        <v>25205.748000000007</v>
      </c>
      <c r="AH26" s="18">
        <f t="shared" si="19"/>
        <v>8438.898398</v>
      </c>
      <c r="AI26" s="18">
        <f t="shared" si="19"/>
        <v>35238.43600125001</v>
      </c>
      <c r="AJ26" s="18">
        <f t="shared" si="19"/>
        <v>6342.918480224999</v>
      </c>
      <c r="AK26" s="18">
        <f t="shared" si="19"/>
        <v>34251.77800445</v>
      </c>
      <c r="AL26" s="18">
        <f t="shared" si="19"/>
        <v>6165.320040800999</v>
      </c>
      <c r="AM26" s="18">
        <f t="shared" si="19"/>
        <v>78809.31672907289</v>
      </c>
      <c r="AN26" s="18">
        <f t="shared" si="19"/>
        <v>14185.677011233118</v>
      </c>
      <c r="AO26" s="18">
        <f t="shared" si="19"/>
        <v>0</v>
      </c>
      <c r="AP26" s="18">
        <f t="shared" si="19"/>
        <v>0</v>
      </c>
      <c r="AQ26" s="18">
        <f>SUM(AQ14:AQ25)</f>
        <v>14074.38</v>
      </c>
      <c r="AR26" s="18">
        <f>SUM(AR14:AR25)</f>
        <v>2533.3884</v>
      </c>
      <c r="AS26" s="18">
        <f>SUM(AS14:AS25)</f>
        <v>159591.65000000002</v>
      </c>
      <c r="AT26" s="18">
        <f>SUM(AT14:AT25)</f>
        <v>463.56</v>
      </c>
      <c r="AU26" s="18">
        <f>SUM(AU14:AU25)</f>
        <v>28809.9378</v>
      </c>
      <c r="AV26" s="18"/>
      <c r="AW26" s="18"/>
      <c r="AX26" s="18">
        <f t="shared" si="19"/>
        <v>28571.670400000003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442682.679265032</v>
      </c>
      <c r="BC26" s="18">
        <f t="shared" si="19"/>
        <v>1241.4226080774001</v>
      </c>
      <c r="BD26" s="18">
        <f>SUM(BD14:BD25)</f>
        <v>-70405.0905631094</v>
      </c>
      <c r="BE26" s="19">
        <f>SUM(BE14:BE25)</f>
        <v>1867.900000000005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469896.5449999999</v>
      </c>
      <c r="D28" s="23">
        <f>D12+D26</f>
        <v>63248.29280755001</v>
      </c>
      <c r="E28" s="50">
        <f aca="true" t="shared" si="20" ref="E28:BC28">E12+E26</f>
        <v>38798.8</v>
      </c>
      <c r="F28" s="50">
        <f t="shared" si="20"/>
        <v>7945.909999999999</v>
      </c>
      <c r="G28" s="50">
        <f t="shared" si="20"/>
        <v>52465.16</v>
      </c>
      <c r="H28" s="50">
        <f t="shared" si="20"/>
        <v>10752.619999999999</v>
      </c>
      <c r="I28" s="50">
        <f t="shared" si="20"/>
        <v>126182.62</v>
      </c>
      <c r="J28" s="50">
        <f t="shared" si="20"/>
        <v>25849.64</v>
      </c>
      <c r="K28" s="50">
        <f t="shared" si="20"/>
        <v>87383.40999999999</v>
      </c>
      <c r="L28" s="50">
        <f t="shared" si="20"/>
        <v>17903.7</v>
      </c>
      <c r="M28" s="50">
        <f t="shared" si="20"/>
        <v>31038.59</v>
      </c>
      <c r="N28" s="50">
        <f>N12+N26</f>
        <v>6456.63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335868.58</v>
      </c>
      <c r="T28" s="50">
        <f t="shared" si="20"/>
        <v>68908.5</v>
      </c>
      <c r="U28" s="53">
        <f t="shared" si="20"/>
        <v>36270.93</v>
      </c>
      <c r="V28" s="53">
        <f t="shared" si="20"/>
        <v>49020.42999999999</v>
      </c>
      <c r="W28" s="53">
        <f t="shared" si="20"/>
        <v>117814.73000000001</v>
      </c>
      <c r="X28" s="53">
        <f t="shared" si="20"/>
        <v>81607.01</v>
      </c>
      <c r="Y28" s="53">
        <f t="shared" si="20"/>
        <v>29029.4</v>
      </c>
      <c r="Z28" s="53">
        <f t="shared" si="20"/>
        <v>0</v>
      </c>
      <c r="AA28" s="53">
        <f t="shared" si="20"/>
        <v>0</v>
      </c>
      <c r="AB28" s="53">
        <f t="shared" si="20"/>
        <v>313742.5</v>
      </c>
      <c r="AC28" s="53">
        <f t="shared" si="20"/>
        <v>445899.29280754994</v>
      </c>
      <c r="AD28" s="53">
        <f t="shared" si="20"/>
        <v>0</v>
      </c>
      <c r="AE28" s="53">
        <f>AE12+AE26</f>
        <v>0</v>
      </c>
      <c r="AF28" s="53">
        <f t="shared" si="20"/>
        <v>2616.8175600000004</v>
      </c>
      <c r="AG28" s="23">
        <f t="shared" si="20"/>
        <v>31724.808000000005</v>
      </c>
      <c r="AH28" s="23">
        <f t="shared" si="20"/>
        <v>10676.022487999999</v>
      </c>
      <c r="AI28" s="23">
        <f t="shared" si="20"/>
        <v>44484.32636525001</v>
      </c>
      <c r="AJ28" s="23">
        <f t="shared" si="20"/>
        <v>8007.178745744999</v>
      </c>
      <c r="AK28" s="23">
        <f t="shared" si="20"/>
        <v>45011.09249349</v>
      </c>
      <c r="AL28" s="23">
        <f t="shared" si="20"/>
        <v>8101.996648828199</v>
      </c>
      <c r="AM28" s="23">
        <f t="shared" si="20"/>
        <v>98569.21160798288</v>
      </c>
      <c r="AN28" s="23">
        <f t="shared" si="20"/>
        <v>17742.458089436917</v>
      </c>
      <c r="AO28" s="23">
        <f t="shared" si="20"/>
        <v>0</v>
      </c>
      <c r="AP28" s="23">
        <f t="shared" si="20"/>
        <v>0</v>
      </c>
      <c r="AQ28" s="23">
        <f t="shared" si="20"/>
        <v>14074.38</v>
      </c>
      <c r="AR28" s="23">
        <f t="shared" si="20"/>
        <v>2533.3884</v>
      </c>
      <c r="AS28" s="23">
        <f t="shared" si="20"/>
        <v>176346.87000000002</v>
      </c>
      <c r="AT28" s="23">
        <f t="shared" si="20"/>
        <v>463.56</v>
      </c>
      <c r="AU28" s="23">
        <f t="shared" si="20"/>
        <v>31825.877399999998</v>
      </c>
      <c r="AV28" s="23"/>
      <c r="AW28" s="23"/>
      <c r="AX28" s="23">
        <f t="shared" si="20"/>
        <v>28571.670400000003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518132.840638733</v>
      </c>
      <c r="BC28" s="23">
        <f t="shared" si="20"/>
        <v>1241.4226080774001</v>
      </c>
      <c r="BD28" s="23">
        <f>BD12+BD26</f>
        <v>-70858.15287926041</v>
      </c>
      <c r="BE28" s="24">
        <f>BE12+BE26</f>
        <v>-22126.079999999998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2">
        <v>3621.5</v>
      </c>
      <c r="C30" s="122">
        <f aca="true" t="shared" si="21" ref="C30:C41">B30*8.65</f>
        <v>31325.975000000002</v>
      </c>
      <c r="D30" s="121">
        <f aca="true" t="shared" si="22" ref="D30:D41">C30-E30-F30-G30-H30-I30-J30-K30-L30-M30-N30</f>
        <v>2978.4350000000045</v>
      </c>
      <c r="E30" s="128">
        <v>2689.53</v>
      </c>
      <c r="F30" s="128">
        <v>582.74</v>
      </c>
      <c r="G30" s="128">
        <v>3641.8</v>
      </c>
      <c r="H30" s="128">
        <v>789.92</v>
      </c>
      <c r="I30" s="128">
        <v>8751.89</v>
      </c>
      <c r="J30" s="128">
        <v>1897.11</v>
      </c>
      <c r="K30" s="128">
        <v>6062.37</v>
      </c>
      <c r="L30" s="128">
        <v>1314.37</v>
      </c>
      <c r="M30" s="128">
        <v>2151.64</v>
      </c>
      <c r="N30" s="129">
        <v>466.17</v>
      </c>
      <c r="O30" s="106">
        <v>0</v>
      </c>
      <c r="P30" s="106">
        <v>0</v>
      </c>
      <c r="Q30" s="106"/>
      <c r="R30" s="106"/>
      <c r="S30" s="91">
        <f aca="true" t="shared" si="23" ref="S30:S41">E30+G30+I30+K30+M30+O30+Q30</f>
        <v>23297.23</v>
      </c>
      <c r="T30" s="105">
        <f aca="true" t="shared" si="24" ref="T30:T41">P30+N30+L30+J30+H30+F30+R30</f>
        <v>5050.3099999999995</v>
      </c>
      <c r="U30" s="91">
        <v>1968.3</v>
      </c>
      <c r="V30" s="91">
        <v>2664.74</v>
      </c>
      <c r="W30" s="91">
        <v>6404.52</v>
      </c>
      <c r="X30" s="91">
        <v>4436.2</v>
      </c>
      <c r="Y30" s="91">
        <v>1574.62</v>
      </c>
      <c r="Z30" s="91">
        <v>0</v>
      </c>
      <c r="AA30" s="106">
        <v>0</v>
      </c>
      <c r="AB30" s="106">
        <f>SUM(U30:AA30)</f>
        <v>17048.38</v>
      </c>
      <c r="AC30" s="110">
        <f aca="true" t="shared" si="25" ref="AC30:AC41">D30+T30+AB30</f>
        <v>25077.125000000007</v>
      </c>
      <c r="AD30" s="100">
        <f aca="true" t="shared" si="26" ref="AD30:AD41">P30+Z30</f>
        <v>0</v>
      </c>
      <c r="AE30" s="100">
        <f aca="true" t="shared" si="27" ref="AE30:AE41">R30+AA30</f>
        <v>0</v>
      </c>
      <c r="AF30" s="100">
        <f>'[4]Т01-10'!$I$70</f>
        <v>436.13626</v>
      </c>
      <c r="AG30" s="16">
        <f aca="true" t="shared" si="28" ref="AG30:AG41">0.6*B30</f>
        <v>2172.9</v>
      </c>
      <c r="AH30" s="16">
        <f aca="true" t="shared" si="29" ref="AH30:AH41">B30*0.2</f>
        <v>724.3000000000001</v>
      </c>
      <c r="AI30" s="16">
        <f aca="true" t="shared" si="30" ref="AI30:AI41">1*B30</f>
        <v>3621.5</v>
      </c>
      <c r="AJ30" s="16">
        <v>0</v>
      </c>
      <c r="AK30" s="16">
        <f aca="true" t="shared" si="31" ref="AK30:AK41">0.98*B30</f>
        <v>3549.0699999999997</v>
      </c>
      <c r="AL30" s="16">
        <v>0</v>
      </c>
      <c r="AM30" s="16">
        <f aca="true" t="shared" si="32" ref="AM30:AM41">2.25*B30</f>
        <v>8148.375</v>
      </c>
      <c r="AN30" s="16">
        <v>0</v>
      </c>
      <c r="AO30" s="16"/>
      <c r="AP30" s="16">
        <v>0</v>
      </c>
      <c r="AQ30" s="113"/>
      <c r="AR30" s="113"/>
      <c r="AS30" s="95">
        <v>0</v>
      </c>
      <c r="AT30" s="95"/>
      <c r="AU30" s="95">
        <f aca="true" t="shared" si="33" ref="AU30:AU40">AT30*0.18</f>
        <v>0</v>
      </c>
      <c r="AV30" s="114"/>
      <c r="AW30" s="125">
        <v>2364</v>
      </c>
      <c r="AX30" s="16">
        <f aca="true" t="shared" si="34" ref="AX30:AX40">AW30*1.4</f>
        <v>3309.6</v>
      </c>
      <c r="AY30" s="116"/>
      <c r="AZ30" s="117"/>
      <c r="BA30" s="117">
        <f aca="true" t="shared" si="35" ref="BA30:BA41">AZ30*0.18</f>
        <v>0</v>
      </c>
      <c r="BB30" s="117">
        <f aca="true" t="shared" si="36" ref="BB30:BB41">SUM(AG30:BA30)-AV30-AW30</f>
        <v>21525.745</v>
      </c>
      <c r="BC30" s="123">
        <f>'[4]Т03-10'!$M$71</f>
        <v>207.631</v>
      </c>
      <c r="BD30" s="14">
        <f>AC30+AF30-BB30-BC30</f>
        <v>3779.8852600000077</v>
      </c>
      <c r="BE30" s="30">
        <f>AB30-S30</f>
        <v>-6248.8499999999985</v>
      </c>
    </row>
    <row r="31" spans="1:57" ht="12.75">
      <c r="A31" s="11" t="s">
        <v>46</v>
      </c>
      <c r="B31" s="111">
        <v>3621.5</v>
      </c>
      <c r="C31" s="122">
        <f t="shared" si="21"/>
        <v>31325.975000000002</v>
      </c>
      <c r="D31" s="121">
        <f t="shared" si="22"/>
        <v>2978.4250000000025</v>
      </c>
      <c r="E31" s="135">
        <v>2689.53</v>
      </c>
      <c r="F31" s="136">
        <v>582.74</v>
      </c>
      <c r="G31" s="136">
        <v>3641.81</v>
      </c>
      <c r="H31" s="136">
        <v>789.92</v>
      </c>
      <c r="I31" s="136">
        <v>8751.89</v>
      </c>
      <c r="J31" s="136">
        <v>1897.11</v>
      </c>
      <c r="K31" s="136">
        <v>6062.37</v>
      </c>
      <c r="L31" s="136">
        <v>1314.37</v>
      </c>
      <c r="M31" s="136">
        <v>2151.64</v>
      </c>
      <c r="N31" s="137">
        <v>466.17</v>
      </c>
      <c r="O31" s="137">
        <v>0</v>
      </c>
      <c r="P31" s="137">
        <v>0</v>
      </c>
      <c r="Q31" s="137">
        <v>0</v>
      </c>
      <c r="R31" s="137">
        <v>0</v>
      </c>
      <c r="S31" s="91">
        <f t="shared" si="23"/>
        <v>23297.239999999998</v>
      </c>
      <c r="T31" s="105">
        <f t="shared" si="24"/>
        <v>5050.3099999999995</v>
      </c>
      <c r="U31" s="91">
        <v>2585.06</v>
      </c>
      <c r="V31" s="91">
        <v>3500.61</v>
      </c>
      <c r="W31" s="91">
        <v>8412.13</v>
      </c>
      <c r="X31" s="91">
        <v>5826.49</v>
      </c>
      <c r="Y31" s="91">
        <v>2067.6</v>
      </c>
      <c r="Z31" s="91">
        <v>0</v>
      </c>
      <c r="AA31" s="106">
        <v>0</v>
      </c>
      <c r="AB31" s="106">
        <f>SUM(U31:AA31)</f>
        <v>22391.89</v>
      </c>
      <c r="AC31" s="110">
        <f t="shared" si="25"/>
        <v>30420.625</v>
      </c>
      <c r="AD31" s="100">
        <f t="shared" si="26"/>
        <v>0</v>
      </c>
      <c r="AE31" s="100">
        <f t="shared" si="27"/>
        <v>0</v>
      </c>
      <c r="AF31" s="100">
        <f>'[4]Т01-10'!$I$70</f>
        <v>436.13626</v>
      </c>
      <c r="AG31" s="16">
        <f t="shared" si="28"/>
        <v>2172.9</v>
      </c>
      <c r="AH31" s="16">
        <f t="shared" si="29"/>
        <v>724.3000000000001</v>
      </c>
      <c r="AI31" s="16">
        <f t="shared" si="30"/>
        <v>3621.5</v>
      </c>
      <c r="AJ31" s="16">
        <v>0</v>
      </c>
      <c r="AK31" s="16">
        <f t="shared" si="31"/>
        <v>3549.0699999999997</v>
      </c>
      <c r="AL31" s="16">
        <v>0</v>
      </c>
      <c r="AM31" s="16">
        <f t="shared" si="32"/>
        <v>8148.375</v>
      </c>
      <c r="AN31" s="16">
        <v>0</v>
      </c>
      <c r="AO31" s="16"/>
      <c r="AP31" s="16"/>
      <c r="AQ31" s="113"/>
      <c r="AR31" s="113"/>
      <c r="AS31" s="95">
        <v>8221</v>
      </c>
      <c r="AT31" s="95"/>
      <c r="AU31" s="95">
        <f t="shared" si="33"/>
        <v>0</v>
      </c>
      <c r="AV31" s="114"/>
      <c r="AW31" s="125">
        <v>1925</v>
      </c>
      <c r="AX31" s="16">
        <f t="shared" si="34"/>
        <v>2695</v>
      </c>
      <c r="AY31" s="116"/>
      <c r="AZ31" s="117"/>
      <c r="BA31" s="117">
        <f t="shared" si="35"/>
        <v>0</v>
      </c>
      <c r="BB31" s="117">
        <f t="shared" si="36"/>
        <v>29132.145</v>
      </c>
      <c r="BC31" s="123">
        <f>'[4]Т03-10'!$M$71</f>
        <v>207.631</v>
      </c>
      <c r="BD31" s="14">
        <f aca="true" t="shared" si="37" ref="BD31:BD41">AC31+AF31-BB31-BC31</f>
        <v>1516.9852599999988</v>
      </c>
      <c r="BE31" s="30">
        <f aca="true" t="shared" si="38" ref="BE31:BE41">AB31-S31</f>
        <v>-905.3499999999985</v>
      </c>
    </row>
    <row r="32" spans="1:57" ht="12.75">
      <c r="A32" s="11" t="s">
        <v>47</v>
      </c>
      <c r="B32" s="102">
        <v>3621.5</v>
      </c>
      <c r="C32" s="122">
        <f t="shared" si="21"/>
        <v>31325.975000000002</v>
      </c>
      <c r="D32" s="121">
        <f t="shared" si="22"/>
        <v>2978.4350000000036</v>
      </c>
      <c r="E32" s="128">
        <v>2676.22</v>
      </c>
      <c r="F32" s="128">
        <v>596.05</v>
      </c>
      <c r="G32" s="128">
        <v>3623.74</v>
      </c>
      <c r="H32" s="128">
        <v>807.98</v>
      </c>
      <c r="I32" s="128">
        <v>8708.52</v>
      </c>
      <c r="J32" s="128">
        <v>1940.48</v>
      </c>
      <c r="K32" s="128">
        <v>6032.31</v>
      </c>
      <c r="L32" s="128">
        <v>1344.43</v>
      </c>
      <c r="M32" s="128">
        <v>2140.98</v>
      </c>
      <c r="N32" s="129">
        <v>476.83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3"/>
        <v>23181.77</v>
      </c>
      <c r="T32" s="105">
        <f t="shared" si="24"/>
        <v>5165.7699999999995</v>
      </c>
      <c r="U32" s="91">
        <v>2953.17</v>
      </c>
      <c r="V32" s="91">
        <v>3999.44</v>
      </c>
      <c r="W32" s="91">
        <v>9610.49</v>
      </c>
      <c r="X32" s="91">
        <v>6657.3</v>
      </c>
      <c r="Y32" s="91">
        <v>2362.63</v>
      </c>
      <c r="Z32" s="91">
        <v>0</v>
      </c>
      <c r="AA32" s="106">
        <v>0</v>
      </c>
      <c r="AB32" s="106">
        <f>SUM(U32:AA32)</f>
        <v>25583.03</v>
      </c>
      <c r="AC32" s="110">
        <f t="shared" si="25"/>
        <v>33727.235</v>
      </c>
      <c r="AD32" s="100">
        <f t="shared" si="26"/>
        <v>0</v>
      </c>
      <c r="AE32" s="100">
        <f t="shared" si="27"/>
        <v>0</v>
      </c>
      <c r="AF32" s="100">
        <f>'[4]Т01-10'!$I$70</f>
        <v>436.13626</v>
      </c>
      <c r="AG32" s="16">
        <f t="shared" si="28"/>
        <v>2172.9</v>
      </c>
      <c r="AH32" s="16">
        <f t="shared" si="29"/>
        <v>724.3000000000001</v>
      </c>
      <c r="AI32" s="16">
        <f t="shared" si="30"/>
        <v>3621.5</v>
      </c>
      <c r="AJ32" s="16">
        <v>0</v>
      </c>
      <c r="AK32" s="16">
        <f t="shared" si="31"/>
        <v>3549.0699999999997</v>
      </c>
      <c r="AL32" s="16">
        <v>0</v>
      </c>
      <c r="AM32" s="16">
        <f t="shared" si="32"/>
        <v>8148.375</v>
      </c>
      <c r="AN32" s="16">
        <v>0</v>
      </c>
      <c r="AO32" s="16"/>
      <c r="AP32" s="16"/>
      <c r="AQ32" s="113"/>
      <c r="AR32" s="113"/>
      <c r="AS32" s="95">
        <v>1752</v>
      </c>
      <c r="AT32" s="95"/>
      <c r="AU32" s="95">
        <f t="shared" si="33"/>
        <v>0</v>
      </c>
      <c r="AV32" s="114"/>
      <c r="AW32" s="125">
        <v>1217</v>
      </c>
      <c r="AX32" s="16">
        <f t="shared" si="34"/>
        <v>1703.8</v>
      </c>
      <c r="AY32" s="116"/>
      <c r="AZ32" s="117"/>
      <c r="BA32" s="117">
        <f t="shared" si="35"/>
        <v>0</v>
      </c>
      <c r="BB32" s="117">
        <f t="shared" si="36"/>
        <v>21671.945</v>
      </c>
      <c r="BC32" s="123">
        <f>'[4]Т03-10'!$M$71</f>
        <v>207.631</v>
      </c>
      <c r="BD32" s="14">
        <f t="shared" si="37"/>
        <v>12283.79526</v>
      </c>
      <c r="BE32" s="30">
        <f t="shared" si="38"/>
        <v>2401.2599999999984</v>
      </c>
    </row>
    <row r="33" spans="1:57" ht="12.75">
      <c r="A33" s="11" t="s">
        <v>48</v>
      </c>
      <c r="B33" s="102">
        <v>3621.5</v>
      </c>
      <c r="C33" s="122">
        <f t="shared" si="21"/>
        <v>31325.975000000002</v>
      </c>
      <c r="D33" s="121">
        <f t="shared" si="22"/>
        <v>2976.8149999999996</v>
      </c>
      <c r="E33" s="128">
        <v>2660.38</v>
      </c>
      <c r="F33" s="128">
        <v>612.08</v>
      </c>
      <c r="G33" s="128">
        <v>3602.27</v>
      </c>
      <c r="H33" s="128">
        <v>829.71</v>
      </c>
      <c r="I33" s="128">
        <v>8656.93</v>
      </c>
      <c r="J33" s="128">
        <v>1992.68</v>
      </c>
      <c r="K33" s="128">
        <v>5996.55</v>
      </c>
      <c r="L33" s="128">
        <v>1380.6</v>
      </c>
      <c r="M33" s="128">
        <v>2128.31</v>
      </c>
      <c r="N33" s="129">
        <v>489.65</v>
      </c>
      <c r="O33" s="106">
        <v>0</v>
      </c>
      <c r="P33" s="106">
        <v>0</v>
      </c>
      <c r="Q33" s="106"/>
      <c r="R33" s="106"/>
      <c r="S33" s="91">
        <f t="shared" si="23"/>
        <v>23044.440000000002</v>
      </c>
      <c r="T33" s="105">
        <f t="shared" si="24"/>
        <v>5304.72</v>
      </c>
      <c r="U33" s="91">
        <v>2456.11</v>
      </c>
      <c r="V33" s="91">
        <v>3315.7</v>
      </c>
      <c r="W33" s="91">
        <v>7982.32</v>
      </c>
      <c r="X33" s="91">
        <v>5526.24</v>
      </c>
      <c r="Y33" s="91">
        <v>1964.85</v>
      </c>
      <c r="Z33" s="91">
        <v>0</v>
      </c>
      <c r="AA33" s="106">
        <v>0</v>
      </c>
      <c r="AB33" s="106">
        <f>SUM(U33:AA33)</f>
        <v>21245.219999999998</v>
      </c>
      <c r="AC33" s="110">
        <f t="shared" si="25"/>
        <v>29526.754999999997</v>
      </c>
      <c r="AD33" s="100">
        <f t="shared" si="26"/>
        <v>0</v>
      </c>
      <c r="AE33" s="100">
        <f t="shared" si="27"/>
        <v>0</v>
      </c>
      <c r="AF33" s="100">
        <f>'[5]Т04-10'!$I$71</f>
        <v>436.13626</v>
      </c>
      <c r="AG33" s="16">
        <f t="shared" si="28"/>
        <v>2172.9</v>
      </c>
      <c r="AH33" s="16">
        <f t="shared" si="29"/>
        <v>724.3000000000001</v>
      </c>
      <c r="AI33" s="16">
        <f t="shared" si="30"/>
        <v>3621.5</v>
      </c>
      <c r="AJ33" s="16">
        <v>0</v>
      </c>
      <c r="AK33" s="16">
        <f t="shared" si="31"/>
        <v>3549.0699999999997</v>
      </c>
      <c r="AL33" s="16">
        <v>0</v>
      </c>
      <c r="AM33" s="16">
        <f t="shared" si="32"/>
        <v>8148.375</v>
      </c>
      <c r="AN33" s="16">
        <v>0</v>
      </c>
      <c r="AO33" s="16">
        <v>4830.3</v>
      </c>
      <c r="AP33" s="16"/>
      <c r="AQ33" s="113"/>
      <c r="AR33" s="113"/>
      <c r="AS33" s="95">
        <v>5058</v>
      </c>
      <c r="AT33" s="95"/>
      <c r="AU33" s="95">
        <f t="shared" si="33"/>
        <v>0</v>
      </c>
      <c r="AV33" s="114"/>
      <c r="AW33" s="125">
        <v>912</v>
      </c>
      <c r="AX33" s="16">
        <f t="shared" si="34"/>
        <v>1276.8</v>
      </c>
      <c r="AY33" s="116"/>
      <c r="AZ33" s="117"/>
      <c r="BA33" s="117">
        <f t="shared" si="35"/>
        <v>0</v>
      </c>
      <c r="BB33" s="117">
        <f t="shared" si="36"/>
        <v>29381.245</v>
      </c>
      <c r="BC33" s="123">
        <f>'[5]Т04-10'!$M$71</f>
        <v>207.631</v>
      </c>
      <c r="BD33" s="14">
        <f t="shared" si="37"/>
        <v>374.01525999999774</v>
      </c>
      <c r="BE33" s="30">
        <f t="shared" si="38"/>
        <v>-1799.2200000000048</v>
      </c>
    </row>
    <row r="34" spans="1:57" ht="12.75">
      <c r="A34" s="11" t="s">
        <v>49</v>
      </c>
      <c r="B34" s="102">
        <v>3625.39</v>
      </c>
      <c r="C34" s="122">
        <f t="shared" si="21"/>
        <v>31359.6235</v>
      </c>
      <c r="D34" s="121">
        <f t="shared" si="22"/>
        <v>2976.7834999999995</v>
      </c>
      <c r="E34" s="128">
        <v>2668.07</v>
      </c>
      <c r="F34" s="128">
        <v>608.3</v>
      </c>
      <c r="G34" s="128">
        <v>3612.63</v>
      </c>
      <c r="H34" s="128">
        <v>824.58</v>
      </c>
      <c r="I34" s="128">
        <v>8681.95</v>
      </c>
      <c r="J34" s="128">
        <v>1980.33</v>
      </c>
      <c r="K34" s="128">
        <v>6013.86</v>
      </c>
      <c r="L34" s="128">
        <v>1372.04</v>
      </c>
      <c r="M34" s="128">
        <v>2134.46</v>
      </c>
      <c r="N34" s="129">
        <v>486.62</v>
      </c>
      <c r="O34" s="106">
        <v>0</v>
      </c>
      <c r="P34" s="106">
        <v>0</v>
      </c>
      <c r="Q34" s="106"/>
      <c r="R34" s="106"/>
      <c r="S34" s="91">
        <f t="shared" si="23"/>
        <v>23110.97</v>
      </c>
      <c r="T34" s="105">
        <f t="shared" si="24"/>
        <v>5271.87</v>
      </c>
      <c r="U34" s="138">
        <v>2936.13</v>
      </c>
      <c r="V34" s="138">
        <v>3975.48</v>
      </c>
      <c r="W34" s="138">
        <v>9554.14</v>
      </c>
      <c r="X34" s="138">
        <v>7418</v>
      </c>
      <c r="Y34" s="138">
        <v>2348.96</v>
      </c>
      <c r="Z34" s="138">
        <v>0</v>
      </c>
      <c r="AA34" s="139">
        <v>0</v>
      </c>
      <c r="AB34" s="106">
        <f aca="true" t="shared" si="39" ref="AB34:AB41">SUM(U34:AA34)</f>
        <v>26232.71</v>
      </c>
      <c r="AC34" s="110">
        <f t="shared" si="25"/>
        <v>34481.3635</v>
      </c>
      <c r="AD34" s="100">
        <f t="shared" si="26"/>
        <v>0</v>
      </c>
      <c r="AE34" s="100">
        <f t="shared" si="27"/>
        <v>0</v>
      </c>
      <c r="AF34" s="100">
        <f>'[5]Т04-10'!$I$71</f>
        <v>436.13626</v>
      </c>
      <c r="AG34" s="16">
        <f t="shared" si="28"/>
        <v>2175.234</v>
      </c>
      <c r="AH34" s="16">
        <f t="shared" si="29"/>
        <v>725.078</v>
      </c>
      <c r="AI34" s="16">
        <f t="shared" si="30"/>
        <v>3625.39</v>
      </c>
      <c r="AJ34" s="16">
        <v>0</v>
      </c>
      <c r="AK34" s="16">
        <f t="shared" si="31"/>
        <v>3552.8822</v>
      </c>
      <c r="AL34" s="16">
        <v>0</v>
      </c>
      <c r="AM34" s="16">
        <f t="shared" si="32"/>
        <v>8157.1275</v>
      </c>
      <c r="AN34" s="16">
        <v>0</v>
      </c>
      <c r="AO34" s="16"/>
      <c r="AP34" s="16"/>
      <c r="AQ34" s="113"/>
      <c r="AR34" s="113"/>
      <c r="AS34" s="95">
        <v>23002</v>
      </c>
      <c r="AT34" s="95"/>
      <c r="AU34" s="95">
        <f t="shared" si="33"/>
        <v>0</v>
      </c>
      <c r="AV34" s="114"/>
      <c r="AW34" s="125">
        <v>852</v>
      </c>
      <c r="AX34" s="16">
        <f t="shared" si="34"/>
        <v>1192.8</v>
      </c>
      <c r="AY34" s="116"/>
      <c r="AZ34" s="117"/>
      <c r="BA34" s="117">
        <f t="shared" si="35"/>
        <v>0</v>
      </c>
      <c r="BB34" s="117">
        <f t="shared" si="36"/>
        <v>42430.5117</v>
      </c>
      <c r="BC34" s="123">
        <f>'[5]Т04-10'!$M$71</f>
        <v>207.631</v>
      </c>
      <c r="BD34" s="14">
        <f t="shared" si="37"/>
        <v>-7720.642940000004</v>
      </c>
      <c r="BE34" s="30">
        <f t="shared" si="38"/>
        <v>3121.739999999998</v>
      </c>
    </row>
    <row r="35" spans="1:57" ht="12.75">
      <c r="A35" s="11" t="s">
        <v>50</v>
      </c>
      <c r="B35" s="102">
        <v>3625.39</v>
      </c>
      <c r="C35" s="122">
        <f t="shared" si="21"/>
        <v>31359.6235</v>
      </c>
      <c r="D35" s="121">
        <f t="shared" si="22"/>
        <v>2981.3334999999997</v>
      </c>
      <c r="E35" s="128">
        <v>2667.54</v>
      </c>
      <c r="F35" s="128">
        <v>608.29</v>
      </c>
      <c r="G35" s="128">
        <v>3611.94</v>
      </c>
      <c r="H35" s="128">
        <v>824.58</v>
      </c>
      <c r="I35" s="128">
        <v>8680.24</v>
      </c>
      <c r="J35" s="128">
        <v>1980.33</v>
      </c>
      <c r="K35" s="128">
        <v>6012.67</v>
      </c>
      <c r="L35" s="128">
        <v>1372.04</v>
      </c>
      <c r="M35" s="128">
        <v>2134.04</v>
      </c>
      <c r="N35" s="129">
        <v>486.62</v>
      </c>
      <c r="O35" s="106">
        <v>0</v>
      </c>
      <c r="P35" s="106">
        <v>0</v>
      </c>
      <c r="Q35" s="106">
        <v>0</v>
      </c>
      <c r="R35" s="106">
        <v>0</v>
      </c>
      <c r="S35" s="91">
        <f t="shared" si="23"/>
        <v>23106.43</v>
      </c>
      <c r="T35" s="105">
        <f t="shared" si="24"/>
        <v>5271.86</v>
      </c>
      <c r="U35" s="91">
        <v>2330.85</v>
      </c>
      <c r="V35" s="91">
        <v>3156.18</v>
      </c>
      <c r="W35" s="91">
        <v>7584.73</v>
      </c>
      <c r="X35" s="91">
        <v>5195.09</v>
      </c>
      <c r="Y35" s="91">
        <v>1864.62</v>
      </c>
      <c r="Z35" s="91">
        <v>0</v>
      </c>
      <c r="AA35" s="106">
        <v>0</v>
      </c>
      <c r="AB35" s="106">
        <f t="shared" si="39"/>
        <v>20131.469999999998</v>
      </c>
      <c r="AC35" s="110">
        <f t="shared" si="25"/>
        <v>28384.663499999995</v>
      </c>
      <c r="AD35" s="100">
        <f t="shared" si="26"/>
        <v>0</v>
      </c>
      <c r="AE35" s="100">
        <f t="shared" si="27"/>
        <v>0</v>
      </c>
      <c r="AF35" s="100">
        <f>'[5]Т04-10'!$I$71</f>
        <v>436.13626</v>
      </c>
      <c r="AG35" s="16">
        <f t="shared" si="28"/>
        <v>2175.234</v>
      </c>
      <c r="AH35" s="16">
        <f t="shared" si="29"/>
        <v>725.078</v>
      </c>
      <c r="AI35" s="16">
        <f t="shared" si="30"/>
        <v>3625.39</v>
      </c>
      <c r="AJ35" s="16">
        <v>0</v>
      </c>
      <c r="AK35" s="16">
        <f t="shared" si="31"/>
        <v>3552.8822</v>
      </c>
      <c r="AL35" s="16">
        <v>0</v>
      </c>
      <c r="AM35" s="16">
        <f t="shared" si="32"/>
        <v>8157.1275</v>
      </c>
      <c r="AN35" s="16">
        <v>0</v>
      </c>
      <c r="AO35" s="16"/>
      <c r="AP35" s="16"/>
      <c r="AQ35" s="113">
        <v>100</v>
      </c>
      <c r="AR35" s="113"/>
      <c r="AS35" s="95">
        <v>16107</v>
      </c>
      <c r="AT35" s="95"/>
      <c r="AU35" s="95">
        <f t="shared" si="33"/>
        <v>0</v>
      </c>
      <c r="AV35" s="114"/>
      <c r="AW35" s="125">
        <v>566</v>
      </c>
      <c r="AX35" s="16">
        <f t="shared" si="34"/>
        <v>792.4</v>
      </c>
      <c r="AY35" s="116"/>
      <c r="AZ35" s="117"/>
      <c r="BA35" s="117">
        <f t="shared" si="35"/>
        <v>0</v>
      </c>
      <c r="BB35" s="117">
        <f t="shared" si="36"/>
        <v>35235.1117</v>
      </c>
      <c r="BC35" s="123">
        <f>'[5]Т06-10'!$M$69</f>
        <v>207.631</v>
      </c>
      <c r="BD35" s="14">
        <f t="shared" si="37"/>
        <v>-6621.942940000007</v>
      </c>
      <c r="BE35" s="30">
        <f t="shared" si="38"/>
        <v>-2974.9600000000028</v>
      </c>
    </row>
    <row r="36" spans="1:57" ht="12.75">
      <c r="A36" s="11" t="s">
        <v>51</v>
      </c>
      <c r="B36" s="102">
        <v>3625.39</v>
      </c>
      <c r="C36" s="122">
        <f t="shared" si="21"/>
        <v>31359.6235</v>
      </c>
      <c r="D36" s="121">
        <f t="shared" si="22"/>
        <v>2869.993500000003</v>
      </c>
      <c r="E36" s="140">
        <v>3277.17</v>
      </c>
      <c r="F36" s="128">
        <v>0</v>
      </c>
      <c r="G36" s="128">
        <v>4438.25</v>
      </c>
      <c r="H36" s="128">
        <v>0</v>
      </c>
      <c r="I36" s="128">
        <v>10664.85</v>
      </c>
      <c r="J36" s="128">
        <v>0</v>
      </c>
      <c r="K36" s="128">
        <v>7387.65</v>
      </c>
      <c r="L36" s="128">
        <v>0</v>
      </c>
      <c r="M36" s="128">
        <v>2721.71</v>
      </c>
      <c r="N36" s="129">
        <v>0</v>
      </c>
      <c r="O36" s="106">
        <v>0</v>
      </c>
      <c r="P36" s="106">
        <v>0</v>
      </c>
      <c r="Q36" s="106"/>
      <c r="R36" s="106"/>
      <c r="S36" s="91">
        <f t="shared" si="23"/>
        <v>28489.629999999997</v>
      </c>
      <c r="T36" s="105">
        <f t="shared" si="24"/>
        <v>0</v>
      </c>
      <c r="U36" s="93">
        <v>2837.03</v>
      </c>
      <c r="V36" s="91">
        <v>3841.03</v>
      </c>
      <c r="W36" s="91">
        <v>9231.3</v>
      </c>
      <c r="X36" s="91">
        <v>6394.39</v>
      </c>
      <c r="Y36" s="91">
        <v>2269.57</v>
      </c>
      <c r="Z36" s="91">
        <v>0</v>
      </c>
      <c r="AA36" s="106">
        <v>0</v>
      </c>
      <c r="AB36" s="106">
        <f t="shared" si="39"/>
        <v>24573.32</v>
      </c>
      <c r="AC36" s="110">
        <f t="shared" si="25"/>
        <v>27443.313500000004</v>
      </c>
      <c r="AD36" s="100">
        <f t="shared" si="26"/>
        <v>0</v>
      </c>
      <c r="AE36" s="100">
        <f t="shared" si="27"/>
        <v>0</v>
      </c>
      <c r="AF36" s="100">
        <f>'[6]Т07-10'!$I$68</f>
        <v>436.13626</v>
      </c>
      <c r="AG36" s="16">
        <f t="shared" si="28"/>
        <v>2175.234</v>
      </c>
      <c r="AH36" s="16">
        <f t="shared" si="29"/>
        <v>725.078</v>
      </c>
      <c r="AI36" s="16">
        <f t="shared" si="30"/>
        <v>3625.39</v>
      </c>
      <c r="AJ36" s="16">
        <v>0</v>
      </c>
      <c r="AK36" s="16">
        <f t="shared" si="31"/>
        <v>3552.8822</v>
      </c>
      <c r="AL36" s="16">
        <v>0</v>
      </c>
      <c r="AM36" s="16">
        <f t="shared" si="32"/>
        <v>8157.1275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3"/>
        <v>0</v>
      </c>
      <c r="AV36" s="114"/>
      <c r="AW36" s="125">
        <v>683</v>
      </c>
      <c r="AX36" s="16">
        <f t="shared" si="34"/>
        <v>956.1999999999999</v>
      </c>
      <c r="AY36" s="116"/>
      <c r="AZ36" s="117"/>
      <c r="BA36" s="117">
        <f t="shared" si="35"/>
        <v>0</v>
      </c>
      <c r="BB36" s="117">
        <f t="shared" si="36"/>
        <v>19191.9117</v>
      </c>
      <c r="BC36" s="123">
        <f>'[5]Т06-10'!$M$69</f>
        <v>207.631</v>
      </c>
      <c r="BD36" s="14">
        <f t="shared" si="37"/>
        <v>8479.907060000003</v>
      </c>
      <c r="BE36" s="30">
        <f t="shared" si="38"/>
        <v>-3916.3099999999977</v>
      </c>
    </row>
    <row r="37" spans="1:57" ht="12.75">
      <c r="A37" s="11" t="s">
        <v>52</v>
      </c>
      <c r="B37" s="102">
        <v>3625.39</v>
      </c>
      <c r="C37" s="122">
        <f t="shared" si="21"/>
        <v>31359.6235</v>
      </c>
      <c r="D37" s="121">
        <f t="shared" si="22"/>
        <v>2869.4835000000035</v>
      </c>
      <c r="E37" s="140">
        <v>3277.23</v>
      </c>
      <c r="F37" s="128">
        <v>0</v>
      </c>
      <c r="G37" s="128">
        <v>4438.33</v>
      </c>
      <c r="H37" s="128">
        <v>0</v>
      </c>
      <c r="I37" s="128">
        <v>10665.03</v>
      </c>
      <c r="J37" s="128">
        <v>0</v>
      </c>
      <c r="K37" s="128">
        <v>7387.78</v>
      </c>
      <c r="L37" s="128">
        <v>0</v>
      </c>
      <c r="M37" s="128">
        <v>2721.77</v>
      </c>
      <c r="N37" s="129">
        <v>0</v>
      </c>
      <c r="O37" s="106">
        <v>0</v>
      </c>
      <c r="P37" s="106">
        <v>0</v>
      </c>
      <c r="Q37" s="106"/>
      <c r="R37" s="106"/>
      <c r="S37" s="91">
        <f t="shared" si="23"/>
        <v>28490.14</v>
      </c>
      <c r="T37" s="105">
        <f t="shared" si="24"/>
        <v>0</v>
      </c>
      <c r="U37" s="138">
        <v>3020.33</v>
      </c>
      <c r="V37" s="138">
        <v>4090.12</v>
      </c>
      <c r="W37" s="138">
        <v>9828.7</v>
      </c>
      <c r="X37" s="138">
        <v>6808.19</v>
      </c>
      <c r="Y37" s="138">
        <v>2416.27</v>
      </c>
      <c r="Z37" s="138">
        <v>0</v>
      </c>
      <c r="AA37" s="139">
        <v>0</v>
      </c>
      <c r="AB37" s="106">
        <f t="shared" si="39"/>
        <v>26163.61</v>
      </c>
      <c r="AC37" s="110">
        <f t="shared" si="25"/>
        <v>29033.093500000003</v>
      </c>
      <c r="AD37" s="100">
        <f t="shared" si="26"/>
        <v>0</v>
      </c>
      <c r="AE37" s="100">
        <f t="shared" si="27"/>
        <v>0</v>
      </c>
      <c r="AF37" s="100">
        <f>'[6]Т07-10'!$I$68</f>
        <v>436.13626</v>
      </c>
      <c r="AG37" s="16">
        <f t="shared" si="28"/>
        <v>2175.234</v>
      </c>
      <c r="AH37" s="16">
        <f t="shared" si="29"/>
        <v>725.078</v>
      </c>
      <c r="AI37" s="16">
        <f t="shared" si="30"/>
        <v>3625.39</v>
      </c>
      <c r="AJ37" s="16">
        <v>0</v>
      </c>
      <c r="AK37" s="16">
        <f t="shared" si="31"/>
        <v>3552.8822</v>
      </c>
      <c r="AL37" s="16">
        <v>0</v>
      </c>
      <c r="AM37" s="16">
        <f t="shared" si="32"/>
        <v>8157.1275</v>
      </c>
      <c r="AN37" s="16">
        <v>0</v>
      </c>
      <c r="AO37" s="16"/>
      <c r="AP37" s="16"/>
      <c r="AQ37" s="113"/>
      <c r="AR37" s="113"/>
      <c r="AS37" s="95">
        <v>3467</v>
      </c>
      <c r="AT37" s="95">
        <f>47.8+168</f>
        <v>215.8</v>
      </c>
      <c r="AU37" s="95"/>
      <c r="AV37" s="114"/>
      <c r="AW37" s="125">
        <v>573</v>
      </c>
      <c r="AX37" s="16">
        <f t="shared" si="34"/>
        <v>802.1999999999999</v>
      </c>
      <c r="AY37" s="116"/>
      <c r="AZ37" s="117"/>
      <c r="BA37" s="117">
        <f t="shared" si="35"/>
        <v>0</v>
      </c>
      <c r="BB37" s="117">
        <f t="shared" si="36"/>
        <v>22720.7117</v>
      </c>
      <c r="BC37" s="123">
        <f>'[5]Т06-10'!$M$69</f>
        <v>207.631</v>
      </c>
      <c r="BD37" s="14">
        <f t="shared" si="37"/>
        <v>6540.887060000002</v>
      </c>
      <c r="BE37" s="30">
        <f t="shared" si="38"/>
        <v>-2326.529999999999</v>
      </c>
    </row>
    <row r="38" spans="1:57" ht="12.75">
      <c r="A38" s="11" t="s">
        <v>53</v>
      </c>
      <c r="B38" s="102">
        <v>3625.39</v>
      </c>
      <c r="C38" s="122">
        <f t="shared" si="21"/>
        <v>31359.6235</v>
      </c>
      <c r="D38" s="144">
        <f>C38-E38-F38-G38-H38-I38-J38-K38-L38-M38-N38+30000</f>
        <v>32869.4535</v>
      </c>
      <c r="E38" s="128">
        <v>3277.24</v>
      </c>
      <c r="F38" s="128">
        <v>0</v>
      </c>
      <c r="G38" s="128">
        <v>4438.33</v>
      </c>
      <c r="H38" s="128">
        <v>0</v>
      </c>
      <c r="I38" s="128">
        <v>10665.03</v>
      </c>
      <c r="J38" s="128">
        <v>0</v>
      </c>
      <c r="K38" s="128">
        <v>7387.79</v>
      </c>
      <c r="L38" s="128">
        <v>0</v>
      </c>
      <c r="M38" s="128">
        <v>2721.78</v>
      </c>
      <c r="N38" s="129">
        <v>0</v>
      </c>
      <c r="O38" s="106">
        <v>0</v>
      </c>
      <c r="P38" s="106">
        <v>0</v>
      </c>
      <c r="Q38" s="106"/>
      <c r="R38" s="106"/>
      <c r="S38" s="91">
        <f t="shared" si="23"/>
        <v>28490.17</v>
      </c>
      <c r="T38" s="105">
        <f t="shared" si="24"/>
        <v>0</v>
      </c>
      <c r="U38" s="91">
        <v>3107.25</v>
      </c>
      <c r="V38" s="91">
        <v>4207.68</v>
      </c>
      <c r="W38" s="91">
        <v>10111.43</v>
      </c>
      <c r="X38" s="91">
        <v>6893.57</v>
      </c>
      <c r="Y38" s="91">
        <v>2485.74</v>
      </c>
      <c r="Z38" s="91">
        <v>0</v>
      </c>
      <c r="AA38" s="106">
        <v>0</v>
      </c>
      <c r="AB38" s="106">
        <f t="shared" si="39"/>
        <v>26805.67</v>
      </c>
      <c r="AC38" s="110">
        <f t="shared" si="25"/>
        <v>59675.1235</v>
      </c>
      <c r="AD38" s="100">
        <f t="shared" si="26"/>
        <v>0</v>
      </c>
      <c r="AE38" s="100">
        <f t="shared" si="27"/>
        <v>0</v>
      </c>
      <c r="AF38" s="100">
        <f>'[6]Т07-10'!$I$68</f>
        <v>436.13626</v>
      </c>
      <c r="AG38" s="16">
        <f t="shared" si="28"/>
        <v>2175.234</v>
      </c>
      <c r="AH38" s="16">
        <f t="shared" si="29"/>
        <v>725.078</v>
      </c>
      <c r="AI38" s="16">
        <f t="shared" si="30"/>
        <v>3625.39</v>
      </c>
      <c r="AJ38" s="16">
        <v>0</v>
      </c>
      <c r="AK38" s="16">
        <f t="shared" si="31"/>
        <v>3552.8822</v>
      </c>
      <c r="AL38" s="16">
        <v>0</v>
      </c>
      <c r="AM38" s="16">
        <f t="shared" si="32"/>
        <v>8157.1275</v>
      </c>
      <c r="AN38" s="16">
        <v>0</v>
      </c>
      <c r="AO38" s="16"/>
      <c r="AP38" s="16"/>
      <c r="AQ38" s="113"/>
      <c r="AR38" s="113"/>
      <c r="AS38" s="95"/>
      <c r="AT38" s="95"/>
      <c r="AU38" s="141">
        <f t="shared" si="33"/>
        <v>0</v>
      </c>
      <c r="AV38" s="114"/>
      <c r="AW38" s="125">
        <v>905</v>
      </c>
      <c r="AX38" s="16">
        <f>AW38*1.4</f>
        <v>1267</v>
      </c>
      <c r="AY38" s="116"/>
      <c r="AZ38" s="117"/>
      <c r="BA38" s="117">
        <f t="shared" si="35"/>
        <v>0</v>
      </c>
      <c r="BB38" s="117">
        <f t="shared" si="36"/>
        <v>19502.7117</v>
      </c>
      <c r="BC38" s="123">
        <f>'[5]Т06-10'!$M$69</f>
        <v>207.631</v>
      </c>
      <c r="BD38" s="14">
        <f t="shared" si="37"/>
        <v>40400.91706</v>
      </c>
      <c r="BE38" s="30">
        <f t="shared" si="38"/>
        <v>-1684.5</v>
      </c>
    </row>
    <row r="39" spans="1:57" ht="12.75">
      <c r="A39" s="11" t="s">
        <v>41</v>
      </c>
      <c r="B39" s="102">
        <v>3625.39</v>
      </c>
      <c r="C39" s="122">
        <f t="shared" si="21"/>
        <v>31359.6235</v>
      </c>
      <c r="D39" s="121">
        <f t="shared" si="22"/>
        <v>2869.5034999999993</v>
      </c>
      <c r="E39" s="131">
        <v>3277.22</v>
      </c>
      <c r="F39" s="131">
        <v>0</v>
      </c>
      <c r="G39" s="131">
        <v>4438.32</v>
      </c>
      <c r="H39" s="131">
        <v>0</v>
      </c>
      <c r="I39" s="131">
        <v>10665.03</v>
      </c>
      <c r="J39" s="131">
        <v>0</v>
      </c>
      <c r="K39" s="131">
        <v>7387.77</v>
      </c>
      <c r="L39" s="131">
        <v>0</v>
      </c>
      <c r="M39" s="131">
        <v>2721.78</v>
      </c>
      <c r="N39" s="132">
        <v>0</v>
      </c>
      <c r="O39" s="118">
        <v>0</v>
      </c>
      <c r="P39" s="118">
        <v>0</v>
      </c>
      <c r="Q39" s="118"/>
      <c r="R39" s="118"/>
      <c r="S39" s="91">
        <f t="shared" si="23"/>
        <v>28490.12</v>
      </c>
      <c r="T39" s="105">
        <f t="shared" si="24"/>
        <v>0</v>
      </c>
      <c r="U39" s="91">
        <v>2758.28</v>
      </c>
      <c r="V39" s="91">
        <v>3736.43</v>
      </c>
      <c r="W39" s="91">
        <v>8977.27</v>
      </c>
      <c r="X39" s="91">
        <v>6218.84</v>
      </c>
      <c r="Y39" s="91">
        <v>2206.68</v>
      </c>
      <c r="Z39" s="91">
        <v>0</v>
      </c>
      <c r="AA39" s="106">
        <v>0</v>
      </c>
      <c r="AB39" s="106">
        <f t="shared" si="39"/>
        <v>23897.5</v>
      </c>
      <c r="AC39" s="110">
        <f t="shared" si="25"/>
        <v>26767.0035</v>
      </c>
      <c r="AD39" s="100">
        <f t="shared" si="26"/>
        <v>0</v>
      </c>
      <c r="AE39" s="100">
        <f t="shared" si="27"/>
        <v>0</v>
      </c>
      <c r="AF39" s="100">
        <f>'[6]Т10-10'!$I$68+150</f>
        <v>586.13626</v>
      </c>
      <c r="AG39" s="16">
        <f t="shared" si="28"/>
        <v>2175.234</v>
      </c>
      <c r="AH39" s="16">
        <f t="shared" si="29"/>
        <v>725.078</v>
      </c>
      <c r="AI39" s="16">
        <f t="shared" si="30"/>
        <v>3625.39</v>
      </c>
      <c r="AJ39" s="16">
        <v>0</v>
      </c>
      <c r="AK39" s="16">
        <f t="shared" si="31"/>
        <v>3552.8822</v>
      </c>
      <c r="AL39" s="16">
        <v>0</v>
      </c>
      <c r="AM39" s="16">
        <f t="shared" si="32"/>
        <v>8157.1275</v>
      </c>
      <c r="AN39" s="16">
        <v>0</v>
      </c>
      <c r="AO39" s="16"/>
      <c r="AP39" s="16"/>
      <c r="AQ39" s="113"/>
      <c r="AR39" s="113"/>
      <c r="AS39" s="95">
        <v>132</v>
      </c>
      <c r="AT39" s="95">
        <v>168</v>
      </c>
      <c r="AU39" s="95"/>
      <c r="AV39" s="114"/>
      <c r="AW39" s="125">
        <v>1061</v>
      </c>
      <c r="AX39" s="16">
        <f t="shared" si="34"/>
        <v>1485.3999999999999</v>
      </c>
      <c r="AY39" s="116"/>
      <c r="AZ39" s="117"/>
      <c r="BA39" s="117">
        <f t="shared" si="35"/>
        <v>0</v>
      </c>
      <c r="BB39" s="117">
        <f t="shared" si="36"/>
        <v>20021.1117</v>
      </c>
      <c r="BC39" s="123">
        <f>'[6]Т10-10'!$M$68+37.5</f>
        <v>245.131</v>
      </c>
      <c r="BD39" s="14">
        <f t="shared" si="37"/>
        <v>7086.897059999997</v>
      </c>
      <c r="BE39" s="30">
        <f t="shared" si="38"/>
        <v>-4592.619999999999</v>
      </c>
    </row>
    <row r="40" spans="1:57" ht="12.75">
      <c r="A40" s="11" t="s">
        <v>42</v>
      </c>
      <c r="B40" s="102">
        <v>3625.39</v>
      </c>
      <c r="C40" s="122">
        <f t="shared" si="21"/>
        <v>31359.6235</v>
      </c>
      <c r="D40" s="121">
        <f t="shared" si="22"/>
        <v>2869.5034999999993</v>
      </c>
      <c r="E40" s="128">
        <v>3277.22</v>
      </c>
      <c r="F40" s="128">
        <v>0</v>
      </c>
      <c r="G40" s="128">
        <v>4438.32</v>
      </c>
      <c r="H40" s="128">
        <v>0</v>
      </c>
      <c r="I40" s="128">
        <v>10665.03</v>
      </c>
      <c r="J40" s="128">
        <v>0</v>
      </c>
      <c r="K40" s="128">
        <v>7387.77</v>
      </c>
      <c r="L40" s="128">
        <v>0</v>
      </c>
      <c r="M40" s="128">
        <v>2721.78</v>
      </c>
      <c r="N40" s="129">
        <v>0</v>
      </c>
      <c r="O40" s="106">
        <v>0</v>
      </c>
      <c r="P40" s="106">
        <v>0</v>
      </c>
      <c r="Q40" s="106"/>
      <c r="R40" s="106"/>
      <c r="S40" s="91">
        <f t="shared" si="23"/>
        <v>28490.12</v>
      </c>
      <c r="T40" s="105">
        <f t="shared" si="24"/>
        <v>0</v>
      </c>
      <c r="U40" s="93">
        <v>3182.25</v>
      </c>
      <c r="V40" s="91">
        <v>4309.06</v>
      </c>
      <c r="W40" s="91">
        <v>10355.29</v>
      </c>
      <c r="X40" s="91">
        <v>7095.91</v>
      </c>
      <c r="Y40" s="91">
        <v>2545.76</v>
      </c>
      <c r="Z40" s="91">
        <v>0</v>
      </c>
      <c r="AA40" s="106">
        <v>0</v>
      </c>
      <c r="AB40" s="106">
        <f t="shared" si="39"/>
        <v>27488.270000000004</v>
      </c>
      <c r="AC40" s="110">
        <f t="shared" si="25"/>
        <v>30357.773500000003</v>
      </c>
      <c r="AD40" s="100">
        <f t="shared" si="26"/>
        <v>0</v>
      </c>
      <c r="AE40" s="100">
        <f t="shared" si="27"/>
        <v>0</v>
      </c>
      <c r="AF40" s="100">
        <f>'[6]Т10-10'!$I$68+150</f>
        <v>586.13626</v>
      </c>
      <c r="AG40" s="16">
        <f t="shared" si="28"/>
        <v>2175.234</v>
      </c>
      <c r="AH40" s="16">
        <f t="shared" si="29"/>
        <v>725.078</v>
      </c>
      <c r="AI40" s="16">
        <f t="shared" si="30"/>
        <v>3625.39</v>
      </c>
      <c r="AJ40" s="16">
        <v>0</v>
      </c>
      <c r="AK40" s="16">
        <f t="shared" si="31"/>
        <v>3552.8822</v>
      </c>
      <c r="AL40" s="16">
        <v>0</v>
      </c>
      <c r="AM40" s="16">
        <f t="shared" si="32"/>
        <v>8157.1275</v>
      </c>
      <c r="AN40" s="16">
        <v>0</v>
      </c>
      <c r="AO40" s="16"/>
      <c r="AP40" s="16"/>
      <c r="AQ40" s="113"/>
      <c r="AR40" s="113"/>
      <c r="AS40" s="95">
        <v>835</v>
      </c>
      <c r="AT40" s="95"/>
      <c r="AU40" s="95">
        <f t="shared" si="33"/>
        <v>0</v>
      </c>
      <c r="AV40" s="114"/>
      <c r="AW40" s="125">
        <v>1286</v>
      </c>
      <c r="AX40" s="16">
        <f t="shared" si="34"/>
        <v>1800.3999999999999</v>
      </c>
      <c r="AY40" s="116"/>
      <c r="AZ40" s="117"/>
      <c r="BA40" s="117">
        <f t="shared" si="35"/>
        <v>0</v>
      </c>
      <c r="BB40" s="117">
        <f t="shared" si="36"/>
        <v>20871.1117</v>
      </c>
      <c r="BC40" s="123">
        <f>'[6]Т10-10'!$M$68+37.5</f>
        <v>245.131</v>
      </c>
      <c r="BD40" s="14">
        <f t="shared" si="37"/>
        <v>9827.667060000002</v>
      </c>
      <c r="BE40" s="30">
        <f t="shared" si="38"/>
        <v>-1001.8499999999949</v>
      </c>
    </row>
    <row r="41" spans="1:57" ht="12.75">
      <c r="A41" s="11" t="s">
        <v>43</v>
      </c>
      <c r="B41" s="102">
        <v>3625.39</v>
      </c>
      <c r="C41" s="122">
        <f t="shared" si="21"/>
        <v>31359.6235</v>
      </c>
      <c r="D41" s="121">
        <f t="shared" si="22"/>
        <v>2869.493500000001</v>
      </c>
      <c r="E41" s="128">
        <v>3277.23</v>
      </c>
      <c r="F41" s="128">
        <v>0</v>
      </c>
      <c r="G41" s="128">
        <v>4438.32</v>
      </c>
      <c r="H41" s="128">
        <v>0</v>
      </c>
      <c r="I41" s="128">
        <v>10665.03</v>
      </c>
      <c r="J41" s="128">
        <v>0</v>
      </c>
      <c r="K41" s="128">
        <v>7387.77</v>
      </c>
      <c r="L41" s="128">
        <v>0</v>
      </c>
      <c r="M41" s="128">
        <v>2721.78</v>
      </c>
      <c r="N41" s="129">
        <v>0</v>
      </c>
      <c r="O41" s="106">
        <v>0</v>
      </c>
      <c r="P41" s="106">
        <v>0</v>
      </c>
      <c r="Q41" s="106"/>
      <c r="R41" s="106"/>
      <c r="S41" s="91">
        <f t="shared" si="23"/>
        <v>28490.13</v>
      </c>
      <c r="T41" s="105">
        <f t="shared" si="24"/>
        <v>0</v>
      </c>
      <c r="U41" s="91">
        <v>4195.07</v>
      </c>
      <c r="V41" s="91">
        <v>5680.12</v>
      </c>
      <c r="W41" s="91">
        <v>13650.63</v>
      </c>
      <c r="X41" s="91">
        <v>9384.35</v>
      </c>
      <c r="Y41" s="91">
        <v>3356.07</v>
      </c>
      <c r="Z41" s="91">
        <v>0</v>
      </c>
      <c r="AA41" s="106">
        <v>0</v>
      </c>
      <c r="AB41" s="106">
        <f t="shared" si="39"/>
        <v>36266.24</v>
      </c>
      <c r="AC41" s="110">
        <f t="shared" si="25"/>
        <v>39135.7335</v>
      </c>
      <c r="AD41" s="100">
        <f t="shared" si="26"/>
        <v>0</v>
      </c>
      <c r="AE41" s="100">
        <f t="shared" si="27"/>
        <v>0</v>
      </c>
      <c r="AF41" s="100">
        <f>'[6]Т10-10'!$I$68+150</f>
        <v>586.13626</v>
      </c>
      <c r="AG41" s="16">
        <f t="shared" si="28"/>
        <v>2175.234</v>
      </c>
      <c r="AH41" s="16">
        <f t="shared" si="29"/>
        <v>725.078</v>
      </c>
      <c r="AI41" s="16">
        <f t="shared" si="30"/>
        <v>3625.39</v>
      </c>
      <c r="AJ41" s="16">
        <v>0</v>
      </c>
      <c r="AK41" s="16">
        <f t="shared" si="31"/>
        <v>3552.8822</v>
      </c>
      <c r="AL41" s="16">
        <v>0</v>
      </c>
      <c r="AM41" s="16">
        <f t="shared" si="32"/>
        <v>8157.1275</v>
      </c>
      <c r="AN41" s="16">
        <v>0</v>
      </c>
      <c r="AO41" s="16"/>
      <c r="AP41" s="16"/>
      <c r="AQ41" s="113"/>
      <c r="AR41" s="113"/>
      <c r="AS41" s="95">
        <v>2440</v>
      </c>
      <c r="AT41" s="142">
        <f>11500+709.76+463.56+40338.78+15017.21</f>
        <v>68029.31</v>
      </c>
      <c r="AU41" s="95">
        <f>(709.76+463.56+40338.78+15017.21)*0.18</f>
        <v>10175.2758</v>
      </c>
      <c r="AV41" s="114"/>
      <c r="AW41" s="125">
        <v>1707</v>
      </c>
      <c r="AX41" s="16">
        <f>AW41*1.4+10668</f>
        <v>13057.8</v>
      </c>
      <c r="AY41" s="116"/>
      <c r="AZ41" s="117"/>
      <c r="BA41" s="117">
        <f t="shared" si="35"/>
        <v>0</v>
      </c>
      <c r="BB41" s="117">
        <f t="shared" si="36"/>
        <v>111938.0975</v>
      </c>
      <c r="BC41" s="123">
        <f>'[6]Т10-10'!$M$68+37.5</f>
        <v>245.131</v>
      </c>
      <c r="BD41" s="14">
        <f t="shared" si="37"/>
        <v>-72461.35874</v>
      </c>
      <c r="BE41" s="30">
        <f t="shared" si="38"/>
        <v>7776.109999999997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376180.8879999999</v>
      </c>
      <c r="D42" s="60">
        <f t="shared" si="40"/>
        <v>65087.65800000002</v>
      </c>
      <c r="E42" s="57">
        <f t="shared" si="40"/>
        <v>35714.58000000001</v>
      </c>
      <c r="F42" s="57">
        <f t="shared" si="40"/>
        <v>3590.2</v>
      </c>
      <c r="G42" s="57">
        <f t="shared" si="40"/>
        <v>48364.06</v>
      </c>
      <c r="H42" s="57">
        <f t="shared" si="40"/>
        <v>4866.69</v>
      </c>
      <c r="I42" s="57">
        <f t="shared" si="40"/>
        <v>116221.41999999998</v>
      </c>
      <c r="J42" s="57">
        <f t="shared" si="40"/>
        <v>11688.039999999999</v>
      </c>
      <c r="K42" s="57">
        <f t="shared" si="40"/>
        <v>80506.66</v>
      </c>
      <c r="L42" s="57">
        <f t="shared" si="40"/>
        <v>8097.85</v>
      </c>
      <c r="M42" s="57">
        <f t="shared" si="40"/>
        <v>29171.669999999995</v>
      </c>
      <c r="N42" s="57">
        <f t="shared" si="40"/>
        <v>2872.06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309978.39</v>
      </c>
      <c r="T42" s="57">
        <f t="shared" si="40"/>
        <v>31114.84</v>
      </c>
      <c r="U42" s="61">
        <f t="shared" si="40"/>
        <v>34329.83</v>
      </c>
      <c r="V42" s="61">
        <f t="shared" si="40"/>
        <v>46476.59</v>
      </c>
      <c r="W42" s="61">
        <f t="shared" si="40"/>
        <v>111702.95000000001</v>
      </c>
      <c r="X42" s="61">
        <f t="shared" si="40"/>
        <v>77854.57</v>
      </c>
      <c r="Y42" s="61">
        <f t="shared" si="40"/>
        <v>27463.370000000003</v>
      </c>
      <c r="Z42" s="61">
        <f t="shared" si="40"/>
        <v>0</v>
      </c>
      <c r="AA42" s="61">
        <f t="shared" si="40"/>
        <v>0</v>
      </c>
      <c r="AB42" s="61">
        <f t="shared" si="40"/>
        <v>297827.31</v>
      </c>
      <c r="AC42" s="61">
        <f t="shared" si="40"/>
        <v>394029.8080000001</v>
      </c>
      <c r="AD42" s="61">
        <f t="shared" si="40"/>
        <v>0</v>
      </c>
      <c r="AE42" s="98">
        <f t="shared" si="40"/>
        <v>0</v>
      </c>
      <c r="AF42" s="98">
        <f t="shared" si="40"/>
        <v>5683.635120000002</v>
      </c>
      <c r="AG42" s="18">
        <f t="shared" si="40"/>
        <v>26093.472</v>
      </c>
      <c r="AH42" s="18">
        <f t="shared" si="40"/>
        <v>8697.823999999997</v>
      </c>
      <c r="AI42" s="18">
        <f t="shared" si="40"/>
        <v>43489.119999999995</v>
      </c>
      <c r="AJ42" s="18">
        <f t="shared" si="40"/>
        <v>0</v>
      </c>
      <c r="AK42" s="18">
        <f t="shared" si="40"/>
        <v>42619.3376</v>
      </c>
      <c r="AL42" s="18">
        <f t="shared" si="40"/>
        <v>0</v>
      </c>
      <c r="AM42" s="18">
        <f t="shared" si="40"/>
        <v>97850.52000000002</v>
      </c>
      <c r="AN42" s="18">
        <f t="shared" si="40"/>
        <v>0</v>
      </c>
      <c r="AO42" s="18">
        <f t="shared" si="40"/>
        <v>4830.3</v>
      </c>
      <c r="AP42" s="18">
        <f t="shared" si="40"/>
        <v>0</v>
      </c>
      <c r="AQ42" s="18">
        <f t="shared" si="40"/>
        <v>100</v>
      </c>
      <c r="AR42" s="18">
        <f t="shared" si="40"/>
        <v>0</v>
      </c>
      <c r="AS42" s="18">
        <f t="shared" si="40"/>
        <v>61014</v>
      </c>
      <c r="AT42" s="18">
        <f t="shared" si="40"/>
        <v>68413.11</v>
      </c>
      <c r="AU42" s="18">
        <f t="shared" si="40"/>
        <v>10175.2758</v>
      </c>
      <c r="AV42" s="18"/>
      <c r="AW42" s="18"/>
      <c r="AX42" s="18">
        <f aca="true" t="shared" si="41" ref="AX42:BE42">SUM(AX30:AX41)</f>
        <v>30339.4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393622.35939999996</v>
      </c>
      <c r="BC42" s="18">
        <f t="shared" si="41"/>
        <v>2604.072</v>
      </c>
      <c r="BD42" s="18">
        <f t="shared" si="41"/>
        <v>3487.0117200000095</v>
      </c>
      <c r="BE42" s="19">
        <f t="shared" si="41"/>
        <v>-12151.080000000002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846077.4329999998</v>
      </c>
      <c r="D44" s="23">
        <f t="shared" si="42"/>
        <v>128335.95080755002</v>
      </c>
      <c r="E44" s="50">
        <f t="shared" si="42"/>
        <v>74513.38</v>
      </c>
      <c r="F44" s="50">
        <f t="shared" si="42"/>
        <v>11536.109999999999</v>
      </c>
      <c r="G44" s="50">
        <f t="shared" si="42"/>
        <v>100829.22</v>
      </c>
      <c r="H44" s="50">
        <f t="shared" si="42"/>
        <v>15619.309999999998</v>
      </c>
      <c r="I44" s="50">
        <f t="shared" si="42"/>
        <v>242404.03999999998</v>
      </c>
      <c r="J44" s="50">
        <f t="shared" si="42"/>
        <v>37537.68</v>
      </c>
      <c r="K44" s="50">
        <f t="shared" si="42"/>
        <v>167890.07</v>
      </c>
      <c r="L44" s="50">
        <f t="shared" si="42"/>
        <v>26001.550000000003</v>
      </c>
      <c r="M44" s="50">
        <f t="shared" si="42"/>
        <v>60210.259999999995</v>
      </c>
      <c r="N44" s="50">
        <f t="shared" si="42"/>
        <v>9328.69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645846.97</v>
      </c>
      <c r="T44" s="50">
        <f t="shared" si="42"/>
        <v>100023.34</v>
      </c>
      <c r="U44" s="53">
        <f t="shared" si="42"/>
        <v>70600.76000000001</v>
      </c>
      <c r="V44" s="53">
        <f t="shared" si="42"/>
        <v>95497.01999999999</v>
      </c>
      <c r="W44" s="53">
        <f t="shared" si="42"/>
        <v>229517.68000000002</v>
      </c>
      <c r="X44" s="53">
        <f t="shared" si="42"/>
        <v>159461.58000000002</v>
      </c>
      <c r="Y44" s="53">
        <f t="shared" si="42"/>
        <v>56492.770000000004</v>
      </c>
      <c r="Z44" s="53">
        <f t="shared" si="42"/>
        <v>0</v>
      </c>
      <c r="AA44" s="53">
        <f t="shared" si="42"/>
        <v>0</v>
      </c>
      <c r="AB44" s="53">
        <f t="shared" si="42"/>
        <v>611569.81</v>
      </c>
      <c r="AC44" s="53">
        <f t="shared" si="42"/>
        <v>839929.10080755</v>
      </c>
      <c r="AD44" s="53">
        <f t="shared" si="42"/>
        <v>0</v>
      </c>
      <c r="AE44" s="53">
        <f t="shared" si="42"/>
        <v>0</v>
      </c>
      <c r="AF44" s="53">
        <f t="shared" si="42"/>
        <v>8300.452680000002</v>
      </c>
      <c r="AG44" s="23">
        <f t="shared" si="42"/>
        <v>57818.280000000006</v>
      </c>
      <c r="AH44" s="23">
        <f t="shared" si="42"/>
        <v>19373.846487999996</v>
      </c>
      <c r="AI44" s="23">
        <f t="shared" si="42"/>
        <v>87973.44636525001</v>
      </c>
      <c r="AJ44" s="23">
        <f t="shared" si="42"/>
        <v>8007.178745744999</v>
      </c>
      <c r="AK44" s="23">
        <f t="shared" si="42"/>
        <v>87630.43009349</v>
      </c>
      <c r="AL44" s="23">
        <f t="shared" si="42"/>
        <v>8101.996648828199</v>
      </c>
      <c r="AM44" s="23">
        <f t="shared" si="42"/>
        <v>196419.7316079829</v>
      </c>
      <c r="AN44" s="23">
        <f t="shared" si="42"/>
        <v>17742.458089436917</v>
      </c>
      <c r="AO44" s="23">
        <f t="shared" si="42"/>
        <v>4830.3</v>
      </c>
      <c r="AP44" s="23">
        <f t="shared" si="42"/>
        <v>0</v>
      </c>
      <c r="AQ44" s="23">
        <f t="shared" si="42"/>
        <v>14174.38</v>
      </c>
      <c r="AR44" s="23">
        <f t="shared" si="42"/>
        <v>2533.3884</v>
      </c>
      <c r="AS44" s="23">
        <f t="shared" si="42"/>
        <v>237360.87000000002</v>
      </c>
      <c r="AT44" s="23">
        <f t="shared" si="42"/>
        <v>68876.67</v>
      </c>
      <c r="AU44" s="23">
        <f t="shared" si="42"/>
        <v>42001.1532</v>
      </c>
      <c r="AV44" s="23"/>
      <c r="AW44" s="23"/>
      <c r="AX44" s="23">
        <f aca="true" t="shared" si="43" ref="AX44:BE44">AX28+AX42</f>
        <v>58911.070400000004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911755.200038733</v>
      </c>
      <c r="BC44" s="23">
        <f t="shared" si="43"/>
        <v>3845.4946080774002</v>
      </c>
      <c r="BD44" s="23">
        <f t="shared" si="43"/>
        <v>-67371.1411592604</v>
      </c>
      <c r="BE44" s="24">
        <f t="shared" si="43"/>
        <v>-34277.16</v>
      </c>
    </row>
  </sheetData>
  <sheetProtection/>
  <mergeCells count="67"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G10">
      <selection activeCell="A14" sqref="A14:IV32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18" t="s">
        <v>55</v>
      </c>
      <c r="C1" s="318"/>
      <c r="D1" s="318"/>
      <c r="E1" s="318"/>
      <c r="F1" s="318"/>
      <c r="G1" s="318"/>
      <c r="H1" s="318"/>
    </row>
    <row r="2" spans="2:8" ht="21" customHeight="1">
      <c r="B2" s="318" t="s">
        <v>56</v>
      </c>
      <c r="C2" s="318"/>
      <c r="D2" s="318"/>
      <c r="E2" s="318"/>
      <c r="F2" s="318"/>
      <c r="G2" s="318"/>
      <c r="H2" s="318"/>
    </row>
    <row r="5" spans="1:17" ht="12.75">
      <c r="A5" s="320" t="s">
        <v>89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12.75">
      <c r="A6" s="321" t="s">
        <v>93</v>
      </c>
      <c r="B6" s="321"/>
      <c r="C6" s="321"/>
      <c r="D6" s="321"/>
      <c r="E6" s="321"/>
      <c r="F6" s="321"/>
      <c r="G6" s="32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19" t="s">
        <v>57</v>
      </c>
      <c r="B8" s="319"/>
      <c r="C8" s="319"/>
      <c r="D8" s="319"/>
      <c r="E8" s="319">
        <v>8.65</v>
      </c>
      <c r="F8" s="319"/>
    </row>
    <row r="9" spans="1:18" ht="12.75" customHeight="1">
      <c r="A9" s="292" t="s">
        <v>58</v>
      </c>
      <c r="B9" s="295" t="s">
        <v>1</v>
      </c>
      <c r="C9" s="312" t="s">
        <v>59</v>
      </c>
      <c r="D9" s="315" t="s">
        <v>95</v>
      </c>
      <c r="E9" s="304" t="s">
        <v>60</v>
      </c>
      <c r="F9" s="305"/>
      <c r="G9" s="308" t="s">
        <v>61</v>
      </c>
      <c r="H9" s="309"/>
      <c r="I9" s="277" t="str">
        <f>Лист1!AF3</f>
        <v>Доходы по нежил.помещениям</v>
      </c>
      <c r="J9" s="283" t="s">
        <v>10</v>
      </c>
      <c r="K9" s="284"/>
      <c r="L9" s="284"/>
      <c r="M9" s="284"/>
      <c r="N9" s="284"/>
      <c r="O9" s="285"/>
      <c r="P9" s="280" t="s">
        <v>76</v>
      </c>
      <c r="Q9" s="289" t="s">
        <v>62</v>
      </c>
      <c r="R9" s="289" t="s">
        <v>12</v>
      </c>
    </row>
    <row r="10" spans="1:18" ht="12.75">
      <c r="A10" s="293"/>
      <c r="B10" s="296"/>
      <c r="C10" s="313"/>
      <c r="D10" s="316"/>
      <c r="E10" s="306"/>
      <c r="F10" s="307"/>
      <c r="G10" s="310"/>
      <c r="H10" s="311"/>
      <c r="I10" s="278"/>
      <c r="J10" s="286"/>
      <c r="K10" s="287"/>
      <c r="L10" s="287"/>
      <c r="M10" s="287"/>
      <c r="N10" s="287"/>
      <c r="O10" s="288"/>
      <c r="P10" s="281"/>
      <c r="Q10" s="290"/>
      <c r="R10" s="290"/>
    </row>
    <row r="11" spans="1:18" ht="26.25" customHeight="1">
      <c r="A11" s="293"/>
      <c r="B11" s="296"/>
      <c r="C11" s="313"/>
      <c r="D11" s="316"/>
      <c r="E11" s="298" t="s">
        <v>63</v>
      </c>
      <c r="F11" s="299"/>
      <c r="G11" s="89" t="s">
        <v>64</v>
      </c>
      <c r="H11" s="272" t="s">
        <v>7</v>
      </c>
      <c r="I11" s="278"/>
      <c r="J11" s="300" t="s">
        <v>65</v>
      </c>
      <c r="K11" s="302" t="s">
        <v>32</v>
      </c>
      <c r="L11" s="302" t="s">
        <v>66</v>
      </c>
      <c r="M11" s="302" t="s">
        <v>37</v>
      </c>
      <c r="N11" s="302" t="s">
        <v>67</v>
      </c>
      <c r="O11" s="272" t="s">
        <v>39</v>
      </c>
      <c r="P11" s="281"/>
      <c r="Q11" s="290"/>
      <c r="R11" s="290"/>
    </row>
    <row r="12" spans="1:18" ht="66.75" customHeight="1" thickBot="1">
      <c r="A12" s="294"/>
      <c r="B12" s="297"/>
      <c r="C12" s="314"/>
      <c r="D12" s="317"/>
      <c r="E12" s="63" t="s">
        <v>68</v>
      </c>
      <c r="F12" s="67" t="s">
        <v>21</v>
      </c>
      <c r="G12" s="82" t="s">
        <v>69</v>
      </c>
      <c r="H12" s="273"/>
      <c r="I12" s="279"/>
      <c r="J12" s="301"/>
      <c r="K12" s="303"/>
      <c r="L12" s="303"/>
      <c r="M12" s="303"/>
      <c r="N12" s="303"/>
      <c r="O12" s="273"/>
      <c r="P12" s="282"/>
      <c r="Q12" s="291"/>
      <c r="R12" s="291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3621.7</v>
      </c>
      <c r="C15" s="27">
        <f>B15*8.65</f>
        <v>31327.704999999998</v>
      </c>
      <c r="D15" s="28">
        <f>Лист1!D9</f>
        <v>7546.2175804</v>
      </c>
      <c r="E15" s="14">
        <f>Лист1!S9</f>
        <v>22280.370000000003</v>
      </c>
      <c r="F15" s="30">
        <f>Лист1!T9</f>
        <v>4206.19</v>
      </c>
      <c r="G15" s="29">
        <f>Лист1!AB9</f>
        <v>225.67000000000002</v>
      </c>
      <c r="H15" s="30">
        <f>Лист1!AC9</f>
        <v>11978.077580399999</v>
      </c>
      <c r="I15" s="87">
        <f>Лист1!AD9</f>
        <v>0</v>
      </c>
      <c r="J15" s="29">
        <f>Лист1!AG9</f>
        <v>2173.02</v>
      </c>
      <c r="K15" s="14">
        <f>Лист1!AI9+Лист1!AJ9</f>
        <v>3640.2457907999997</v>
      </c>
      <c r="L15" s="14">
        <f>Лист1!AH9+Лист1!AK9+Лист1!AL9+Лист1!AM9+Лист1!AN9+Лист1!AO9+Лист1!AP9</f>
        <v>12782.402990269997</v>
      </c>
      <c r="M15" s="31">
        <f>Лист1!AS9+Лист1!AU9</f>
        <v>9068.5596</v>
      </c>
      <c r="N15" s="31">
        <f>Лист1!AX9</f>
        <v>0</v>
      </c>
      <c r="O15" s="30">
        <f>Лист1!BB9</f>
        <v>27664.22838107</v>
      </c>
      <c r="P15" s="90">
        <f>Лист1!BC9</f>
        <v>0</v>
      </c>
      <c r="Q15" s="75">
        <f>Лист1!BD9</f>
        <v>-15686.15080067</v>
      </c>
      <c r="R15" s="75">
        <f>Лист1!BE9</f>
        <v>-22054.700000000004</v>
      </c>
    </row>
    <row r="16" spans="1:18" ht="12.75" hidden="1">
      <c r="A16" s="11" t="s">
        <v>42</v>
      </c>
      <c r="B16" s="84">
        <f>Лист1!B10</f>
        <v>3621.7</v>
      </c>
      <c r="C16" s="27">
        <f aca="true" t="shared" si="0" ref="C16:C31">B16*8.65</f>
        <v>31327.704999999998</v>
      </c>
      <c r="D16" s="28">
        <f>Лист1!D10</f>
        <v>7546.2175804</v>
      </c>
      <c r="E16" s="14">
        <f>Лист1!S10</f>
        <v>20310.71</v>
      </c>
      <c r="F16" s="30">
        <f>Лист1!T10</f>
        <v>3989.19</v>
      </c>
      <c r="G16" s="29">
        <f>Лист1!AB10</f>
        <v>17503.01</v>
      </c>
      <c r="H16" s="30">
        <f>Лист1!AC10</f>
        <v>29038.417580399997</v>
      </c>
      <c r="I16" s="87">
        <f>Лист1!AD10</f>
        <v>0</v>
      </c>
      <c r="J16" s="29">
        <f>Лист1!AG10</f>
        <v>2173.02</v>
      </c>
      <c r="K16" s="14">
        <f>Лист1!AI10+Лист1!AJ10</f>
        <v>3640.2457907999997</v>
      </c>
      <c r="L16" s="14">
        <f>Лист1!AH10+Лист1!AK10+Лист1!AL10+Лист1!AM10+Лист1!AN10+Лист1!AO10+Лист1!AP10</f>
        <v>12743.824641869998</v>
      </c>
      <c r="M16" s="31">
        <f>Лист1!AS10+Лист1!AU10</f>
        <v>3988.4</v>
      </c>
      <c r="N16" s="31">
        <f>Лист1!AX10</f>
        <v>0</v>
      </c>
      <c r="O16" s="30">
        <f>Лист1!BB10</f>
        <v>22545.49043267</v>
      </c>
      <c r="P16" s="90">
        <f>Лист1!BC10</f>
        <v>0</v>
      </c>
      <c r="Q16" s="75">
        <f>Лист1!BD10</f>
        <v>6492.927147729995</v>
      </c>
      <c r="R16" s="75">
        <f>Лист1!BE10</f>
        <v>-2807.7000000000007</v>
      </c>
    </row>
    <row r="17" spans="1:20" ht="13.5" hidden="1" thickBot="1">
      <c r="A17" s="32" t="s">
        <v>43</v>
      </c>
      <c r="B17" s="84">
        <f>Лист1!B11</f>
        <v>3621.7</v>
      </c>
      <c r="C17" s="33">
        <f t="shared" si="0"/>
        <v>31327.704999999998</v>
      </c>
      <c r="D17" s="28">
        <f>Лист1!D11</f>
        <v>7529.61389675</v>
      </c>
      <c r="E17" s="14">
        <f>Лист1!S11</f>
        <v>21552.85</v>
      </c>
      <c r="F17" s="30">
        <f>Лист1!T11</f>
        <v>4029.7200000000003</v>
      </c>
      <c r="G17" s="29">
        <f>Лист1!AB11</f>
        <v>22421.27</v>
      </c>
      <c r="H17" s="30">
        <f>Лист1!AC11</f>
        <v>33980.60389675</v>
      </c>
      <c r="I17" s="87">
        <f>Лист1!AD11</f>
        <v>0</v>
      </c>
      <c r="J17" s="29">
        <f>Лист1!AG11</f>
        <v>2173.02</v>
      </c>
      <c r="K17" s="14">
        <f>Лист1!AI11+Лист1!AJ11</f>
        <v>3629.65904792</v>
      </c>
      <c r="L17" s="14">
        <f>Лист1!AH11+Лист1!AK11+Лист1!AL11+Лист1!AM11+Лист1!AN11+Лист1!AO11+Лист1!AP11</f>
        <v>12723.563512040999</v>
      </c>
      <c r="M17" s="31">
        <f>Лист1!AS11+Лист1!AU11</f>
        <v>6714.2</v>
      </c>
      <c r="N17" s="31">
        <f>Лист1!AX11</f>
        <v>0</v>
      </c>
      <c r="O17" s="30">
        <f>Лист1!BB11</f>
        <v>25240.442559961</v>
      </c>
      <c r="P17" s="90">
        <f>Лист1!BC11</f>
        <v>0</v>
      </c>
      <c r="Q17" s="75">
        <f>Лист1!BD11</f>
        <v>8740.161336788999</v>
      </c>
      <c r="R17" s="75">
        <f>Лист1!BE11</f>
        <v>868.4200000000019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93983.11499999999</v>
      </c>
      <c r="D18" s="68">
        <f aca="true" t="shared" si="1" ref="D18:J18">SUM(D15:D17)</f>
        <v>22622.04905755</v>
      </c>
      <c r="E18" s="36">
        <f t="shared" si="1"/>
        <v>64143.93</v>
      </c>
      <c r="F18" s="69">
        <f t="shared" si="1"/>
        <v>12225.099999999999</v>
      </c>
      <c r="G18" s="68">
        <f t="shared" si="1"/>
        <v>40149.95</v>
      </c>
      <c r="H18" s="69">
        <f t="shared" si="1"/>
        <v>74997.09905754999</v>
      </c>
      <c r="I18" s="69">
        <f t="shared" si="1"/>
        <v>0</v>
      </c>
      <c r="J18" s="68">
        <f t="shared" si="1"/>
        <v>6519.0599999999995</v>
      </c>
      <c r="K18" s="36">
        <f aca="true" t="shared" si="2" ref="K18:R18">SUM(K15:K17)</f>
        <v>10910.15062952</v>
      </c>
      <c r="L18" s="36">
        <f t="shared" si="2"/>
        <v>38249.79114418099</v>
      </c>
      <c r="M18" s="36">
        <f t="shared" si="2"/>
        <v>19771.1596</v>
      </c>
      <c r="N18" s="36">
        <f t="shared" si="2"/>
        <v>0</v>
      </c>
      <c r="O18" s="69">
        <f t="shared" si="2"/>
        <v>75450.161373701</v>
      </c>
      <c r="P18" s="69">
        <f t="shared" si="2"/>
        <v>0</v>
      </c>
      <c r="Q18" s="76">
        <f t="shared" si="2"/>
        <v>-453.0623161510066</v>
      </c>
      <c r="R18" s="76">
        <f t="shared" si="2"/>
        <v>-23993.980000000003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3621.7</v>
      </c>
      <c r="C20" s="27">
        <f t="shared" si="0"/>
        <v>31327.704999999998</v>
      </c>
      <c r="D20" s="28">
        <f>Лист1!D14</f>
        <v>3915.9631249999998</v>
      </c>
      <c r="E20" s="14">
        <f>Лист1!S14</f>
        <v>21760.63</v>
      </c>
      <c r="F20" s="30">
        <f>Лист1!T14</f>
        <v>4057.6800000000003</v>
      </c>
      <c r="G20" s="29">
        <f>Лист1!AB14</f>
        <v>17058.89</v>
      </c>
      <c r="H20" s="30">
        <f>Лист1!AC14</f>
        <v>25032.533125</v>
      </c>
      <c r="I20" s="87">
        <f>Лист1!AF14</f>
        <v>0</v>
      </c>
      <c r="J20" s="29">
        <f>Лист1!AG14</f>
        <v>1955.718</v>
      </c>
      <c r="K20" s="14">
        <f>Лист1!AI14+Лист1!AJ14</f>
        <v>3149.4103416999997</v>
      </c>
      <c r="L20" s="14">
        <f>Лист1!AH14+Лист1!AK14+Лист1!AL14+Лист1!AM14+Лист1!AN14+Лист1!AO14+Лист1!AP14+Лист1!AQ14+Лист1!AR14</f>
        <v>10816.060660885998</v>
      </c>
      <c r="M20" s="31">
        <f>Лист1!AS14+Лист1!AT14+Лист1!AU14+Лист1!AZ14+Лист1!BA14</f>
        <v>0</v>
      </c>
      <c r="N20" s="31">
        <f>Лист1!AX14</f>
        <v>4694.3232</v>
      </c>
      <c r="O20" s="30">
        <f>Лист1!BB14</f>
        <v>15921.189002586</v>
      </c>
      <c r="P20" s="90">
        <f>Лист1!BC14</f>
        <v>0</v>
      </c>
      <c r="Q20" s="75">
        <f>Лист1!BD14</f>
        <v>9111.344122414002</v>
      </c>
      <c r="R20" s="75">
        <f>Лист1!BE14</f>
        <v>-4701.740000000002</v>
      </c>
      <c r="S20" s="1"/>
      <c r="T20" s="1"/>
    </row>
    <row r="21" spans="1:20" ht="12.75" hidden="1">
      <c r="A21" s="11" t="s">
        <v>46</v>
      </c>
      <c r="B21" s="84">
        <f>Лист1!B15</f>
        <v>3621.5</v>
      </c>
      <c r="C21" s="27">
        <f t="shared" si="0"/>
        <v>31325.975000000002</v>
      </c>
      <c r="D21" s="28">
        <f>Лист1!D15</f>
        <v>3915.7468750000003</v>
      </c>
      <c r="E21" s="14">
        <f>Лист1!S15</f>
        <v>21445.760000000002</v>
      </c>
      <c r="F21" s="30">
        <f>Лист1!T15</f>
        <v>4104.43</v>
      </c>
      <c r="G21" s="29">
        <f>Лист1!AB15</f>
        <v>19500.489999999998</v>
      </c>
      <c r="H21" s="30">
        <f>Лист1!AC15</f>
        <v>27520.666875</v>
      </c>
      <c r="I21" s="87">
        <f>Лист1!AF15</f>
        <v>0</v>
      </c>
      <c r="J21" s="29">
        <f>Лист1!AG15</f>
        <v>1955.6100000000001</v>
      </c>
      <c r="K21" s="14">
        <f>Лист1!AI15+Лист1!AJ15</f>
        <v>3149.2600215</v>
      </c>
      <c r="L21" s="14">
        <f>Лист1!AH15+Лист1!AK15+Лист1!AL15+Лист1!AM15+Лист1!AN15+Лист1!AO15+Лист1!AP15+Лист1!AQ15+Лист1!AR15</f>
        <v>10831.076741919998</v>
      </c>
      <c r="M21" s="31">
        <f>Лист1!AS15+Лист1!AT15+Лист1!AU15+Лист1!AZ15+Лист1!BA15</f>
        <v>1569.4</v>
      </c>
      <c r="N21" s="31">
        <f>Лист1!AX15</f>
        <v>3326.4672000000005</v>
      </c>
      <c r="O21" s="30">
        <f>Лист1!BB15</f>
        <v>17505.346763420002</v>
      </c>
      <c r="P21" s="90">
        <f>Лист1!BC15</f>
        <v>0</v>
      </c>
      <c r="Q21" s="75">
        <f>Лист1!BD15</f>
        <v>10015.320111579997</v>
      </c>
      <c r="R21" s="75">
        <f>Лист1!BE15</f>
        <v>-1945.270000000004</v>
      </c>
      <c r="S21" s="1"/>
      <c r="T21" s="1"/>
    </row>
    <row r="22" spans="1:20" ht="12.75" hidden="1">
      <c r="A22" s="11" t="s">
        <v>47</v>
      </c>
      <c r="B22" s="84">
        <f>Лист1!B16</f>
        <v>3621.5</v>
      </c>
      <c r="C22" s="27">
        <f t="shared" si="0"/>
        <v>31325.975000000002</v>
      </c>
      <c r="D22" s="28">
        <f>Лист1!D16</f>
        <v>3915.7468750000003</v>
      </c>
      <c r="E22" s="14">
        <f>Лист1!S16</f>
        <v>21677.079999999998</v>
      </c>
      <c r="F22" s="30">
        <f>Лист1!T16</f>
        <v>4104.43</v>
      </c>
      <c r="G22" s="29">
        <f>Лист1!AB16</f>
        <v>23444.940000000002</v>
      </c>
      <c r="H22" s="30">
        <f>Лист1!AC16</f>
        <v>31465.116875000003</v>
      </c>
      <c r="I22" s="87">
        <f>Лист1!AF16</f>
        <v>0</v>
      </c>
      <c r="J22" s="29">
        <f>Лист1!AG16</f>
        <v>1955.6100000000001</v>
      </c>
      <c r="K22" s="14">
        <f>Лист1!AI16+Лист1!AJ16</f>
        <v>3151.0762037500003</v>
      </c>
      <c r="L22" s="14">
        <f>Лист1!AH16+Лист1!AK16+Лист1!AL16+Лист1!AM16+Лист1!AN16+Лист1!AO16+Лист1!AP16+Лист1!AQ16+Лист1!AR16</f>
        <v>10470.79579807</v>
      </c>
      <c r="M22" s="31">
        <f>Лист1!AS16+Лист1!AT16+Лист1!AU16+Лист1!AZ16+Лист1!BA16</f>
        <v>18430.42</v>
      </c>
      <c r="N22" s="31">
        <f>Лист1!AX16</f>
        <v>2460.8192</v>
      </c>
      <c r="O22" s="30">
        <f>Лист1!BB16</f>
        <v>34007.902001819995</v>
      </c>
      <c r="P22" s="90">
        <f>Лист1!BC16</f>
        <v>0</v>
      </c>
      <c r="Q22" s="75">
        <f>Лист1!BD16</f>
        <v>-2542.785126819992</v>
      </c>
      <c r="R22" s="75">
        <f>Лист1!BE16</f>
        <v>1767.8600000000042</v>
      </c>
      <c r="S22" s="1"/>
      <c r="T22" s="1"/>
    </row>
    <row r="23" spans="1:20" ht="12.75" hidden="1">
      <c r="A23" s="11" t="s">
        <v>48</v>
      </c>
      <c r="B23" s="84">
        <f>Лист1!B17</f>
        <v>3621.5</v>
      </c>
      <c r="C23" s="27">
        <f t="shared" si="0"/>
        <v>31325.975000000002</v>
      </c>
      <c r="D23" s="28">
        <f>Лист1!D17</f>
        <v>3915.7468750000003</v>
      </c>
      <c r="E23" s="14">
        <f>Лист1!S17</f>
        <v>21195.559999999998</v>
      </c>
      <c r="F23" s="30">
        <f>Лист1!T17</f>
        <v>4417.719999999999</v>
      </c>
      <c r="G23" s="29">
        <f>Лист1!AB17</f>
        <v>21245.219999999998</v>
      </c>
      <c r="H23" s="30">
        <f>Лист1!AC17</f>
        <v>29578.686875</v>
      </c>
      <c r="I23" s="87">
        <f>Лист1!AF17</f>
        <v>0</v>
      </c>
      <c r="J23" s="29">
        <f>Лист1!AG17</f>
        <v>1955.6100000000001</v>
      </c>
      <c r="K23" s="14">
        <f>Лист1!AI17+Лист1!AJ17</f>
        <v>3245.1544443000003</v>
      </c>
      <c r="L23" s="14">
        <f>Лист1!AH17+Лист1!AK17+Лист1!AL17+Лист1!AM17+Лист1!AN17+Лист1!AO17+Лист1!AP17+Лист1!AQ17+Лист1!AR17</f>
        <v>10619.15554324</v>
      </c>
      <c r="M23" s="31">
        <f>Лист1!AS17+Лист1!AT17+Лист1!AU17+Лист1!AZ17+Лист1!BA17</f>
        <v>7442.1302000000005</v>
      </c>
      <c r="N23" s="31">
        <f>Лист1!AX17</f>
        <v>3737.4848</v>
      </c>
      <c r="O23" s="30">
        <f>Лист1!BB17</f>
        <v>37481.144587539995</v>
      </c>
      <c r="P23" s="90">
        <f>Лист1!BC17</f>
        <v>0</v>
      </c>
      <c r="Q23" s="75">
        <f>Лист1!BD17</f>
        <v>-7902.457712539996</v>
      </c>
      <c r="R23" s="75">
        <f>Лист1!BE17</f>
        <v>49.659999999999854</v>
      </c>
      <c r="S23" s="1"/>
      <c r="T23" s="1"/>
    </row>
    <row r="24" spans="1:20" ht="12.75" hidden="1">
      <c r="A24" s="11" t="s">
        <v>49</v>
      </c>
      <c r="B24" s="84">
        <f>Лист1!B18</f>
        <v>3621.5</v>
      </c>
      <c r="C24" s="27">
        <f t="shared" si="0"/>
        <v>31325.975000000002</v>
      </c>
      <c r="D24" s="28">
        <f>Лист1!D18</f>
        <v>3003.815000000004</v>
      </c>
      <c r="E24" s="14">
        <f>Лист1!S18</f>
        <v>23402.1</v>
      </c>
      <c r="F24" s="30">
        <f>Лист1!T18</f>
        <v>4920.06</v>
      </c>
      <c r="G24" s="29">
        <f>Лист1!AB18</f>
        <v>21248.960000000003</v>
      </c>
      <c r="H24" s="30">
        <f>Лист1!AC18</f>
        <v>29172.835000000006</v>
      </c>
      <c r="I24" s="87">
        <f>Лист1!AF18</f>
        <v>0</v>
      </c>
      <c r="J24" s="29">
        <f>Лист1!AG18</f>
        <v>2172.9</v>
      </c>
      <c r="K24" s="14">
        <f>Лист1!AI18+Лист1!AJ18</f>
        <v>3632.3645</v>
      </c>
      <c r="L24" s="14">
        <f>Лист1!AH18+Лист1!AK18+Лист1!AL18+Лист1!AM18+Лист1!AN18+Лист1!AO18+Лист1!AP18+Лист1!AQ18+Лист1!AR18</f>
        <v>12440.576799999999</v>
      </c>
      <c r="M24" s="31">
        <f>Лист1!AS18+Лист1!AT18+Лист1!AU18+Лист1!AZ18+Лист1!BA18</f>
        <v>10286.1662</v>
      </c>
      <c r="N24" s="31">
        <f>Лист1!AX18</f>
        <v>2100.0224</v>
      </c>
      <c r="O24" s="30">
        <f>Лист1!BB18</f>
        <v>30632.0299</v>
      </c>
      <c r="P24" s="90">
        <f>Лист1!BC18</f>
        <v>0</v>
      </c>
      <c r="Q24" s="75">
        <f>Лист1!BD18</f>
        <v>-1459.194899999995</v>
      </c>
      <c r="R24" s="75">
        <f>Лист1!BE18</f>
        <v>-2153.139999999996</v>
      </c>
      <c r="S24" s="1"/>
      <c r="T24" s="1"/>
    </row>
    <row r="25" spans="1:20" ht="12.75" hidden="1">
      <c r="A25" s="11" t="s">
        <v>50</v>
      </c>
      <c r="B25" s="84">
        <f>Лист1!B19</f>
        <v>3621.5</v>
      </c>
      <c r="C25" s="27">
        <f t="shared" si="0"/>
        <v>31325.975000000002</v>
      </c>
      <c r="D25" s="28">
        <f>Лист1!D19</f>
        <v>3015.355000000002</v>
      </c>
      <c r="E25" s="14">
        <f>Лист1!S19</f>
        <v>23390.559999999998</v>
      </c>
      <c r="F25" s="30">
        <f>Лист1!T19</f>
        <v>4920.0599999999995</v>
      </c>
      <c r="G25" s="29">
        <f>Лист1!AB19</f>
        <v>24875.530000000002</v>
      </c>
      <c r="H25" s="30">
        <f>Лист1!AC19</f>
        <v>32810.94500000001</v>
      </c>
      <c r="I25" s="87">
        <f>Лист1!AF19</f>
        <v>0</v>
      </c>
      <c r="J25" s="29">
        <f>Лист1!AG19</f>
        <v>2172.9</v>
      </c>
      <c r="K25" s="14">
        <f>Лист1!AI19+Лист1!AJ19</f>
        <v>3632.3645</v>
      </c>
      <c r="L25" s="14">
        <f>Лист1!AH19+Лист1!AK19+Лист1!AL19+Лист1!AM19+Лист1!AN19+Лист1!AO19+Лист1!AP19+Лист1!AQ19+Лист1!AR19</f>
        <v>12440.902735</v>
      </c>
      <c r="M25" s="31">
        <f>Лист1!AS19+Лист1!AT19+Лист1!AU19+Лист1!AZ19+Лист1!BA19</f>
        <v>38605.0216</v>
      </c>
      <c r="N25" s="31">
        <f>Лист1!AX19</f>
        <v>1451.1168000000002</v>
      </c>
      <c r="O25" s="30">
        <f>Лист1!BB19</f>
        <v>58302.305635</v>
      </c>
      <c r="P25" s="90">
        <f>Лист1!BC19</f>
        <v>0</v>
      </c>
      <c r="Q25" s="75">
        <f>Лист1!BD19</f>
        <v>-25491.36063499999</v>
      </c>
      <c r="R25" s="75">
        <f>Лист1!BE19</f>
        <v>1484.9700000000048</v>
      </c>
      <c r="S25" s="1"/>
      <c r="T25" s="1"/>
    </row>
    <row r="26" spans="1:20" ht="12.75" hidden="1">
      <c r="A26" s="11" t="s">
        <v>51</v>
      </c>
      <c r="B26" s="84">
        <f>Лист1!B20</f>
        <v>3621.5</v>
      </c>
      <c r="C26" s="27">
        <f t="shared" si="0"/>
        <v>31325.975000000002</v>
      </c>
      <c r="D26" s="28">
        <f>Лист1!D20</f>
        <v>2942.3950000000036</v>
      </c>
      <c r="E26" s="14">
        <f>Лист1!S20</f>
        <v>23463.52</v>
      </c>
      <c r="F26" s="30">
        <f>Лист1!T20</f>
        <v>4920.06</v>
      </c>
      <c r="G26" s="29">
        <f>Лист1!AB20</f>
        <v>24430.1</v>
      </c>
      <c r="H26" s="30">
        <f>Лист1!AC20</f>
        <v>32292.555</v>
      </c>
      <c r="I26" s="87">
        <f>Лист1!AF20</f>
        <v>436.13626</v>
      </c>
      <c r="J26" s="29">
        <f>Лист1!AG20</f>
        <v>2172.9</v>
      </c>
      <c r="K26" s="14">
        <f>Лист1!AI20+Лист1!AJ20</f>
        <v>3580.42168765</v>
      </c>
      <c r="L26" s="14">
        <f>Лист1!AH20+Лист1!AK20+Лист1!AL20+Лист1!AM20+Лист1!AN20+Лист1!AO20+Лист1!AP20+Лист1!AQ20+Лист1!AR20</f>
        <v>12317.124283229998</v>
      </c>
      <c r="M26" s="31">
        <f>Лист1!AS20+Лист1!AT20+Лист1!AU20+Лист1!AZ20+Лист1!BA20</f>
        <v>2855.4701999999997</v>
      </c>
      <c r="N26" s="31">
        <f>Лист1!AX20</f>
        <v>1157.7216</v>
      </c>
      <c r="O26" s="30">
        <f>Лист1!BB20</f>
        <v>22083.63777088</v>
      </c>
      <c r="P26" s="90">
        <f>Лист1!BC20</f>
        <v>206.10027122000002</v>
      </c>
      <c r="Q26" s="75">
        <f>Лист1!BD20</f>
        <v>10438.9532179</v>
      </c>
      <c r="R26" s="75">
        <f>Лист1!BE20</f>
        <v>966.5799999999981</v>
      </c>
      <c r="S26" s="1"/>
      <c r="T26" s="1"/>
    </row>
    <row r="27" spans="1:20" ht="12.75" hidden="1">
      <c r="A27" s="11" t="s">
        <v>52</v>
      </c>
      <c r="B27" s="84">
        <f>Лист1!B21</f>
        <v>3621.5</v>
      </c>
      <c r="C27" s="27">
        <f t="shared" si="0"/>
        <v>31325.975000000002</v>
      </c>
      <c r="D27" s="28">
        <f>Лист1!D21</f>
        <v>2968.044999999999</v>
      </c>
      <c r="E27" s="14">
        <f>Лист1!S21</f>
        <v>23320.21</v>
      </c>
      <c r="F27" s="30">
        <f>Лист1!T21</f>
        <v>5037.72</v>
      </c>
      <c r="G27" s="29">
        <f>Лист1!AB21</f>
        <v>19148.02</v>
      </c>
      <c r="H27" s="30">
        <f>Лист1!AC21</f>
        <v>27153.785</v>
      </c>
      <c r="I27" s="87">
        <f>Лист1!AF21</f>
        <v>436.13626</v>
      </c>
      <c r="J27" s="29">
        <f>Лист1!AG21</f>
        <v>2172.9</v>
      </c>
      <c r="K27" s="14">
        <f>Лист1!AI21+Лист1!AJ21</f>
        <v>3578.82344727</v>
      </c>
      <c r="L27" s="14">
        <f>Лист1!AH21+Лист1!AK21+Лист1!AL21+Лист1!AM21+Лист1!AN21+Лист1!AO21+Лист1!AP21+Лист1!AQ21+Лист1!AR21</f>
        <v>28923.106487</v>
      </c>
      <c r="M27" s="31">
        <f>Лист1!AS21+Лист1!AT21+Лист1!AU21+Лист1!AZ21+Лист1!BA21</f>
        <v>39894.1716</v>
      </c>
      <c r="N27" s="31">
        <f>Лист1!AX21</f>
        <v>1129.968</v>
      </c>
      <c r="O27" s="30">
        <f>Лист1!BB21</f>
        <v>75698.96953427</v>
      </c>
      <c r="P27" s="90">
        <f>Лист1!BC21</f>
        <v>206.00662606600002</v>
      </c>
      <c r="Q27" s="75">
        <f>Лист1!BD21</f>
        <v>-48315.054900336</v>
      </c>
      <c r="R27" s="75">
        <f>Лист1!BE21</f>
        <v>-4172.189999999999</v>
      </c>
      <c r="S27" s="1"/>
      <c r="T27" s="1"/>
    </row>
    <row r="28" spans="1:20" ht="12.75" hidden="1">
      <c r="A28" s="11" t="s">
        <v>53</v>
      </c>
      <c r="B28" s="84">
        <f>Лист1!B22</f>
        <v>3621.5</v>
      </c>
      <c r="C28" s="27">
        <f t="shared" si="0"/>
        <v>31325.975000000002</v>
      </c>
      <c r="D28" s="28">
        <f>Лист1!D22</f>
        <v>2970.775000000001</v>
      </c>
      <c r="E28" s="14">
        <f>Лист1!S22</f>
        <v>23304.89</v>
      </c>
      <c r="F28" s="30">
        <f>Лист1!T22</f>
        <v>5050.3099999999995</v>
      </c>
      <c r="G28" s="29">
        <f>Лист1!AB22</f>
        <v>24266.42</v>
      </c>
      <c r="H28" s="30">
        <f>Лист1!AC22</f>
        <v>32287.504999999997</v>
      </c>
      <c r="I28" s="87">
        <f>Лист1!AF22</f>
        <v>436.13626</v>
      </c>
      <c r="J28" s="29">
        <f>Лист1!AG22</f>
        <v>2172.9</v>
      </c>
      <c r="K28" s="14">
        <f>Лист1!AI22+Лист1!AJ22</f>
        <v>3578.2059453050006</v>
      </c>
      <c r="L28" s="14">
        <f>Лист1!AH22+Лист1!AK22+Лист1!AL22+Лист1!AM22+Лист1!AN22+Лист1!AO22+Лист1!AP22+Лист1!AQ22+Лист1!AR22</f>
        <v>12313.719834211</v>
      </c>
      <c r="M28" s="31">
        <f>Лист1!AS22+Лист1!AT22+Лист1!AU22+Лист1!AZ22+Лист1!BA22</f>
        <v>0</v>
      </c>
      <c r="N28" s="31">
        <f>Лист1!AX22</f>
        <v>1540.9856</v>
      </c>
      <c r="O28" s="30">
        <f>Лист1!BB22</f>
        <v>19605.811379516002</v>
      </c>
      <c r="P28" s="90">
        <f>Лист1!BC22</f>
        <v>205.97546879140003</v>
      </c>
      <c r="Q28" s="75">
        <f>Лист1!BD22</f>
        <v>12911.854411692595</v>
      </c>
      <c r="R28" s="75">
        <f>Лист1!BE22</f>
        <v>961.5299999999988</v>
      </c>
      <c r="S28" s="1"/>
      <c r="T28" s="1"/>
    </row>
    <row r="29" spans="1:20" ht="12.75" hidden="1">
      <c r="A29" s="11" t="s">
        <v>41</v>
      </c>
      <c r="B29" s="84">
        <f>Лист1!B23</f>
        <v>3621.5</v>
      </c>
      <c r="C29" s="27">
        <f>B29*8.65</f>
        <v>31325.975000000002</v>
      </c>
      <c r="D29" s="28">
        <f>Лист1!D23</f>
        <v>2970.7849999999994</v>
      </c>
      <c r="E29" s="14">
        <f>Лист1!S23</f>
        <v>23304.88</v>
      </c>
      <c r="F29" s="30">
        <f>Лист1!T23</f>
        <v>5050.3099999999995</v>
      </c>
      <c r="G29" s="29">
        <f>Лист1!AB23</f>
        <v>24776.82</v>
      </c>
      <c r="H29" s="30">
        <f>Лист1!AC23</f>
        <v>32797.91499999999</v>
      </c>
      <c r="I29" s="87">
        <f>Лист1!AF23</f>
        <v>436.13626</v>
      </c>
      <c r="J29" s="29">
        <f>Лист1!AG23</f>
        <v>2172.9</v>
      </c>
      <c r="K29" s="14">
        <f>Лист1!AI23+Лист1!AJ23</f>
        <v>3619.54439</v>
      </c>
      <c r="L29" s="14">
        <f>Лист1!AH23+Лист1!AK23+Лист1!AL23+Лист1!AM23+Лист1!AN23+Лист1!AO23+Лист1!AP23+Лист1!AQ23+Лист1!AR23</f>
        <v>12419.572100000001</v>
      </c>
      <c r="M29" s="31">
        <f>Лист1!AS23+Лист1!AT23+Лист1!AU23+Лист1!AZ23+Лист1!BA23</f>
        <v>34283.7672</v>
      </c>
      <c r="N29" s="31">
        <f>Лист1!AX23</f>
        <v>1576.6688</v>
      </c>
      <c r="O29" s="30">
        <f>Лист1!BB23</f>
        <v>54072.45249</v>
      </c>
      <c r="P29" s="90">
        <f>Лист1!BC23</f>
        <v>207.585962</v>
      </c>
      <c r="Q29" s="75">
        <f>Лист1!BD23</f>
        <v>-21045.98719200001</v>
      </c>
      <c r="R29" s="75">
        <f>Лист1!BE23</f>
        <v>1471.9399999999987</v>
      </c>
      <c r="S29" s="1"/>
      <c r="T29" s="1"/>
    </row>
    <row r="30" spans="1:20" ht="12.75" hidden="1">
      <c r="A30" s="11" t="s">
        <v>42</v>
      </c>
      <c r="B30" s="84">
        <f>Лист1!B24</f>
        <v>3621.5</v>
      </c>
      <c r="C30" s="27">
        <f t="shared" si="0"/>
        <v>31325.975000000002</v>
      </c>
      <c r="D30" s="28">
        <f>Лист1!D24</f>
        <v>2976.4050000000007</v>
      </c>
      <c r="E30" s="14">
        <f>Лист1!S24</f>
        <v>23299.260000000002</v>
      </c>
      <c r="F30" s="30">
        <f>Лист1!T24</f>
        <v>5050.3099999999995</v>
      </c>
      <c r="G30" s="29">
        <f>Лист1!AB24</f>
        <v>25804.5</v>
      </c>
      <c r="H30" s="30">
        <f>Лист1!AC24</f>
        <v>33831.215</v>
      </c>
      <c r="I30" s="87">
        <f>Лист1!AF24</f>
        <v>436.13626</v>
      </c>
      <c r="J30" s="29">
        <f>Лист1!AG24</f>
        <v>2172.9</v>
      </c>
      <c r="K30" s="14">
        <f>Лист1!AI24+Лист1!AJ24</f>
        <v>3632.3645</v>
      </c>
      <c r="L30" s="14">
        <f>Лист1!AH24+Лист1!AK24+Лист1!AL24+Лист1!AM24+Лист1!AN24+Лист1!AO24+Лист1!AP24+Лист1!AQ24+Лист1!AR24</f>
        <v>12433.3338</v>
      </c>
      <c r="M30" s="31">
        <f>Лист1!AS24+Лист1!AT24+Лист1!AU24+Лист1!AZ24+Лист1!BA24</f>
        <v>0</v>
      </c>
      <c r="N30" s="31">
        <f>Лист1!AX24</f>
        <v>2261.2576</v>
      </c>
      <c r="O30" s="30">
        <f>Лист1!BB24</f>
        <v>20499.855900000002</v>
      </c>
      <c r="P30" s="90">
        <f>Лист1!BC24</f>
        <v>207.87714000000003</v>
      </c>
      <c r="Q30" s="75">
        <f>Лист1!BD24</f>
        <v>13559.618219999993</v>
      </c>
      <c r="R30" s="75">
        <f>Лист1!BE24</f>
        <v>2505.239999999998</v>
      </c>
      <c r="S30" s="1"/>
      <c r="T30" s="1"/>
    </row>
    <row r="31" spans="1:20" ht="13.5" hidden="1" thickBot="1">
      <c r="A31" s="32" t="s">
        <v>43</v>
      </c>
      <c r="B31" s="84">
        <f>Лист1!B25</f>
        <v>3621.5</v>
      </c>
      <c r="C31" s="33">
        <f t="shared" si="0"/>
        <v>31325.975000000002</v>
      </c>
      <c r="D31" s="28">
        <f>Лист1!D25</f>
        <v>4115.465000000002</v>
      </c>
      <c r="E31" s="14">
        <f>Лист1!S25</f>
        <v>22160.199999999997</v>
      </c>
      <c r="F31" s="30">
        <f>Лист1!T25</f>
        <v>5050.3099999999995</v>
      </c>
      <c r="G31" s="29">
        <f>Лист1!AB25</f>
        <v>27792.66</v>
      </c>
      <c r="H31" s="30">
        <f>Лист1!AC25</f>
        <v>36958.435</v>
      </c>
      <c r="I31" s="87">
        <f>Лист1!AF25</f>
        <v>436.13626</v>
      </c>
      <c r="J31" s="29">
        <f>Лист1!AG25</f>
        <v>2172.9</v>
      </c>
      <c r="K31" s="14">
        <f>Лист1!AI25+Лист1!AJ25</f>
        <v>3632.3645</v>
      </c>
      <c r="L31" s="14">
        <f>Лист1!AH25+Лист1!AK25+Лист1!AL25+Лист1!AM25+Лист1!AN25+Лист1!AO25+Лист1!AP25+Лист1!AQ25+Лист1!AR25</f>
        <v>12433.3338</v>
      </c>
      <c r="M31" s="31">
        <f>Лист1!AS25+Лист1!AT25+Лист1!AU25+Лист1!AZ25+Лист1!BA25</f>
        <v>35498.6008</v>
      </c>
      <c r="N31" s="31">
        <f>Лист1!AX25</f>
        <v>3134.8352000000004</v>
      </c>
      <c r="O31" s="30">
        <f>Лист1!BB25</f>
        <v>56872.0343</v>
      </c>
      <c r="P31" s="90">
        <f>Лист1!BC25</f>
        <v>207.87714000000003</v>
      </c>
      <c r="Q31" s="75">
        <f>Лист1!BD25</f>
        <v>-19685.340180000003</v>
      </c>
      <c r="R31" s="75">
        <f>Лист1!BE25</f>
        <v>5632.460000000003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375913.42999999993</v>
      </c>
      <c r="D32" s="68">
        <f t="shared" si="3"/>
        <v>40626.24375000001</v>
      </c>
      <c r="E32" s="36">
        <f t="shared" si="3"/>
        <v>271724.65</v>
      </c>
      <c r="F32" s="69">
        <f t="shared" si="3"/>
        <v>56683.399999999994</v>
      </c>
      <c r="G32" s="68">
        <f t="shared" si="3"/>
        <v>273592.55</v>
      </c>
      <c r="H32" s="69">
        <f t="shared" si="3"/>
        <v>370902.1937499999</v>
      </c>
      <c r="I32" s="69">
        <f t="shared" si="3"/>
        <v>2616.8175600000004</v>
      </c>
      <c r="J32" s="68">
        <f t="shared" si="3"/>
        <v>25205.748000000007</v>
      </c>
      <c r="K32" s="36">
        <f t="shared" si="3"/>
        <v>41581.354481475006</v>
      </c>
      <c r="L32" s="36">
        <f t="shared" si="3"/>
        <v>158458.75858355698</v>
      </c>
      <c r="M32" s="36">
        <f>SUM(M20:M31)</f>
        <v>188865.14780000004</v>
      </c>
      <c r="N32" s="36">
        <f t="shared" si="3"/>
        <v>28571.670400000003</v>
      </c>
      <c r="O32" s="69">
        <f t="shared" si="3"/>
        <v>442682.679265032</v>
      </c>
      <c r="P32" s="69">
        <f t="shared" si="3"/>
        <v>1241.4226080774001</v>
      </c>
      <c r="Q32" s="76">
        <f>SUM(Q20:Q31)</f>
        <v>-70405.0905631094</v>
      </c>
      <c r="R32" s="76">
        <f t="shared" si="3"/>
        <v>1867.900000000005</v>
      </c>
      <c r="S32" s="72"/>
      <c r="T32" s="72"/>
    </row>
    <row r="33" spans="1:20" ht="13.5" thickBot="1">
      <c r="A33" s="274" t="s">
        <v>94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469896.5449999999</v>
      </c>
      <c r="D34" s="37">
        <f aca="true" t="shared" si="4" ref="D34:R34">D18+D32</f>
        <v>63248.29280755001</v>
      </c>
      <c r="E34" s="38">
        <f t="shared" si="4"/>
        <v>335868.58</v>
      </c>
      <c r="F34" s="39">
        <f t="shared" si="4"/>
        <v>68908.5</v>
      </c>
      <c r="G34" s="37">
        <f t="shared" si="4"/>
        <v>313742.5</v>
      </c>
      <c r="H34" s="39">
        <f t="shared" si="4"/>
        <v>445899.29280754994</v>
      </c>
      <c r="I34" s="39">
        <f t="shared" si="4"/>
        <v>2616.8175600000004</v>
      </c>
      <c r="J34" s="37">
        <f t="shared" si="4"/>
        <v>31724.808000000005</v>
      </c>
      <c r="K34" s="38">
        <f t="shared" si="4"/>
        <v>52491.50511099501</v>
      </c>
      <c r="L34" s="38">
        <f t="shared" si="4"/>
        <v>196708.54972773796</v>
      </c>
      <c r="M34" s="38">
        <f t="shared" si="4"/>
        <v>208636.30740000005</v>
      </c>
      <c r="N34" s="38">
        <f t="shared" si="4"/>
        <v>28571.670400000003</v>
      </c>
      <c r="O34" s="79">
        <f t="shared" si="4"/>
        <v>518132.840638733</v>
      </c>
      <c r="P34" s="79">
        <f>P18+P32</f>
        <v>1241.4226080774001</v>
      </c>
      <c r="Q34" s="78">
        <f>Q18+Q32</f>
        <v>-70858.15287926041</v>
      </c>
      <c r="R34" s="78">
        <f t="shared" si="4"/>
        <v>-22126.079999999998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3621.5</v>
      </c>
      <c r="C36" s="27">
        <f aca="true" t="shared" si="5" ref="C36:C47">B36*8.65</f>
        <v>31325.975000000002</v>
      </c>
      <c r="D36" s="28">
        <f>Лист1!D30</f>
        <v>2978.4350000000045</v>
      </c>
      <c r="E36" s="14">
        <f>Лист1!S30</f>
        <v>23297.23</v>
      </c>
      <c r="F36" s="30">
        <f>Лист1!T30</f>
        <v>5050.3099999999995</v>
      </c>
      <c r="G36" s="29">
        <f>Лист1!AB30</f>
        <v>17048.38</v>
      </c>
      <c r="H36" s="30">
        <f>Лист1!AC30</f>
        <v>25077.125000000007</v>
      </c>
      <c r="I36" s="87">
        <f>Лист1!AF30</f>
        <v>436.13626</v>
      </c>
      <c r="J36" s="29">
        <f>Лист1!AG30</f>
        <v>2172.9</v>
      </c>
      <c r="K36" s="14">
        <f>Лист1!AI30+Лист1!AJ30</f>
        <v>3621.5</v>
      </c>
      <c r="L36" s="14">
        <f>Лист1!AH30+Лист1!AK30+Лист1!AL30+Лист1!AM30+Лист1!AN30+Лист1!AO30+Лист1!AP30+Лист1!AQ30+Лист1!AR30</f>
        <v>12421.744999999999</v>
      </c>
      <c r="M36" s="31">
        <f>Лист1!AS30+Лист1!AT30+Лист1!AU30+Лист1!AZ30+Лист1!BA30</f>
        <v>0</v>
      </c>
      <c r="N36" s="31">
        <f>Лист1!AX30</f>
        <v>3309.6</v>
      </c>
      <c r="O36" s="30">
        <f>Лист1!BB30</f>
        <v>21525.745</v>
      </c>
      <c r="P36" s="90">
        <f>Лист1!BC30</f>
        <v>207.631</v>
      </c>
      <c r="Q36" s="75">
        <f>Лист1!BD30</f>
        <v>3779.8852600000077</v>
      </c>
      <c r="R36" s="75">
        <f>Лист1!BE30</f>
        <v>-6248.8499999999985</v>
      </c>
      <c r="S36" s="1"/>
      <c r="T36" s="1"/>
    </row>
    <row r="37" spans="1:20" ht="12.75">
      <c r="A37" s="11" t="s">
        <v>46</v>
      </c>
      <c r="B37" s="84">
        <f>Лист1!B31</f>
        <v>3621.5</v>
      </c>
      <c r="C37" s="27">
        <f t="shared" si="5"/>
        <v>31325.975000000002</v>
      </c>
      <c r="D37" s="28">
        <f>Лист1!D31</f>
        <v>2978.4250000000025</v>
      </c>
      <c r="E37" s="14">
        <f>Лист1!S31</f>
        <v>23297.239999999998</v>
      </c>
      <c r="F37" s="30">
        <f>Лист1!T31</f>
        <v>5050.3099999999995</v>
      </c>
      <c r="G37" s="29">
        <f>Лист1!AB31</f>
        <v>22391.89</v>
      </c>
      <c r="H37" s="30">
        <f>Лист1!AC31</f>
        <v>30420.625</v>
      </c>
      <c r="I37" s="87">
        <f>Лист1!AF31</f>
        <v>436.13626</v>
      </c>
      <c r="J37" s="29">
        <f>Лист1!AG31</f>
        <v>2172.9</v>
      </c>
      <c r="K37" s="14">
        <f>Лист1!AI31+Лист1!AJ31</f>
        <v>3621.5</v>
      </c>
      <c r="L37" s="14">
        <f>Лист1!AH31+Лист1!AK31+Лист1!AL31+Лист1!AM31+Лист1!AN31+Лист1!AO31+Лист1!AP31+Лист1!AQ31+Лист1!AR31</f>
        <v>12421.744999999999</v>
      </c>
      <c r="M37" s="31">
        <f>Лист1!AS31+Лист1!AT31+Лист1!AU31+Лист1!AZ31+Лист1!BA31</f>
        <v>8221</v>
      </c>
      <c r="N37" s="31">
        <f>Лист1!AX31</f>
        <v>2695</v>
      </c>
      <c r="O37" s="30">
        <f>Лист1!BB31</f>
        <v>29132.145</v>
      </c>
      <c r="P37" s="90">
        <f>Лист1!BC31</f>
        <v>207.631</v>
      </c>
      <c r="Q37" s="75">
        <f>Лист1!BD31</f>
        <v>1516.9852599999988</v>
      </c>
      <c r="R37" s="75">
        <f>Лист1!BE31</f>
        <v>-905.3499999999985</v>
      </c>
      <c r="S37" s="1"/>
      <c r="T37" s="1"/>
    </row>
    <row r="38" spans="1:20" ht="12.75">
      <c r="A38" s="11" t="s">
        <v>47</v>
      </c>
      <c r="B38" s="84">
        <f>Лист1!B32</f>
        <v>3621.5</v>
      </c>
      <c r="C38" s="27">
        <f t="shared" si="5"/>
        <v>31325.975000000002</v>
      </c>
      <c r="D38" s="28">
        <f>Лист1!D32</f>
        <v>2978.4350000000036</v>
      </c>
      <c r="E38" s="14">
        <f>Лист1!S32</f>
        <v>23181.77</v>
      </c>
      <c r="F38" s="30">
        <f>Лист1!T32</f>
        <v>5165.7699999999995</v>
      </c>
      <c r="G38" s="29">
        <f>Лист1!AB32</f>
        <v>25583.03</v>
      </c>
      <c r="H38" s="30">
        <f>Лист1!AC32</f>
        <v>33727.235</v>
      </c>
      <c r="I38" s="87">
        <f>Лист1!AF32</f>
        <v>436.13626</v>
      </c>
      <c r="J38" s="29">
        <f>Лист1!AG32</f>
        <v>2172.9</v>
      </c>
      <c r="K38" s="14">
        <f>Лист1!AI32+Лист1!AJ32</f>
        <v>3621.5</v>
      </c>
      <c r="L38" s="14">
        <f>Лист1!AH32+Лист1!AK32+Лист1!AL32+Лист1!AM32+Лист1!AN32+Лист1!AO32+Лист1!AP32+Лист1!AQ32+Лист1!AR32</f>
        <v>12421.744999999999</v>
      </c>
      <c r="M38" s="31">
        <f>Лист1!AS32+Лист1!AT32+Лист1!AU32+Лист1!AZ32+Лист1!BA32</f>
        <v>1752</v>
      </c>
      <c r="N38" s="31">
        <f>Лист1!AX32</f>
        <v>1703.8</v>
      </c>
      <c r="O38" s="30">
        <f>Лист1!BB32</f>
        <v>21671.945</v>
      </c>
      <c r="P38" s="90">
        <f>Лист1!BC32</f>
        <v>207.631</v>
      </c>
      <c r="Q38" s="75">
        <f>Лист1!BD32</f>
        <v>12283.79526</v>
      </c>
      <c r="R38" s="75">
        <f>Лист1!BE32</f>
        <v>2401.2599999999984</v>
      </c>
      <c r="S38" s="1"/>
      <c r="T38" s="1"/>
    </row>
    <row r="39" spans="1:20" ht="12.75">
      <c r="A39" s="11" t="s">
        <v>48</v>
      </c>
      <c r="B39" s="84">
        <f>Лист1!B33</f>
        <v>3621.5</v>
      </c>
      <c r="C39" s="27">
        <f t="shared" si="5"/>
        <v>31325.975000000002</v>
      </c>
      <c r="D39" s="28">
        <f>Лист1!D33</f>
        <v>2976.8149999999996</v>
      </c>
      <c r="E39" s="14">
        <f>Лист1!S33</f>
        <v>23044.440000000002</v>
      </c>
      <c r="F39" s="30">
        <f>Лист1!T33</f>
        <v>5304.72</v>
      </c>
      <c r="G39" s="29">
        <f>Лист1!AB33</f>
        <v>21245.219999999998</v>
      </c>
      <c r="H39" s="30">
        <f>Лист1!AC33</f>
        <v>29526.754999999997</v>
      </c>
      <c r="I39" s="87">
        <f>Лист1!AF33</f>
        <v>436.13626</v>
      </c>
      <c r="J39" s="29">
        <f>Лист1!AG33</f>
        <v>2172.9</v>
      </c>
      <c r="K39" s="14">
        <f>Лист1!AI33+Лист1!AJ33</f>
        <v>3621.5</v>
      </c>
      <c r="L39" s="14">
        <f>Лист1!AH33+Лист1!AK33+Лист1!AL33+Лист1!AM33+Лист1!AN33+Лист1!AO33+Лист1!AP33+Лист1!AQ33+Лист1!AR33</f>
        <v>17252.045</v>
      </c>
      <c r="M39" s="31">
        <f>Лист1!AS33+Лист1!AT33+Лист1!AU33+Лист1!AZ33+Лист1!BA33</f>
        <v>5058</v>
      </c>
      <c r="N39" s="31">
        <f>Лист1!AX33</f>
        <v>1276.8</v>
      </c>
      <c r="O39" s="30">
        <f>Лист1!BB33</f>
        <v>29381.245</v>
      </c>
      <c r="P39" s="90">
        <f>Лист1!BC33</f>
        <v>207.631</v>
      </c>
      <c r="Q39" s="75">
        <f>Лист1!BD33</f>
        <v>374.01525999999774</v>
      </c>
      <c r="R39" s="75">
        <f>Лист1!BE33</f>
        <v>-1799.2200000000048</v>
      </c>
      <c r="S39" s="1"/>
      <c r="T39" s="1"/>
    </row>
    <row r="40" spans="1:20" ht="12.75">
      <c r="A40" s="11" t="s">
        <v>49</v>
      </c>
      <c r="B40" s="84">
        <f>Лист1!B34</f>
        <v>3625.39</v>
      </c>
      <c r="C40" s="27">
        <f t="shared" si="5"/>
        <v>31359.6235</v>
      </c>
      <c r="D40" s="28">
        <f>Лист1!D34</f>
        <v>2976.7834999999995</v>
      </c>
      <c r="E40" s="14">
        <f>Лист1!S34</f>
        <v>23110.97</v>
      </c>
      <c r="F40" s="30">
        <f>Лист1!T34</f>
        <v>5271.87</v>
      </c>
      <c r="G40" s="29">
        <f>Лист1!AB34</f>
        <v>26232.71</v>
      </c>
      <c r="H40" s="30">
        <f>Лист1!AC34</f>
        <v>34481.3635</v>
      </c>
      <c r="I40" s="87">
        <f>Лист1!AF34</f>
        <v>436.13626</v>
      </c>
      <c r="J40" s="29">
        <f>Лист1!AG34</f>
        <v>2175.234</v>
      </c>
      <c r="K40" s="14">
        <f>Лист1!AI34+Лист1!AJ34</f>
        <v>3625.39</v>
      </c>
      <c r="L40" s="14">
        <f>Лист1!AH34+Лист1!AK34+Лист1!AL34+Лист1!AM34+Лист1!AN34+Лист1!AO34+Лист1!AP34+Лист1!AQ34+Лист1!AR34</f>
        <v>12435.0877</v>
      </c>
      <c r="M40" s="31">
        <f>Лист1!AS34+Лист1!AT34+Лист1!AU34+Лист1!AZ34+Лист1!BA34</f>
        <v>23002</v>
      </c>
      <c r="N40" s="31">
        <f>Лист1!AX34</f>
        <v>1192.8</v>
      </c>
      <c r="O40" s="30">
        <f>Лист1!BB34</f>
        <v>42430.5117</v>
      </c>
      <c r="P40" s="90">
        <f>Лист1!BC34</f>
        <v>207.631</v>
      </c>
      <c r="Q40" s="75">
        <f>Лист1!BD34</f>
        <v>-7720.642940000004</v>
      </c>
      <c r="R40" s="75">
        <f>Лист1!BE34</f>
        <v>3121.739999999998</v>
      </c>
      <c r="S40" s="1"/>
      <c r="T40" s="1"/>
    </row>
    <row r="41" spans="1:20" ht="12.75">
      <c r="A41" s="11" t="s">
        <v>50</v>
      </c>
      <c r="B41" s="84">
        <f>Лист1!B35</f>
        <v>3625.39</v>
      </c>
      <c r="C41" s="27">
        <f t="shared" si="5"/>
        <v>31359.6235</v>
      </c>
      <c r="D41" s="28">
        <f>Лист1!D35</f>
        <v>2981.3334999999997</v>
      </c>
      <c r="E41" s="14">
        <f>Лист1!S35</f>
        <v>23106.43</v>
      </c>
      <c r="F41" s="30">
        <f>Лист1!T35</f>
        <v>5271.86</v>
      </c>
      <c r="G41" s="29">
        <f>Лист1!AB35</f>
        <v>20131.469999999998</v>
      </c>
      <c r="H41" s="30">
        <f>Лист1!AC35</f>
        <v>28384.663499999995</v>
      </c>
      <c r="I41" s="87">
        <f>Лист1!AF35</f>
        <v>436.13626</v>
      </c>
      <c r="J41" s="29">
        <f>Лист1!AG35</f>
        <v>2175.234</v>
      </c>
      <c r="K41" s="14">
        <f>Лист1!AI35+Лист1!AJ35</f>
        <v>3625.39</v>
      </c>
      <c r="L41" s="14">
        <f>Лист1!AH35+Лист1!AK35+Лист1!AL35+Лист1!AM35+Лист1!AN35+Лист1!AO35+Лист1!AP35+Лист1!AQ35+Лист1!AR35</f>
        <v>12535.0877</v>
      </c>
      <c r="M41" s="31">
        <f>Лист1!AS35+Лист1!AT35+Лист1!AU35+Лист1!AZ35+Лист1!BA35</f>
        <v>16107</v>
      </c>
      <c r="N41" s="31">
        <f>Лист1!AX35</f>
        <v>792.4</v>
      </c>
      <c r="O41" s="30">
        <f>Лист1!BB35</f>
        <v>35235.1117</v>
      </c>
      <c r="P41" s="90">
        <f>Лист1!BC35</f>
        <v>207.631</v>
      </c>
      <c r="Q41" s="75">
        <f>Лист1!BD35</f>
        <v>-6621.942940000007</v>
      </c>
      <c r="R41" s="75">
        <f>Лист1!BE35</f>
        <v>-2974.9600000000028</v>
      </c>
      <c r="S41" s="1"/>
      <c r="T41" s="1"/>
    </row>
    <row r="42" spans="1:20" ht="12.75">
      <c r="A42" s="11" t="s">
        <v>51</v>
      </c>
      <c r="B42" s="84">
        <f>Лист1!B36</f>
        <v>3625.39</v>
      </c>
      <c r="C42" s="27">
        <f t="shared" si="5"/>
        <v>31359.6235</v>
      </c>
      <c r="D42" s="28">
        <f>Лист1!D36</f>
        <v>2869.993500000003</v>
      </c>
      <c r="E42" s="14">
        <f>Лист1!S36</f>
        <v>28489.629999999997</v>
      </c>
      <c r="F42" s="30">
        <f>Лист1!T36</f>
        <v>0</v>
      </c>
      <c r="G42" s="29">
        <f>Лист1!AB36</f>
        <v>24573.32</v>
      </c>
      <c r="H42" s="30">
        <f>Лист1!AC36</f>
        <v>27443.313500000004</v>
      </c>
      <c r="I42" s="87">
        <f>Лист1!AF36</f>
        <v>436.13626</v>
      </c>
      <c r="J42" s="29">
        <f>Лист1!AG36</f>
        <v>2175.234</v>
      </c>
      <c r="K42" s="14">
        <f>Лист1!AI36+Лист1!AJ36</f>
        <v>3625.39</v>
      </c>
      <c r="L42" s="14">
        <f>Лист1!AH36+Лист1!AK36+Лист1!AL36+Лист1!AM36+Лист1!AN36+Лист1!AO36+Лист1!AP36+Лист1!AQ36+Лист1!AR36</f>
        <v>12435.0877</v>
      </c>
      <c r="M42" s="31">
        <f>Лист1!AS36+Лист1!AT36+Лист1!AU36+Лист1!AZ36+Лист1!BA36</f>
        <v>0</v>
      </c>
      <c r="N42" s="31">
        <f>Лист1!AX36</f>
        <v>956.1999999999999</v>
      </c>
      <c r="O42" s="30">
        <f>Лист1!BB36</f>
        <v>19191.9117</v>
      </c>
      <c r="P42" s="90">
        <f>Лист1!BC36</f>
        <v>207.631</v>
      </c>
      <c r="Q42" s="75">
        <f>Лист1!BD36</f>
        <v>8479.907060000003</v>
      </c>
      <c r="R42" s="75">
        <f>Лист1!BE36</f>
        <v>-3916.3099999999977</v>
      </c>
      <c r="S42" s="1"/>
      <c r="T42" s="1"/>
    </row>
    <row r="43" spans="1:20" ht="12.75">
      <c r="A43" s="11" t="s">
        <v>52</v>
      </c>
      <c r="B43" s="84">
        <f>Лист1!B37</f>
        <v>3625.39</v>
      </c>
      <c r="C43" s="27">
        <f t="shared" si="5"/>
        <v>31359.6235</v>
      </c>
      <c r="D43" s="28">
        <f>Лист1!D37</f>
        <v>2869.4835000000035</v>
      </c>
      <c r="E43" s="14">
        <f>Лист1!S37</f>
        <v>28490.14</v>
      </c>
      <c r="F43" s="30">
        <f>Лист1!T37</f>
        <v>0</v>
      </c>
      <c r="G43" s="29">
        <f>Лист1!AB37</f>
        <v>26163.61</v>
      </c>
      <c r="H43" s="30">
        <f>Лист1!AC37</f>
        <v>29033.093500000003</v>
      </c>
      <c r="I43" s="87">
        <f>Лист1!AF37</f>
        <v>436.13626</v>
      </c>
      <c r="J43" s="29">
        <f>Лист1!AG37</f>
        <v>2175.234</v>
      </c>
      <c r="K43" s="14">
        <f>Лист1!AI37+Лист1!AJ37</f>
        <v>3625.39</v>
      </c>
      <c r="L43" s="14">
        <f>Лист1!AH37+Лист1!AK37+Лист1!AL37+Лист1!AM37+Лист1!AN37+Лист1!AO37+Лист1!AP37+Лист1!AQ37+Лист1!AR37</f>
        <v>12435.0877</v>
      </c>
      <c r="M43" s="31">
        <f>Лист1!AS37+Лист1!AT37+Лист1!AU37+Лист1!AZ37+Лист1!BA37</f>
        <v>3682.8</v>
      </c>
      <c r="N43" s="31">
        <f>Лист1!AX37</f>
        <v>802.1999999999999</v>
      </c>
      <c r="O43" s="30">
        <f>Лист1!BB37</f>
        <v>22720.7117</v>
      </c>
      <c r="P43" s="90">
        <f>Лист1!BC37</f>
        <v>207.631</v>
      </c>
      <c r="Q43" s="75">
        <f>Лист1!BD37</f>
        <v>6540.887060000002</v>
      </c>
      <c r="R43" s="75">
        <f>Лист1!BE37</f>
        <v>-2326.529999999999</v>
      </c>
      <c r="S43" s="1"/>
      <c r="T43" s="1"/>
    </row>
    <row r="44" spans="1:20" ht="12.75">
      <c r="A44" s="11" t="s">
        <v>53</v>
      </c>
      <c r="B44" s="84">
        <f>Лист1!B38</f>
        <v>3625.39</v>
      </c>
      <c r="C44" s="27">
        <f t="shared" si="5"/>
        <v>31359.6235</v>
      </c>
      <c r="D44" s="28">
        <f>Лист1!D38</f>
        <v>32869.4535</v>
      </c>
      <c r="E44" s="14">
        <f>Лист1!S38</f>
        <v>28490.17</v>
      </c>
      <c r="F44" s="30">
        <f>Лист1!T38</f>
        <v>0</v>
      </c>
      <c r="G44" s="29">
        <f>Лист1!AB38</f>
        <v>26805.67</v>
      </c>
      <c r="H44" s="30">
        <f>Лист1!AC38</f>
        <v>59675.1235</v>
      </c>
      <c r="I44" s="87">
        <f>Лист1!AF38</f>
        <v>436.13626</v>
      </c>
      <c r="J44" s="29">
        <f>Лист1!AG38</f>
        <v>2175.234</v>
      </c>
      <c r="K44" s="14">
        <f>Лист1!AI38+Лист1!AJ38</f>
        <v>3625.39</v>
      </c>
      <c r="L44" s="14">
        <f>Лист1!AH38+Лист1!AK38+Лист1!AL38+Лист1!AM38+Лист1!AN38+Лист1!AO38+Лист1!AP38+Лист1!AQ38+Лист1!AR38</f>
        <v>12435.0877</v>
      </c>
      <c r="M44" s="31">
        <f>Лист1!AS38+Лист1!AT38+Лист1!AU38+Лист1!AZ38+Лист1!BA38</f>
        <v>0</v>
      </c>
      <c r="N44" s="31">
        <f>Лист1!AX38</f>
        <v>1267</v>
      </c>
      <c r="O44" s="30">
        <f>Лист1!BB38</f>
        <v>19502.7117</v>
      </c>
      <c r="P44" s="90">
        <f>Лист1!BC38</f>
        <v>207.631</v>
      </c>
      <c r="Q44" s="75">
        <f>Лист1!BD38</f>
        <v>40400.91706</v>
      </c>
      <c r="R44" s="75">
        <f>Лист1!BE38</f>
        <v>-1684.5</v>
      </c>
      <c r="S44" s="1"/>
      <c r="T44" s="1"/>
    </row>
    <row r="45" spans="1:20" ht="12.75">
      <c r="A45" s="11" t="s">
        <v>41</v>
      </c>
      <c r="B45" s="84">
        <f>Лист1!B39</f>
        <v>3625.39</v>
      </c>
      <c r="C45" s="27">
        <f>B45*8.65</f>
        <v>31359.6235</v>
      </c>
      <c r="D45" s="28">
        <f>Лист1!D39</f>
        <v>2869.5034999999993</v>
      </c>
      <c r="E45" s="14">
        <f>Лист1!S39</f>
        <v>28490.12</v>
      </c>
      <c r="F45" s="30">
        <f>Лист1!T39</f>
        <v>0</v>
      </c>
      <c r="G45" s="29">
        <f>Лист1!AB39</f>
        <v>23897.5</v>
      </c>
      <c r="H45" s="30">
        <f>Лист1!AC39</f>
        <v>26767.0035</v>
      </c>
      <c r="I45" s="87">
        <f>Лист1!AF39</f>
        <v>586.13626</v>
      </c>
      <c r="J45" s="29">
        <f>Лист1!AG39</f>
        <v>2175.234</v>
      </c>
      <c r="K45" s="14">
        <f>Лист1!AI39+Лист1!AJ39</f>
        <v>3625.39</v>
      </c>
      <c r="L45" s="14">
        <f>Лист1!AH39+Лист1!AK39+Лист1!AL39+Лист1!AM39+Лист1!AN39+Лист1!AO39+Лист1!AP39+Лист1!AQ39+Лист1!AR39</f>
        <v>12435.0877</v>
      </c>
      <c r="M45" s="31">
        <f>Лист1!AS39+Лист1!AT39+Лист1!AU39+Лист1!AZ39+Лист1!BA39</f>
        <v>300</v>
      </c>
      <c r="N45" s="31">
        <f>Лист1!AX39</f>
        <v>1485.3999999999999</v>
      </c>
      <c r="O45" s="30">
        <f>Лист1!BB39</f>
        <v>20021.1117</v>
      </c>
      <c r="P45" s="90">
        <f>Лист1!BC39</f>
        <v>245.131</v>
      </c>
      <c r="Q45" s="75">
        <f>Лист1!BD39</f>
        <v>7086.897059999997</v>
      </c>
      <c r="R45" s="75">
        <f>Лист1!BE39</f>
        <v>-4592.619999999999</v>
      </c>
      <c r="S45" s="1"/>
      <c r="T45" s="1"/>
    </row>
    <row r="46" spans="1:20" ht="12.75">
      <c r="A46" s="11" t="s">
        <v>42</v>
      </c>
      <c r="B46" s="84">
        <f>Лист1!B40</f>
        <v>3625.39</v>
      </c>
      <c r="C46" s="27">
        <f t="shared" si="5"/>
        <v>31359.6235</v>
      </c>
      <c r="D46" s="28">
        <f>Лист1!D40</f>
        <v>2869.5034999999993</v>
      </c>
      <c r="E46" s="14">
        <f>Лист1!S40</f>
        <v>28490.12</v>
      </c>
      <c r="F46" s="30">
        <f>Лист1!T40</f>
        <v>0</v>
      </c>
      <c r="G46" s="29">
        <f>Лист1!AB40</f>
        <v>27488.270000000004</v>
      </c>
      <c r="H46" s="30">
        <f>Лист1!AC40</f>
        <v>30357.773500000003</v>
      </c>
      <c r="I46" s="87">
        <f>Лист1!AF40</f>
        <v>586.13626</v>
      </c>
      <c r="J46" s="29">
        <f>Лист1!AG40</f>
        <v>2175.234</v>
      </c>
      <c r="K46" s="14">
        <f>Лист1!AI40+Лист1!AJ40</f>
        <v>3625.39</v>
      </c>
      <c r="L46" s="14">
        <f>Лист1!AH40+Лист1!AK40+Лист1!AL40+Лист1!AM40+Лист1!AN40+Лист1!AO40+Лист1!AP40+Лист1!AQ40+Лист1!AR40</f>
        <v>12435.0877</v>
      </c>
      <c r="M46" s="31">
        <f>Лист1!AS40+Лист1!AT40+Лист1!AU40+Лист1!AZ40+Лист1!BA40</f>
        <v>835</v>
      </c>
      <c r="N46" s="31">
        <f>Лист1!AX40</f>
        <v>1800.3999999999999</v>
      </c>
      <c r="O46" s="30">
        <f>Лист1!BB40</f>
        <v>20871.1117</v>
      </c>
      <c r="P46" s="90">
        <f>Лист1!BC40</f>
        <v>245.131</v>
      </c>
      <c r="Q46" s="75">
        <f>Лист1!BD40</f>
        <v>9827.667060000002</v>
      </c>
      <c r="R46" s="75">
        <f>Лист1!BE40</f>
        <v>-1001.8499999999949</v>
      </c>
      <c r="S46" s="1"/>
      <c r="T46" s="1"/>
    </row>
    <row r="47" spans="1:20" ht="13.5" thickBot="1">
      <c r="A47" s="32" t="s">
        <v>43</v>
      </c>
      <c r="B47" s="84">
        <f>Лист1!B41</f>
        <v>3625.39</v>
      </c>
      <c r="C47" s="33">
        <f t="shared" si="5"/>
        <v>31359.6235</v>
      </c>
      <c r="D47" s="28">
        <f>Лист1!D41</f>
        <v>2869.493500000001</v>
      </c>
      <c r="E47" s="14">
        <f>Лист1!S41</f>
        <v>28490.13</v>
      </c>
      <c r="F47" s="30">
        <f>Лист1!T41</f>
        <v>0</v>
      </c>
      <c r="G47" s="29">
        <f>Лист1!AB41</f>
        <v>36266.24</v>
      </c>
      <c r="H47" s="30">
        <f>Лист1!AC41</f>
        <v>39135.7335</v>
      </c>
      <c r="I47" s="87">
        <f>Лист1!AF41</f>
        <v>586.13626</v>
      </c>
      <c r="J47" s="29">
        <f>Лист1!AG41</f>
        <v>2175.234</v>
      </c>
      <c r="K47" s="14">
        <f>Лист1!AI41+Лист1!AJ41</f>
        <v>3625.39</v>
      </c>
      <c r="L47" s="14">
        <f>Лист1!AH41+Лист1!AK41+Лист1!AL41+Лист1!AM41+Лист1!AN41+Лист1!AO41+Лист1!AP41+Лист1!AQ41+Лист1!AR41</f>
        <v>12435.0877</v>
      </c>
      <c r="M47" s="31">
        <f>Лист1!AS41+Лист1!AT41+Лист1!AU41+Лист1!AZ41+Лист1!BA41</f>
        <v>80644.5858</v>
      </c>
      <c r="N47" s="31">
        <f>Лист1!AX41</f>
        <v>13057.8</v>
      </c>
      <c r="O47" s="30">
        <f>Лист1!BB41</f>
        <v>111938.0975</v>
      </c>
      <c r="P47" s="90">
        <f>Лист1!BC41</f>
        <v>245.131</v>
      </c>
      <c r="Q47" s="75">
        <f>Лист1!BD41</f>
        <v>-72461.35874</v>
      </c>
      <c r="R47" s="75">
        <f>Лист1!BE41</f>
        <v>7776.109999999997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376180.8879999999</v>
      </c>
      <c r="D48" s="68">
        <f t="shared" si="6"/>
        <v>65087.65800000002</v>
      </c>
      <c r="E48" s="36">
        <f t="shared" si="6"/>
        <v>309978.39</v>
      </c>
      <c r="F48" s="69">
        <f t="shared" si="6"/>
        <v>31114.84</v>
      </c>
      <c r="G48" s="68">
        <f t="shared" si="6"/>
        <v>297827.31</v>
      </c>
      <c r="H48" s="69">
        <f t="shared" si="6"/>
        <v>394029.8080000001</v>
      </c>
      <c r="I48" s="69">
        <f t="shared" si="6"/>
        <v>5683.635120000002</v>
      </c>
      <c r="J48" s="68">
        <f t="shared" si="6"/>
        <v>26093.472</v>
      </c>
      <c r="K48" s="36">
        <f t="shared" si="6"/>
        <v>43489.119999999995</v>
      </c>
      <c r="L48" s="36">
        <f t="shared" si="6"/>
        <v>154097.98160000003</v>
      </c>
      <c r="M48" s="36">
        <f t="shared" si="6"/>
        <v>139602.3858</v>
      </c>
      <c r="N48" s="36">
        <f t="shared" si="6"/>
        <v>30339.4</v>
      </c>
      <c r="O48" s="69">
        <f t="shared" si="6"/>
        <v>393622.35939999996</v>
      </c>
      <c r="P48" s="69">
        <f t="shared" si="6"/>
        <v>2604.072</v>
      </c>
      <c r="Q48" s="76">
        <f t="shared" si="6"/>
        <v>3487.0117200000095</v>
      </c>
      <c r="R48" s="76">
        <f t="shared" si="6"/>
        <v>-12151.080000000002</v>
      </c>
      <c r="S48" s="72"/>
      <c r="T48" s="72"/>
    </row>
    <row r="49" spans="1:20" ht="13.5" thickBot="1">
      <c r="A49" s="274" t="s">
        <v>70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846077.4329999998</v>
      </c>
      <c r="D50" s="37">
        <f aca="true" t="shared" si="7" ref="D50:O50">D34+D48</f>
        <v>128335.95080755002</v>
      </c>
      <c r="E50" s="38">
        <f t="shared" si="7"/>
        <v>645846.97</v>
      </c>
      <c r="F50" s="39">
        <f t="shared" si="7"/>
        <v>100023.34</v>
      </c>
      <c r="G50" s="37">
        <f t="shared" si="7"/>
        <v>611569.81</v>
      </c>
      <c r="H50" s="39">
        <f t="shared" si="7"/>
        <v>839929.10080755</v>
      </c>
      <c r="I50" s="39">
        <f t="shared" si="7"/>
        <v>8300.452680000002</v>
      </c>
      <c r="J50" s="37">
        <f t="shared" si="7"/>
        <v>57818.280000000006</v>
      </c>
      <c r="K50" s="38">
        <f t="shared" si="7"/>
        <v>95980.625110995</v>
      </c>
      <c r="L50" s="38">
        <f t="shared" si="7"/>
        <v>350806.53132773796</v>
      </c>
      <c r="M50" s="38">
        <f t="shared" si="7"/>
        <v>348238.69320000004</v>
      </c>
      <c r="N50" s="38">
        <f t="shared" si="7"/>
        <v>58911.070400000004</v>
      </c>
      <c r="O50" s="79">
        <f t="shared" si="7"/>
        <v>911755.200038733</v>
      </c>
      <c r="P50" s="79">
        <f>P34+P48</f>
        <v>3845.4946080774002</v>
      </c>
      <c r="Q50" s="78">
        <f>Q34+Q48</f>
        <v>-67371.1411592604</v>
      </c>
      <c r="R50" s="78">
        <f>R34+R48</f>
        <v>-34277.16</v>
      </c>
      <c r="S50" s="73"/>
      <c r="T50" s="72"/>
    </row>
    <row r="52" spans="19:20" ht="12.75">
      <c r="S52" s="1"/>
      <c r="T52" s="1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276" t="s">
        <v>74</v>
      </c>
      <c r="D54" s="276"/>
      <c r="S54" s="1"/>
      <c r="T54" s="1"/>
    </row>
    <row r="55" spans="1:20" ht="12.75">
      <c r="A55" s="124">
        <v>255067.06</v>
      </c>
      <c r="B55" s="124">
        <v>296942.34</v>
      </c>
      <c r="C55" s="270">
        <f>A55-B55</f>
        <v>-41875.28000000003</v>
      </c>
      <c r="D55" s="271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9:C12"/>
    <mergeCell ref="D9:D12"/>
    <mergeCell ref="B1:H1"/>
    <mergeCell ref="B2:H2"/>
    <mergeCell ref="A8:D8"/>
    <mergeCell ref="E8:F8"/>
    <mergeCell ref="A5:Q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0"/>
  <sheetViews>
    <sheetView zoomScalePageLayoutView="0" workbookViewId="0" topLeftCell="A1">
      <pane xSplit="2" ySplit="7" topLeftCell="AY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42" sqref="BH42"/>
    </sheetView>
  </sheetViews>
  <sheetFormatPr defaultColWidth="9.00390625" defaultRowHeight="12.75"/>
  <cols>
    <col min="1" max="1" width="8.75390625" style="149" bestFit="1" customWidth="1"/>
    <col min="2" max="2" width="9.125" style="149" customWidth="1"/>
    <col min="3" max="3" width="11.375" style="149" customWidth="1"/>
    <col min="4" max="4" width="10.375" style="149" customWidth="1"/>
    <col min="5" max="5" width="10.125" style="149" bestFit="1" customWidth="1"/>
    <col min="6" max="6" width="9.125" style="149" customWidth="1"/>
    <col min="7" max="7" width="10.25390625" style="149" customWidth="1"/>
    <col min="8" max="8" width="9.125" style="149" customWidth="1"/>
    <col min="9" max="9" width="9.875" style="149" customWidth="1"/>
    <col min="10" max="10" width="9.125" style="149" customWidth="1"/>
    <col min="11" max="11" width="10.375" style="149" customWidth="1"/>
    <col min="12" max="12" width="9.125" style="149" customWidth="1"/>
    <col min="13" max="13" width="10.125" style="149" bestFit="1" customWidth="1"/>
    <col min="14" max="14" width="9.125" style="149" customWidth="1"/>
    <col min="15" max="15" width="10.125" style="149" bestFit="1" customWidth="1"/>
    <col min="16" max="18" width="9.125" style="149" customWidth="1"/>
    <col min="19" max="19" width="10.125" style="149" bestFit="1" customWidth="1"/>
    <col min="20" max="20" width="10.125" style="149" customWidth="1"/>
    <col min="21" max="21" width="11.75390625" style="149" bestFit="1" customWidth="1"/>
    <col min="22" max="22" width="10.25390625" style="149" customWidth="1"/>
    <col min="23" max="23" width="10.625" style="149" customWidth="1"/>
    <col min="24" max="24" width="10.125" style="149" customWidth="1"/>
    <col min="25" max="28" width="10.125" style="149" bestFit="1" customWidth="1"/>
    <col min="29" max="30" width="11.375" style="149" customWidth="1"/>
    <col min="31" max="31" width="9.25390625" style="149" bestFit="1" customWidth="1"/>
    <col min="32" max="32" width="11.75390625" style="149" bestFit="1" customWidth="1"/>
    <col min="33" max="33" width="10.25390625" style="149" customWidth="1"/>
    <col min="34" max="35" width="9.25390625" style="149" bestFit="1" customWidth="1"/>
    <col min="36" max="36" width="11.75390625" style="149" customWidth="1"/>
    <col min="37" max="38" width="9.25390625" style="149" bestFit="1" customWidth="1"/>
    <col min="39" max="39" width="10.125" style="149" bestFit="1" customWidth="1"/>
    <col min="40" max="40" width="9.25390625" style="149" bestFit="1" customWidth="1"/>
    <col min="41" max="42" width="10.125" style="149" bestFit="1" customWidth="1"/>
    <col min="43" max="44" width="9.25390625" style="149" customWidth="1"/>
    <col min="45" max="45" width="10.125" style="149" bestFit="1" customWidth="1"/>
    <col min="46" max="46" width="11.625" style="149" customWidth="1"/>
    <col min="47" max="47" width="10.875" style="149" customWidth="1"/>
    <col min="48" max="48" width="10.625" style="149" customWidth="1"/>
    <col min="49" max="49" width="10.25390625" style="149" customWidth="1"/>
    <col min="50" max="50" width="10.625" style="149" customWidth="1"/>
    <col min="51" max="51" width="9.25390625" style="149" bestFit="1" customWidth="1"/>
    <col min="52" max="53" width="10.125" style="149" bestFit="1" customWidth="1"/>
    <col min="54" max="54" width="11.625" style="149" customWidth="1"/>
    <col min="55" max="55" width="11.75390625" style="149" customWidth="1"/>
    <col min="56" max="56" width="11.375" style="149" customWidth="1"/>
    <col min="57" max="57" width="14.00390625" style="149" customWidth="1"/>
    <col min="58" max="58" width="11.00390625" style="149" customWidth="1"/>
    <col min="59" max="59" width="10.625" style="149" customWidth="1"/>
    <col min="60" max="16384" width="9.125" style="149" customWidth="1"/>
  </cols>
  <sheetData>
    <row r="1" spans="1:18" ht="21" customHeight="1">
      <c r="A1" s="322" t="s">
        <v>90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148"/>
      <c r="P1" s="148"/>
      <c r="Q1" s="148"/>
      <c r="R1" s="148"/>
    </row>
    <row r="2" spans="1:18" ht="13.5" thickBot="1">
      <c r="A2" s="148"/>
      <c r="B2" s="150"/>
      <c r="C2" s="151"/>
      <c r="D2" s="151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59" ht="29.25" customHeight="1" thickBot="1">
      <c r="A3" s="363" t="s">
        <v>0</v>
      </c>
      <c r="B3" s="365" t="s">
        <v>1</v>
      </c>
      <c r="C3" s="367" t="s">
        <v>2</v>
      </c>
      <c r="D3" s="369" t="s">
        <v>3</v>
      </c>
      <c r="E3" s="363" t="s">
        <v>96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05"/>
      <c r="S3" s="363"/>
      <c r="T3" s="371"/>
      <c r="U3" s="363" t="s">
        <v>5</v>
      </c>
      <c r="V3" s="371"/>
      <c r="W3" s="375" t="s">
        <v>6</v>
      </c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7"/>
      <c r="AJ3" s="381" t="s">
        <v>75</v>
      </c>
      <c r="AK3" s="384" t="s">
        <v>10</v>
      </c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6"/>
      <c r="BF3" s="390" t="s">
        <v>11</v>
      </c>
      <c r="BG3" s="397" t="s">
        <v>12</v>
      </c>
    </row>
    <row r="4" spans="1:59" ht="51.75" customHeight="1" hidden="1" thickBot="1">
      <c r="A4" s="364"/>
      <c r="B4" s="366"/>
      <c r="C4" s="368"/>
      <c r="D4" s="370"/>
      <c r="E4" s="364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299"/>
      <c r="S4" s="373"/>
      <c r="T4" s="374"/>
      <c r="U4" s="373"/>
      <c r="V4" s="374"/>
      <c r="W4" s="378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80"/>
      <c r="AJ4" s="382"/>
      <c r="AK4" s="387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9"/>
      <c r="BF4" s="391"/>
      <c r="BG4" s="398"/>
    </row>
    <row r="5" spans="1:59" ht="19.5" customHeight="1">
      <c r="A5" s="364"/>
      <c r="B5" s="366"/>
      <c r="C5" s="368"/>
      <c r="D5" s="370"/>
      <c r="E5" s="400" t="s">
        <v>13</v>
      </c>
      <c r="F5" s="401"/>
      <c r="G5" s="400" t="s">
        <v>97</v>
      </c>
      <c r="H5" s="401"/>
      <c r="I5" s="400" t="s">
        <v>14</v>
      </c>
      <c r="J5" s="401"/>
      <c r="K5" s="400" t="s">
        <v>16</v>
      </c>
      <c r="L5" s="401"/>
      <c r="M5" s="400" t="s">
        <v>15</v>
      </c>
      <c r="N5" s="401"/>
      <c r="O5" s="404" t="s">
        <v>17</v>
      </c>
      <c r="P5" s="404"/>
      <c r="Q5" s="400" t="s">
        <v>98</v>
      </c>
      <c r="R5" s="401"/>
      <c r="S5" s="404" t="s">
        <v>99</v>
      </c>
      <c r="T5" s="401"/>
      <c r="U5" s="407" t="s">
        <v>20</v>
      </c>
      <c r="V5" s="393" t="s">
        <v>21</v>
      </c>
      <c r="W5" s="395" t="s">
        <v>22</v>
      </c>
      <c r="X5" s="395" t="s">
        <v>100</v>
      </c>
      <c r="Y5" s="395" t="s">
        <v>23</v>
      </c>
      <c r="Z5" s="395" t="s">
        <v>25</v>
      </c>
      <c r="AA5" s="395" t="s">
        <v>24</v>
      </c>
      <c r="AB5" s="395" t="s">
        <v>26</v>
      </c>
      <c r="AC5" s="395" t="s">
        <v>27</v>
      </c>
      <c r="AD5" s="409" t="s">
        <v>28</v>
      </c>
      <c r="AE5" s="409" t="s">
        <v>101</v>
      </c>
      <c r="AF5" s="411" t="s">
        <v>29</v>
      </c>
      <c r="AG5" s="413" t="s">
        <v>87</v>
      </c>
      <c r="AH5" s="415" t="s">
        <v>8</v>
      </c>
      <c r="AI5" s="417" t="s">
        <v>9</v>
      </c>
      <c r="AJ5" s="382"/>
      <c r="AK5" s="419" t="s">
        <v>102</v>
      </c>
      <c r="AL5" s="421" t="s">
        <v>103</v>
      </c>
      <c r="AM5" s="421" t="s">
        <v>104</v>
      </c>
      <c r="AN5" s="423" t="s">
        <v>105</v>
      </c>
      <c r="AO5" s="421" t="s">
        <v>106</v>
      </c>
      <c r="AP5" s="423" t="s">
        <v>107</v>
      </c>
      <c r="AQ5" s="423" t="s">
        <v>108</v>
      </c>
      <c r="AR5" s="423" t="s">
        <v>109</v>
      </c>
      <c r="AS5" s="423" t="s">
        <v>110</v>
      </c>
      <c r="AT5" s="423" t="s">
        <v>36</v>
      </c>
      <c r="AU5" s="333" t="s">
        <v>111</v>
      </c>
      <c r="AV5" s="361" t="s">
        <v>112</v>
      </c>
      <c r="AW5" s="333" t="s">
        <v>113</v>
      </c>
      <c r="AX5" s="351" t="s">
        <v>114</v>
      </c>
      <c r="AY5" s="145"/>
      <c r="AZ5" s="425" t="s">
        <v>19</v>
      </c>
      <c r="BA5" s="423" t="s">
        <v>38</v>
      </c>
      <c r="BB5" s="423" t="s">
        <v>33</v>
      </c>
      <c r="BC5" s="427" t="s">
        <v>39</v>
      </c>
      <c r="BD5" s="429" t="s">
        <v>76</v>
      </c>
      <c r="BE5" s="423" t="s">
        <v>115</v>
      </c>
      <c r="BF5" s="391"/>
      <c r="BG5" s="398"/>
    </row>
    <row r="6" spans="1:59" ht="56.25" customHeight="1" thickBot="1">
      <c r="A6" s="364"/>
      <c r="B6" s="366"/>
      <c r="C6" s="368"/>
      <c r="D6" s="370"/>
      <c r="E6" s="402"/>
      <c r="F6" s="403"/>
      <c r="G6" s="402"/>
      <c r="H6" s="403"/>
      <c r="I6" s="402"/>
      <c r="J6" s="403"/>
      <c r="K6" s="402"/>
      <c r="L6" s="403"/>
      <c r="M6" s="402"/>
      <c r="N6" s="403"/>
      <c r="O6" s="405"/>
      <c r="P6" s="405"/>
      <c r="Q6" s="402"/>
      <c r="R6" s="403"/>
      <c r="S6" s="406"/>
      <c r="T6" s="403"/>
      <c r="U6" s="408"/>
      <c r="V6" s="394"/>
      <c r="W6" s="396"/>
      <c r="X6" s="396"/>
      <c r="Y6" s="396"/>
      <c r="Z6" s="396"/>
      <c r="AA6" s="396"/>
      <c r="AB6" s="396"/>
      <c r="AC6" s="396"/>
      <c r="AD6" s="410"/>
      <c r="AE6" s="410"/>
      <c r="AF6" s="412"/>
      <c r="AG6" s="414"/>
      <c r="AH6" s="416"/>
      <c r="AI6" s="418"/>
      <c r="AJ6" s="383"/>
      <c r="AK6" s="420"/>
      <c r="AL6" s="422"/>
      <c r="AM6" s="422"/>
      <c r="AN6" s="424"/>
      <c r="AO6" s="422"/>
      <c r="AP6" s="424"/>
      <c r="AQ6" s="424"/>
      <c r="AR6" s="424"/>
      <c r="AS6" s="424"/>
      <c r="AT6" s="424"/>
      <c r="AU6" s="334"/>
      <c r="AV6" s="362"/>
      <c r="AW6" s="334"/>
      <c r="AX6" s="352"/>
      <c r="AY6" s="146" t="s">
        <v>116</v>
      </c>
      <c r="AZ6" s="426"/>
      <c r="BA6" s="424"/>
      <c r="BB6" s="424"/>
      <c r="BC6" s="428"/>
      <c r="BD6" s="430"/>
      <c r="BE6" s="424"/>
      <c r="BF6" s="392"/>
      <c r="BG6" s="399"/>
    </row>
    <row r="7" spans="1:59" ht="19.5" customHeight="1" thickBot="1">
      <c r="A7" s="152">
        <v>1</v>
      </c>
      <c r="B7" s="153">
        <v>2</v>
      </c>
      <c r="C7" s="153">
        <v>3</v>
      </c>
      <c r="D7" s="152">
        <v>4</v>
      </c>
      <c r="E7" s="153">
        <v>5</v>
      </c>
      <c r="F7" s="153">
        <v>6</v>
      </c>
      <c r="G7" s="152">
        <v>7</v>
      </c>
      <c r="H7" s="153">
        <v>8</v>
      </c>
      <c r="I7" s="153">
        <v>9</v>
      </c>
      <c r="J7" s="152">
        <v>10</v>
      </c>
      <c r="K7" s="153">
        <v>11</v>
      </c>
      <c r="L7" s="153">
        <v>12</v>
      </c>
      <c r="M7" s="152">
        <v>13</v>
      </c>
      <c r="N7" s="153">
        <v>14</v>
      </c>
      <c r="O7" s="153">
        <v>15</v>
      </c>
      <c r="P7" s="152">
        <v>16</v>
      </c>
      <c r="Q7" s="153">
        <v>17</v>
      </c>
      <c r="R7" s="153">
        <v>18</v>
      </c>
      <c r="S7" s="152">
        <v>19</v>
      </c>
      <c r="T7" s="153">
        <v>20</v>
      </c>
      <c r="U7" s="153">
        <v>21</v>
      </c>
      <c r="V7" s="152">
        <v>22</v>
      </c>
      <c r="W7" s="153">
        <v>23</v>
      </c>
      <c r="X7" s="152">
        <v>24</v>
      </c>
      <c r="Y7" s="153">
        <v>25</v>
      </c>
      <c r="Z7" s="152">
        <v>26</v>
      </c>
      <c r="AA7" s="153">
        <v>27</v>
      </c>
      <c r="AB7" s="152">
        <v>28</v>
      </c>
      <c r="AC7" s="153">
        <v>29</v>
      </c>
      <c r="AD7" s="152">
        <v>30</v>
      </c>
      <c r="AE7" s="152">
        <v>31</v>
      </c>
      <c r="AF7" s="153">
        <v>32</v>
      </c>
      <c r="AG7" s="152">
        <v>33</v>
      </c>
      <c r="AH7" s="153">
        <v>34</v>
      </c>
      <c r="AI7" s="152">
        <v>35</v>
      </c>
      <c r="AJ7" s="153">
        <v>36</v>
      </c>
      <c r="AK7" s="152">
        <v>37</v>
      </c>
      <c r="AL7" s="153">
        <v>38</v>
      </c>
      <c r="AM7" s="152">
        <v>39</v>
      </c>
      <c r="AN7" s="152">
        <v>40</v>
      </c>
      <c r="AO7" s="153">
        <v>41</v>
      </c>
      <c r="AP7" s="152">
        <v>42</v>
      </c>
      <c r="AQ7" s="153">
        <v>43</v>
      </c>
      <c r="AR7" s="152"/>
      <c r="AS7" s="152">
        <v>44</v>
      </c>
      <c r="AT7" s="153">
        <v>45</v>
      </c>
      <c r="AU7" s="152">
        <v>46</v>
      </c>
      <c r="AV7" s="153">
        <v>47</v>
      </c>
      <c r="AW7" s="152">
        <v>48</v>
      </c>
      <c r="AX7" s="152">
        <v>49</v>
      </c>
      <c r="AY7" s="153"/>
      <c r="AZ7" s="153">
        <v>50</v>
      </c>
      <c r="BA7" s="153">
        <v>51</v>
      </c>
      <c r="BB7" s="153">
        <v>52</v>
      </c>
      <c r="BC7" s="153">
        <v>53</v>
      </c>
      <c r="BD7" s="153">
        <v>54</v>
      </c>
      <c r="BE7" s="153"/>
      <c r="BF7" s="153">
        <v>55</v>
      </c>
      <c r="BG7" s="153">
        <v>56</v>
      </c>
    </row>
    <row r="8" spans="1:59" s="20" customFormat="1" ht="13.5" thickBot="1">
      <c r="A8" s="22" t="s">
        <v>54</v>
      </c>
      <c r="B8" s="154"/>
      <c r="C8" s="154">
        <f>Лист1!C44</f>
        <v>846077.4329999998</v>
      </c>
      <c r="D8" s="154">
        <f>Лист1!D44</f>
        <v>128335.95080755002</v>
      </c>
      <c r="E8" s="154">
        <f>Лист1!E44</f>
        <v>74513.38</v>
      </c>
      <c r="F8" s="154">
        <f>Лист1!F44</f>
        <v>11536.109999999999</v>
      </c>
      <c r="G8" s="154">
        <f>0</f>
        <v>0</v>
      </c>
      <c r="H8" s="154">
        <f>0</f>
        <v>0</v>
      </c>
      <c r="I8" s="154">
        <f>'[8]Лист1'!G44</f>
        <v>73142.07</v>
      </c>
      <c r="J8" s="154">
        <f>'[8]Лист1'!H44</f>
        <v>10102.68</v>
      </c>
      <c r="K8" s="154">
        <f>Лист1!K44</f>
        <v>167890.07</v>
      </c>
      <c r="L8" s="154">
        <f>Лист1!L44</f>
        <v>26001.550000000003</v>
      </c>
      <c r="M8" s="154">
        <f>Лист1!I44</f>
        <v>242404.03999999998</v>
      </c>
      <c r="N8" s="154">
        <f>Лист1!J44</f>
        <v>37537.68</v>
      </c>
      <c r="O8" s="154">
        <f>Лист1!M44</f>
        <v>60210.259999999995</v>
      </c>
      <c r="P8" s="154">
        <f>Лист1!N44</f>
        <v>9328.69</v>
      </c>
      <c r="Q8" s="154">
        <f>'[9]Лист1'!O44</f>
        <v>0</v>
      </c>
      <c r="R8" s="154">
        <f>'[9]Лист1'!P44</f>
        <v>0</v>
      </c>
      <c r="S8" s="154">
        <f>'[9]Лист1'!Q44</f>
        <v>0</v>
      </c>
      <c r="T8" s="154">
        <f>'[9]Лист1'!R44</f>
        <v>0</v>
      </c>
      <c r="U8" s="154">
        <f>Лист1!S44</f>
        <v>645846.97</v>
      </c>
      <c r="V8" s="154">
        <f>Лист1!T44</f>
        <v>100023.34</v>
      </c>
      <c r="W8" s="154">
        <f>Лист1!U44</f>
        <v>70600.76000000001</v>
      </c>
      <c r="X8" s="154">
        <v>0</v>
      </c>
      <c r="Y8" s="154">
        <f>Лист1!V44</f>
        <v>95497.01999999999</v>
      </c>
      <c r="Z8" s="154">
        <f>Лист1!X44</f>
        <v>159461.58000000002</v>
      </c>
      <c r="AA8" s="154">
        <f>Лист1!W44</f>
        <v>229517.68000000002</v>
      </c>
      <c r="AB8" s="154">
        <f>Лист1!Y44</f>
        <v>56492.770000000004</v>
      </c>
      <c r="AC8" s="154">
        <f>'[10]Лист1'!Z42</f>
        <v>0</v>
      </c>
      <c r="AD8" s="154">
        <f>'[10]Лист1'!AA42</f>
        <v>0</v>
      </c>
      <c r="AE8" s="154">
        <f>0</f>
        <v>0</v>
      </c>
      <c r="AF8" s="154">
        <f>Лист1!AB44</f>
        <v>611569.81</v>
      </c>
      <c r="AG8" s="154">
        <f>Лист1!AC44</f>
        <v>839929.10080755</v>
      </c>
      <c r="AH8" s="154">
        <f>'[10]Лист1'!AD42</f>
        <v>0</v>
      </c>
      <c r="AI8" s="154">
        <f>'[10]Лист1'!AE42</f>
        <v>0</v>
      </c>
      <c r="AJ8" s="154">
        <f>Лист1!AF44</f>
        <v>8300.452680000002</v>
      </c>
      <c r="AK8" s="154">
        <f>Лист1!AG44</f>
        <v>57818.280000000006</v>
      </c>
      <c r="AL8" s="154">
        <f>Лист1!AH44</f>
        <v>19373.846487999996</v>
      </c>
      <c r="AM8" s="154">
        <f>Лист1!AI44+Лист1!AJ44</f>
        <v>95980.62511099501</v>
      </c>
      <c r="AN8" s="154">
        <v>0</v>
      </c>
      <c r="AO8" s="154">
        <f>Лист1!AK44+Лист1!AL44</f>
        <v>95732.42674231819</v>
      </c>
      <c r="AP8" s="154">
        <f>Лист1!AM44+Лист1!AN44</f>
        <v>214162.18969741982</v>
      </c>
      <c r="AQ8" s="154">
        <v>0</v>
      </c>
      <c r="AR8" s="154">
        <v>0</v>
      </c>
      <c r="AS8" s="154">
        <v>0</v>
      </c>
      <c r="AT8" s="154">
        <f>Лист1!AO44+Лист1!AP44</f>
        <v>4830.3</v>
      </c>
      <c r="AU8" s="154">
        <f>Лист1!AS44</f>
        <v>237360.87000000002</v>
      </c>
      <c r="AV8" s="154">
        <v>0</v>
      </c>
      <c r="AW8" s="154">
        <f>Лист1!AT44+Лист1!AU44</f>
        <v>110877.8232</v>
      </c>
      <c r="AX8" s="154">
        <f>Лист1!AQ44+Лист1!AR44</f>
        <v>16707.7684</v>
      </c>
      <c r="AY8" s="155">
        <f>Лист1!AX44</f>
        <v>58911.070400000004</v>
      </c>
      <c r="AZ8" s="155">
        <f>'[9]Лист1'!AY44</f>
        <v>0</v>
      </c>
      <c r="BA8" s="155">
        <v>0</v>
      </c>
      <c r="BB8" s="155">
        <v>0</v>
      </c>
      <c r="BC8" s="155">
        <f>Лист1!BB44</f>
        <v>911755.200038733</v>
      </c>
      <c r="BD8" s="154">
        <f>Лист1!BC44</f>
        <v>3845.4946080774002</v>
      </c>
      <c r="BE8" s="156">
        <f>BC8+BD8</f>
        <v>915600.6946468104</v>
      </c>
      <c r="BF8" s="157">
        <f>Лист1!BD44</f>
        <v>-67371.1411592604</v>
      </c>
      <c r="BG8" s="157">
        <f>Лист1!BE44</f>
        <v>-34277.16</v>
      </c>
    </row>
    <row r="9" spans="1:59" ht="12.75">
      <c r="A9" s="5" t="s">
        <v>117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>
        <f>'[8]Лист1'!AB44</f>
        <v>440391.95999999996</v>
      </c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60"/>
      <c r="BF9" s="157"/>
      <c r="BG9" s="161"/>
    </row>
    <row r="10" spans="1:61" ht="12.75">
      <c r="A10" s="162" t="s">
        <v>45</v>
      </c>
      <c r="B10" s="163">
        <v>3625.39</v>
      </c>
      <c r="C10" s="122">
        <f aca="true" t="shared" si="0" ref="C10:C21">B10*8.55</f>
        <v>30997.0845</v>
      </c>
      <c r="D10" s="104">
        <v>102.408</v>
      </c>
      <c r="E10" s="171">
        <v>0</v>
      </c>
      <c r="F10" s="171">
        <v>0</v>
      </c>
      <c r="G10" s="164">
        <v>19178.81</v>
      </c>
      <c r="H10" s="164">
        <v>0</v>
      </c>
      <c r="I10" s="164">
        <v>0.02</v>
      </c>
      <c r="J10" s="164">
        <v>0</v>
      </c>
      <c r="K10" s="164">
        <v>0</v>
      </c>
      <c r="L10" s="164">
        <v>0</v>
      </c>
      <c r="M10" s="164">
        <v>9140.63</v>
      </c>
      <c r="N10" s="164">
        <v>0</v>
      </c>
      <c r="O10" s="164">
        <v>3270.44</v>
      </c>
      <c r="P10" s="165">
        <v>0</v>
      </c>
      <c r="Q10" s="167">
        <v>0</v>
      </c>
      <c r="R10" s="166">
        <v>0</v>
      </c>
      <c r="S10" s="183">
        <v>100</v>
      </c>
      <c r="T10" s="265">
        <v>0</v>
      </c>
      <c r="U10" s="168">
        <f aca="true" t="shared" si="1" ref="U10:V21">E10+G10+I10+K10+M10+O10+Q10+S10</f>
        <v>31689.899999999998</v>
      </c>
      <c r="V10" s="169">
        <f t="shared" si="1"/>
        <v>0</v>
      </c>
      <c r="W10" s="170">
        <v>2193.21</v>
      </c>
      <c r="X10" s="170"/>
      <c r="Y10" s="170">
        <v>2970.39</v>
      </c>
      <c r="Z10" s="170">
        <v>4944.27</v>
      </c>
      <c r="AA10" s="170">
        <v>8637.56</v>
      </c>
      <c r="AB10" s="170">
        <v>1754.66</v>
      </c>
      <c r="AC10" s="170">
        <v>0</v>
      </c>
      <c r="AD10" s="171">
        <v>0</v>
      </c>
      <c r="AE10" s="172">
        <v>0</v>
      </c>
      <c r="AF10" s="172">
        <f>SUM(W10:AE10)</f>
        <v>20500.09</v>
      </c>
      <c r="AG10" s="173">
        <f>AF10+V10+D10</f>
        <v>20602.498</v>
      </c>
      <c r="AH10" s="174">
        <f aca="true" t="shared" si="2" ref="AH10:AI21">AC10</f>
        <v>0</v>
      </c>
      <c r="AI10" s="174">
        <f t="shared" si="2"/>
        <v>0</v>
      </c>
      <c r="AJ10" s="175">
        <f>'[11]Т01'!$I$68+'[11]Т01'!$I$170</f>
        <v>549.9060000000001</v>
      </c>
      <c r="AK10" s="159">
        <f aca="true" t="shared" si="3" ref="AK10:AK21">0.67*B10</f>
        <v>2429.0113</v>
      </c>
      <c r="AL10" s="159">
        <f aca="true" t="shared" si="4" ref="AL10:AL21">B10*0.2</f>
        <v>725.078</v>
      </c>
      <c r="AM10" s="159">
        <f aca="true" t="shared" si="5" ref="AM10:AM21">B10*1</f>
        <v>3625.39</v>
      </c>
      <c r="AN10" s="159">
        <f aca="true" t="shared" si="6" ref="AN10:AN21">B10*0.21</f>
        <v>761.3318999999999</v>
      </c>
      <c r="AO10" s="159">
        <f aca="true" t="shared" si="7" ref="AO10:AO21">2.02*B10</f>
        <v>7323.2878</v>
      </c>
      <c r="AP10" s="159">
        <f aca="true" t="shared" si="8" ref="AP10:AP21">B10*1.03</f>
        <v>3734.1517</v>
      </c>
      <c r="AQ10" s="159">
        <f aca="true" t="shared" si="9" ref="AQ10:AQ21">B10*0.75</f>
        <v>2719.0425</v>
      </c>
      <c r="AR10" s="159">
        <f aca="true" t="shared" si="10" ref="AR10:AR21">B10*0.75</f>
        <v>2719.0425</v>
      </c>
      <c r="AS10" s="159">
        <f>B10*1.15</f>
        <v>4169.1984999999995</v>
      </c>
      <c r="AT10" s="159">
        <f aca="true" t="shared" si="11" ref="AT10:AT20">0.45*894.5</f>
        <v>402.52500000000003</v>
      </c>
      <c r="AU10" s="176"/>
      <c r="AV10" s="177">
        <v>1630</v>
      </c>
      <c r="AW10" s="176"/>
      <c r="AX10" s="176"/>
      <c r="AY10" s="176"/>
      <c r="AZ10" s="116"/>
      <c r="BA10" s="178"/>
      <c r="BB10" s="178">
        <f>BA10*0.18</f>
        <v>0</v>
      </c>
      <c r="BC10" s="178">
        <f aca="true" t="shared" si="12" ref="BC10:BC20">SUM(AK10:BB10)</f>
        <v>30238.0592</v>
      </c>
      <c r="BD10" s="179">
        <f>'[11]Т01'!$R$68+'[11]Т01'!$R$170</f>
        <v>342.52700000000004</v>
      </c>
      <c r="BE10" s="180">
        <f>BC10+BD10</f>
        <v>30580.586199999998</v>
      </c>
      <c r="BF10" s="180">
        <f>AG10+AJ10-BE10</f>
        <v>-9428.1822</v>
      </c>
      <c r="BG10" s="180">
        <f>AF10-U10</f>
        <v>-11189.809999999998</v>
      </c>
      <c r="BH10" s="181"/>
      <c r="BI10" s="182"/>
    </row>
    <row r="11" spans="1:59" ht="12.75">
      <c r="A11" s="162" t="s">
        <v>46</v>
      </c>
      <c r="B11" s="163">
        <v>3625.39</v>
      </c>
      <c r="C11" s="122">
        <f t="shared" si="0"/>
        <v>30997.0845</v>
      </c>
      <c r="D11" s="104">
        <v>102.408</v>
      </c>
      <c r="E11" s="171">
        <v>0</v>
      </c>
      <c r="F11" s="171">
        <v>0</v>
      </c>
      <c r="G11" s="164">
        <v>18466.07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9140.62</v>
      </c>
      <c r="N11" s="164">
        <v>0</v>
      </c>
      <c r="O11" s="164">
        <v>3270.44</v>
      </c>
      <c r="P11" s="165">
        <v>0</v>
      </c>
      <c r="Q11" s="171">
        <v>0</v>
      </c>
      <c r="R11" s="171">
        <v>0</v>
      </c>
      <c r="S11" s="171">
        <v>100</v>
      </c>
      <c r="T11" s="170">
        <v>0</v>
      </c>
      <c r="U11" s="183">
        <f t="shared" si="1"/>
        <v>30977.13</v>
      </c>
      <c r="V11" s="169">
        <f t="shared" si="1"/>
        <v>0</v>
      </c>
      <c r="W11" s="170">
        <v>861.91</v>
      </c>
      <c r="X11" s="171">
        <v>16339.35</v>
      </c>
      <c r="Y11" s="170">
        <v>1167.29</v>
      </c>
      <c r="Z11" s="170">
        <v>1869.19</v>
      </c>
      <c r="AA11" s="170">
        <v>11062.94</v>
      </c>
      <c r="AB11" s="170">
        <v>3578.78</v>
      </c>
      <c r="AC11" s="170">
        <v>0</v>
      </c>
      <c r="AD11" s="171">
        <v>0</v>
      </c>
      <c r="AE11" s="171">
        <v>222.94</v>
      </c>
      <c r="AF11" s="172">
        <f>SUM(W11:AE11)</f>
        <v>35102.4</v>
      </c>
      <c r="AG11" s="173">
        <f>AF11+V11+D11</f>
        <v>35204.808000000005</v>
      </c>
      <c r="AH11" s="174">
        <f t="shared" si="2"/>
        <v>0</v>
      </c>
      <c r="AI11" s="174">
        <f t="shared" si="2"/>
        <v>0</v>
      </c>
      <c r="AJ11" s="175">
        <f>'[11]Т02'!$J$68+'[11]Т02'!$J$172</f>
        <v>549.9060000000001</v>
      </c>
      <c r="AK11" s="159">
        <f t="shared" si="3"/>
        <v>2429.0113</v>
      </c>
      <c r="AL11" s="159">
        <f t="shared" si="4"/>
        <v>725.078</v>
      </c>
      <c r="AM11" s="159">
        <f t="shared" si="5"/>
        <v>3625.39</v>
      </c>
      <c r="AN11" s="159">
        <f t="shared" si="6"/>
        <v>761.3318999999999</v>
      </c>
      <c r="AO11" s="159">
        <f t="shared" si="7"/>
        <v>7323.2878</v>
      </c>
      <c r="AP11" s="159">
        <f t="shared" si="8"/>
        <v>3734.1517</v>
      </c>
      <c r="AQ11" s="159">
        <f t="shared" si="9"/>
        <v>2719.0425</v>
      </c>
      <c r="AR11" s="159">
        <f t="shared" si="10"/>
        <v>2719.0425</v>
      </c>
      <c r="AS11" s="159">
        <f>B11*1.15</f>
        <v>4169.1984999999995</v>
      </c>
      <c r="AT11" s="159">
        <f t="shared" si="11"/>
        <v>402.52500000000003</v>
      </c>
      <c r="AU11" s="176">
        <v>2166</v>
      </c>
      <c r="AV11" s="177"/>
      <c r="AW11" s="176">
        <v>286</v>
      </c>
      <c r="AX11" s="176">
        <f>22.56+20</f>
        <v>42.56</v>
      </c>
      <c r="AY11" s="176"/>
      <c r="AZ11" s="116"/>
      <c r="BA11" s="178"/>
      <c r="BB11" s="178">
        <f>BA11*0.18</f>
        <v>0</v>
      </c>
      <c r="BC11" s="178">
        <f t="shared" si="12"/>
        <v>31102.6192</v>
      </c>
      <c r="BD11" s="179">
        <f>'[11]Т02'!$S$68+'[11]Т02'!$S$171</f>
        <v>342.52700000000004</v>
      </c>
      <c r="BE11" s="180">
        <f>BC11+BD11</f>
        <v>31445.146200000003</v>
      </c>
      <c r="BF11" s="180">
        <f>AG11+AJ11-BE11</f>
        <v>4309.567800000004</v>
      </c>
      <c r="BG11" s="180">
        <f>AF11-U11</f>
        <v>4125.27</v>
      </c>
    </row>
    <row r="12" spans="1:59" ht="12.75">
      <c r="A12" s="162" t="s">
        <v>47</v>
      </c>
      <c r="B12" s="163">
        <v>3624.19</v>
      </c>
      <c r="C12" s="122">
        <f t="shared" si="0"/>
        <v>30986.824500000002</v>
      </c>
      <c r="D12" s="104">
        <v>102.408</v>
      </c>
      <c r="E12" s="171">
        <v>0</v>
      </c>
      <c r="F12" s="171">
        <v>0</v>
      </c>
      <c r="G12" s="164">
        <v>18815.55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9137.27</v>
      </c>
      <c r="N12" s="164">
        <v>0</v>
      </c>
      <c r="O12" s="164">
        <v>3869.28</v>
      </c>
      <c r="P12" s="164">
        <v>0</v>
      </c>
      <c r="Q12" s="164">
        <v>0</v>
      </c>
      <c r="R12" s="164">
        <v>0</v>
      </c>
      <c r="S12" s="170">
        <v>700</v>
      </c>
      <c r="T12" s="170">
        <v>0</v>
      </c>
      <c r="U12" s="170">
        <f t="shared" si="1"/>
        <v>32522.1</v>
      </c>
      <c r="V12" s="184">
        <f t="shared" si="1"/>
        <v>0</v>
      </c>
      <c r="W12" s="185">
        <v>95.13</v>
      </c>
      <c r="X12" s="171">
        <v>17343.92</v>
      </c>
      <c r="Y12" s="170">
        <v>128.96</v>
      </c>
      <c r="Z12" s="170">
        <v>113.31</v>
      </c>
      <c r="AA12" s="170">
        <v>8195.43</v>
      </c>
      <c r="AB12" s="170">
        <v>2820.38</v>
      </c>
      <c r="AC12" s="170">
        <v>0</v>
      </c>
      <c r="AD12" s="171">
        <v>0</v>
      </c>
      <c r="AE12" s="170">
        <v>113.02</v>
      </c>
      <c r="AF12" s="186">
        <f>SUM(W12:AE12)</f>
        <v>28810.15</v>
      </c>
      <c r="AG12" s="173">
        <f>AF12+V12+D12</f>
        <v>28912.558</v>
      </c>
      <c r="AH12" s="174">
        <f t="shared" si="2"/>
        <v>0</v>
      </c>
      <c r="AI12" s="174">
        <f t="shared" si="2"/>
        <v>0</v>
      </c>
      <c r="AJ12" s="175">
        <f>'[11]Т03'!$J$68+'[11]Т03'!$J$172</f>
        <v>549.9060000000001</v>
      </c>
      <c r="AK12" s="159">
        <f t="shared" si="3"/>
        <v>2428.2073</v>
      </c>
      <c r="AL12" s="159">
        <f t="shared" si="4"/>
        <v>724.8380000000001</v>
      </c>
      <c r="AM12" s="159">
        <f t="shared" si="5"/>
        <v>3624.19</v>
      </c>
      <c r="AN12" s="159">
        <f t="shared" si="6"/>
        <v>761.0799</v>
      </c>
      <c r="AO12" s="159">
        <f t="shared" si="7"/>
        <v>7320.8638</v>
      </c>
      <c r="AP12" s="159">
        <f t="shared" si="8"/>
        <v>3732.9157</v>
      </c>
      <c r="AQ12" s="159">
        <f t="shared" si="9"/>
        <v>2718.1425</v>
      </c>
      <c r="AR12" s="159">
        <f t="shared" si="10"/>
        <v>2718.1425</v>
      </c>
      <c r="AS12" s="159">
        <f>B12*1.15</f>
        <v>4167.818499999999</v>
      </c>
      <c r="AT12" s="159">
        <f t="shared" si="11"/>
        <v>402.52500000000003</v>
      </c>
      <c r="AU12" s="176"/>
      <c r="AV12" s="177">
        <v>640</v>
      </c>
      <c r="AW12" s="176"/>
      <c r="AX12" s="176">
        <f>'[14]март 2011'!$F$167</f>
        <v>89.5</v>
      </c>
      <c r="AY12" s="176"/>
      <c r="AZ12" s="116"/>
      <c r="BA12" s="178"/>
      <c r="BB12" s="178">
        <f>BA12*0.18</f>
        <v>0</v>
      </c>
      <c r="BC12" s="178">
        <f t="shared" si="12"/>
        <v>29328.223200000008</v>
      </c>
      <c r="BD12" s="179">
        <f>'[11]Т03'!$S$68+'[11]Т03'!$S$172</f>
        <v>342.52700000000004</v>
      </c>
      <c r="BE12" s="180">
        <f>BC12+BD12</f>
        <v>29670.75020000001</v>
      </c>
      <c r="BF12" s="180">
        <f>AG12+AJ12-BE12</f>
        <v>-208.28620000000956</v>
      </c>
      <c r="BG12" s="180">
        <f>AF12-U12</f>
        <v>-3711.949999999997</v>
      </c>
    </row>
    <row r="13" spans="1:59" ht="12.75">
      <c r="A13" s="162" t="s">
        <v>48</v>
      </c>
      <c r="B13" s="163">
        <v>3624.19</v>
      </c>
      <c r="C13" s="122">
        <f t="shared" si="0"/>
        <v>30986.824500000002</v>
      </c>
      <c r="D13" s="104">
        <v>102.408</v>
      </c>
      <c r="E13" s="197">
        <v>0</v>
      </c>
      <c r="F13" s="171">
        <v>0</v>
      </c>
      <c r="G13" s="187">
        <v>18815.55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9137.27</v>
      </c>
      <c r="N13" s="164">
        <v>0</v>
      </c>
      <c r="O13" s="164">
        <v>3469.27</v>
      </c>
      <c r="P13" s="165">
        <v>0</v>
      </c>
      <c r="Q13" s="266">
        <v>0</v>
      </c>
      <c r="R13" s="267">
        <v>0</v>
      </c>
      <c r="S13" s="197">
        <v>300</v>
      </c>
      <c r="T13" s="188">
        <v>0</v>
      </c>
      <c r="U13" s="183">
        <f t="shared" si="1"/>
        <v>31722.09</v>
      </c>
      <c r="V13" s="184">
        <f t="shared" si="1"/>
        <v>0</v>
      </c>
      <c r="W13" s="170">
        <v>261.94</v>
      </c>
      <c r="X13" s="171">
        <v>17701.4</v>
      </c>
      <c r="Y13" s="170">
        <v>355.09</v>
      </c>
      <c r="Z13" s="170">
        <v>590.87</v>
      </c>
      <c r="AA13" s="170">
        <v>9269.13</v>
      </c>
      <c r="AB13" s="171">
        <v>3131.33</v>
      </c>
      <c r="AC13" s="170">
        <v>0</v>
      </c>
      <c r="AD13" s="171">
        <v>0</v>
      </c>
      <c r="AE13" s="171">
        <v>150</v>
      </c>
      <c r="AF13" s="172">
        <f>SUM(W13:AE13)</f>
        <v>31459.760000000002</v>
      </c>
      <c r="AG13" s="189">
        <f>AF13+V13+D13</f>
        <v>31562.168</v>
      </c>
      <c r="AH13" s="190">
        <f t="shared" si="2"/>
        <v>0</v>
      </c>
      <c r="AI13" s="190">
        <f t="shared" si="2"/>
        <v>0</v>
      </c>
      <c r="AJ13" s="191">
        <f>'[12]Т04'!$J$68+'[12]Т04'!$J$174</f>
        <v>549.9060000000001</v>
      </c>
      <c r="AK13" s="159">
        <f t="shared" si="3"/>
        <v>2428.2073</v>
      </c>
      <c r="AL13" s="159">
        <f t="shared" si="4"/>
        <v>724.8380000000001</v>
      </c>
      <c r="AM13" s="159">
        <f t="shared" si="5"/>
        <v>3624.19</v>
      </c>
      <c r="AN13" s="159">
        <f t="shared" si="6"/>
        <v>761.0799</v>
      </c>
      <c r="AO13" s="159">
        <f t="shared" si="7"/>
        <v>7320.8638</v>
      </c>
      <c r="AP13" s="159">
        <f t="shared" si="8"/>
        <v>3732.9157</v>
      </c>
      <c r="AQ13" s="159">
        <f t="shared" si="9"/>
        <v>2718.1425</v>
      </c>
      <c r="AR13" s="159">
        <f t="shared" si="10"/>
        <v>2718.1425</v>
      </c>
      <c r="AS13" s="159"/>
      <c r="AT13" s="192">
        <f t="shared" si="11"/>
        <v>402.52500000000003</v>
      </c>
      <c r="AU13" s="193">
        <v>2213</v>
      </c>
      <c r="AV13" s="193"/>
      <c r="AW13" s="193"/>
      <c r="AX13" s="193">
        <f>3640</f>
        <v>3640</v>
      </c>
      <c r="AY13" s="193"/>
      <c r="AZ13" s="116"/>
      <c r="BA13" s="194"/>
      <c r="BB13" s="194"/>
      <c r="BC13" s="164">
        <f t="shared" si="12"/>
        <v>30283.904700000006</v>
      </c>
      <c r="BD13" s="195">
        <f>'[11]Т04'!$S$68+'[11]Т04'!$S$174</f>
        <v>342.52700000000004</v>
      </c>
      <c r="BE13" s="180">
        <f>BC13+BD13</f>
        <v>30626.43170000001</v>
      </c>
      <c r="BF13" s="180">
        <f>AG13+AJ13-BE13</f>
        <v>1485.6422999999922</v>
      </c>
      <c r="BG13" s="180">
        <f>AF13-U13</f>
        <v>-262.3299999999981</v>
      </c>
    </row>
    <row r="14" spans="1:59" ht="12.75">
      <c r="A14" s="162" t="s">
        <v>49</v>
      </c>
      <c r="B14" s="196">
        <v>3624.19</v>
      </c>
      <c r="C14" s="122">
        <f t="shared" si="0"/>
        <v>30986.824500000002</v>
      </c>
      <c r="D14" s="104">
        <v>102.408</v>
      </c>
      <c r="E14" s="268">
        <v>0</v>
      </c>
      <c r="F14" s="171">
        <v>0</v>
      </c>
      <c r="G14" s="164">
        <v>18815.56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9137.27</v>
      </c>
      <c r="N14" s="164">
        <v>0</v>
      </c>
      <c r="O14" s="164">
        <v>3469.28</v>
      </c>
      <c r="P14" s="165">
        <v>0</v>
      </c>
      <c r="Q14" s="164">
        <v>0</v>
      </c>
      <c r="R14" s="165">
        <v>0</v>
      </c>
      <c r="S14" s="170">
        <v>300</v>
      </c>
      <c r="T14" s="171">
        <v>0</v>
      </c>
      <c r="U14" s="197">
        <f t="shared" si="1"/>
        <v>31722.11</v>
      </c>
      <c r="V14" s="198">
        <f>F14+H14+J14+L14+N14++R14+T14</f>
        <v>0</v>
      </c>
      <c r="W14" s="170">
        <v>-82.45</v>
      </c>
      <c r="X14" s="171">
        <v>20283.86</v>
      </c>
      <c r="Y14" s="170">
        <v>-111.61</v>
      </c>
      <c r="Z14" s="170">
        <v>-185.79</v>
      </c>
      <c r="AA14" s="170">
        <v>9748.14</v>
      </c>
      <c r="AB14" s="170">
        <v>4995.17</v>
      </c>
      <c r="AC14" s="170">
        <v>0</v>
      </c>
      <c r="AD14" s="171">
        <v>0</v>
      </c>
      <c r="AE14" s="172">
        <v>269.18</v>
      </c>
      <c r="AF14" s="199">
        <f>SUM(W14:AE14)</f>
        <v>34916.5</v>
      </c>
      <c r="AG14" s="189">
        <f aca="true" t="shared" si="13" ref="AG14:AG21">D14+V14+AF14</f>
        <v>35018.908</v>
      </c>
      <c r="AH14" s="190">
        <f t="shared" si="2"/>
        <v>0</v>
      </c>
      <c r="AI14" s="190">
        <f t="shared" si="2"/>
        <v>0</v>
      </c>
      <c r="AJ14" s="191">
        <f>'[11]Т05'!$J$68+'[11]Т05'!$J$172</f>
        <v>549.9060000000001</v>
      </c>
      <c r="AK14" s="159">
        <f t="shared" si="3"/>
        <v>2428.2073</v>
      </c>
      <c r="AL14" s="159">
        <f t="shared" si="4"/>
        <v>724.8380000000001</v>
      </c>
      <c r="AM14" s="159">
        <f t="shared" si="5"/>
        <v>3624.19</v>
      </c>
      <c r="AN14" s="159">
        <f t="shared" si="6"/>
        <v>761.0799</v>
      </c>
      <c r="AO14" s="159">
        <f t="shared" si="7"/>
        <v>7320.8638</v>
      </c>
      <c r="AP14" s="159">
        <f t="shared" si="8"/>
        <v>3732.9157</v>
      </c>
      <c r="AQ14" s="159">
        <f t="shared" si="9"/>
        <v>2718.1425</v>
      </c>
      <c r="AR14" s="159">
        <f t="shared" si="10"/>
        <v>2718.1425</v>
      </c>
      <c r="AS14" s="159"/>
      <c r="AT14" s="192">
        <f t="shared" si="11"/>
        <v>402.52500000000003</v>
      </c>
      <c r="AU14" s="193">
        <v>1636</v>
      </c>
      <c r="AV14" s="193"/>
      <c r="AW14" s="193"/>
      <c r="AX14" s="193">
        <f>34+351+15.96</f>
        <v>400.96</v>
      </c>
      <c r="AY14" s="193"/>
      <c r="AZ14" s="116"/>
      <c r="BA14" s="194"/>
      <c r="BB14" s="194"/>
      <c r="BC14" s="164">
        <f t="shared" si="12"/>
        <v>26467.864700000006</v>
      </c>
      <c r="BD14" s="195">
        <f>'[11]Т05'!$S$68+'[11]Т05'!$S$172</f>
        <v>342.52700000000004</v>
      </c>
      <c r="BE14" s="180">
        <f aca="true" t="shared" si="14" ref="BE14:BE21">BC14+BD14</f>
        <v>26810.391700000007</v>
      </c>
      <c r="BF14" s="180">
        <f aca="true" t="shared" si="15" ref="BF14:BF21">AG14+AJ14-BE14</f>
        <v>8758.422299999998</v>
      </c>
      <c r="BG14" s="180">
        <f aca="true" t="shared" si="16" ref="BG14:BG21">AF14-U14</f>
        <v>3194.3899999999994</v>
      </c>
    </row>
    <row r="15" spans="1:59" ht="12.75">
      <c r="A15" s="162" t="s">
        <v>50</v>
      </c>
      <c r="B15" s="163">
        <v>3624.19</v>
      </c>
      <c r="C15" s="122">
        <f t="shared" si="0"/>
        <v>30986.824500000002</v>
      </c>
      <c r="D15" s="104">
        <v>102.408</v>
      </c>
      <c r="E15" s="200">
        <v>0</v>
      </c>
      <c r="F15" s="200"/>
      <c r="G15" s="200">
        <v>18815.55</v>
      </c>
      <c r="H15" s="200"/>
      <c r="I15" s="201">
        <v>0</v>
      </c>
      <c r="J15" s="201"/>
      <c r="K15" s="201">
        <v>0</v>
      </c>
      <c r="L15" s="201"/>
      <c r="M15" s="201">
        <v>9137.26</v>
      </c>
      <c r="N15" s="201"/>
      <c r="O15" s="201">
        <v>3169.3</v>
      </c>
      <c r="P15" s="201"/>
      <c r="Q15" s="201">
        <v>0</v>
      </c>
      <c r="R15" s="202"/>
      <c r="S15" s="202">
        <v>300</v>
      </c>
      <c r="T15" s="201"/>
      <c r="U15" s="203">
        <f t="shared" si="1"/>
        <v>31422.109999999997</v>
      </c>
      <c r="V15" s="204">
        <f t="shared" si="1"/>
        <v>0</v>
      </c>
      <c r="W15" s="205">
        <v>1581.27</v>
      </c>
      <c r="X15" s="200">
        <v>17011.92</v>
      </c>
      <c r="Y15" s="200">
        <v>110.17</v>
      </c>
      <c r="Z15" s="200">
        <v>115.41</v>
      </c>
      <c r="AA15" s="200">
        <v>8523.65</v>
      </c>
      <c r="AB15" s="200">
        <v>2929.61</v>
      </c>
      <c r="AC15" s="200">
        <v>0</v>
      </c>
      <c r="AD15" s="200">
        <v>0</v>
      </c>
      <c r="AE15" s="206">
        <v>649.5</v>
      </c>
      <c r="AF15" s="207">
        <f aca="true" t="shared" si="17" ref="AF15:AF21">SUM(W15:AE15)</f>
        <v>30921.53</v>
      </c>
      <c r="AG15" s="189">
        <f t="shared" si="13"/>
        <v>31023.938</v>
      </c>
      <c r="AH15" s="190">
        <f t="shared" si="2"/>
        <v>0</v>
      </c>
      <c r="AI15" s="190">
        <f t="shared" si="2"/>
        <v>0</v>
      </c>
      <c r="AJ15" s="191">
        <f>'[11]Т06'!$J$68+'[11]Т06'!$J$172</f>
        <v>549.9060000000001</v>
      </c>
      <c r="AK15" s="159">
        <f t="shared" si="3"/>
        <v>2428.2073</v>
      </c>
      <c r="AL15" s="159">
        <f t="shared" si="4"/>
        <v>724.8380000000001</v>
      </c>
      <c r="AM15" s="159">
        <f t="shared" si="5"/>
        <v>3624.19</v>
      </c>
      <c r="AN15" s="159">
        <f t="shared" si="6"/>
        <v>761.0799</v>
      </c>
      <c r="AO15" s="159">
        <f t="shared" si="7"/>
        <v>7320.8638</v>
      </c>
      <c r="AP15" s="159">
        <f t="shared" si="8"/>
        <v>3732.9157</v>
      </c>
      <c r="AQ15" s="159">
        <f t="shared" si="9"/>
        <v>2718.1425</v>
      </c>
      <c r="AR15" s="159">
        <f t="shared" si="10"/>
        <v>2718.1425</v>
      </c>
      <c r="AS15" s="159"/>
      <c r="AT15" s="192">
        <f t="shared" si="11"/>
        <v>402.52500000000003</v>
      </c>
      <c r="AU15" s="193">
        <v>896</v>
      </c>
      <c r="AV15" s="193"/>
      <c r="AW15" s="193"/>
      <c r="AX15" s="193">
        <f>17+540</f>
        <v>557</v>
      </c>
      <c r="AY15" s="193"/>
      <c r="AZ15" s="159"/>
      <c r="BA15" s="194"/>
      <c r="BB15" s="194"/>
      <c r="BC15" s="208">
        <f t="shared" si="12"/>
        <v>25883.904700000006</v>
      </c>
      <c r="BD15" s="179">
        <f>'[11]Т01'!$R$68+'[11]Т01'!$R$170</f>
        <v>342.52700000000004</v>
      </c>
      <c r="BE15" s="180">
        <f t="shared" si="14"/>
        <v>26226.43170000001</v>
      </c>
      <c r="BF15" s="180">
        <f t="shared" si="15"/>
        <v>5347.412299999989</v>
      </c>
      <c r="BG15" s="180">
        <f t="shared" si="16"/>
        <v>-500.5799999999981</v>
      </c>
    </row>
    <row r="16" spans="1:59" ht="12.75">
      <c r="A16" s="162" t="s">
        <v>51</v>
      </c>
      <c r="B16" s="163">
        <v>3624.19</v>
      </c>
      <c r="C16" s="122">
        <f t="shared" si="0"/>
        <v>30986.824500000002</v>
      </c>
      <c r="D16" s="104">
        <v>102.408</v>
      </c>
      <c r="E16" s="209"/>
      <c r="F16" s="209"/>
      <c r="G16" s="209">
        <v>18815.54</v>
      </c>
      <c r="H16" s="209"/>
      <c r="I16" s="209"/>
      <c r="J16" s="209"/>
      <c r="K16" s="209"/>
      <c r="L16" s="209"/>
      <c r="M16" s="209">
        <v>9137.27</v>
      </c>
      <c r="N16" s="209"/>
      <c r="O16" s="209">
        <v>3169.29</v>
      </c>
      <c r="P16" s="209"/>
      <c r="Q16" s="209"/>
      <c r="R16" s="209"/>
      <c r="S16" s="210">
        <v>300</v>
      </c>
      <c r="T16" s="205"/>
      <c r="U16" s="211">
        <f t="shared" si="1"/>
        <v>31422.100000000002</v>
      </c>
      <c r="V16" s="212">
        <f t="shared" si="1"/>
        <v>0</v>
      </c>
      <c r="W16" s="213">
        <v>1.86</v>
      </c>
      <c r="X16" s="209">
        <v>15448.02</v>
      </c>
      <c r="Y16" s="209">
        <v>1602.52</v>
      </c>
      <c r="Z16" s="209">
        <v>4.19</v>
      </c>
      <c r="AA16" s="209">
        <v>7508.33</v>
      </c>
      <c r="AB16" s="209">
        <v>2603.8</v>
      </c>
      <c r="AC16" s="200"/>
      <c r="AD16" s="209"/>
      <c r="AE16" s="210">
        <v>318.65</v>
      </c>
      <c r="AF16" s="207">
        <f t="shared" si="17"/>
        <v>27487.37</v>
      </c>
      <c r="AG16" s="214">
        <f t="shared" si="13"/>
        <v>27589.778</v>
      </c>
      <c r="AH16" s="190">
        <f t="shared" si="2"/>
        <v>0</v>
      </c>
      <c r="AI16" s="190">
        <f t="shared" si="2"/>
        <v>0</v>
      </c>
      <c r="AJ16" s="191">
        <f>'[11]Т07'!$J$68+'[11]Т07'!$J$176</f>
        <v>549.9060000000001</v>
      </c>
      <c r="AK16" s="159">
        <f t="shared" si="3"/>
        <v>2428.2073</v>
      </c>
      <c r="AL16" s="159">
        <f t="shared" si="4"/>
        <v>724.8380000000001</v>
      </c>
      <c r="AM16" s="159">
        <f t="shared" si="5"/>
        <v>3624.19</v>
      </c>
      <c r="AN16" s="159">
        <f t="shared" si="6"/>
        <v>761.0799</v>
      </c>
      <c r="AO16" s="159">
        <f t="shared" si="7"/>
        <v>7320.8638</v>
      </c>
      <c r="AP16" s="159">
        <f t="shared" si="8"/>
        <v>3732.9157</v>
      </c>
      <c r="AQ16" s="159">
        <f t="shared" si="9"/>
        <v>2718.1425</v>
      </c>
      <c r="AR16" s="159">
        <f t="shared" si="10"/>
        <v>2718.1425</v>
      </c>
      <c r="AS16" s="159"/>
      <c r="AT16" s="192">
        <f t="shared" si="11"/>
        <v>402.52500000000003</v>
      </c>
      <c r="AU16" s="193"/>
      <c r="AV16" s="193"/>
      <c r="AW16" s="193"/>
      <c r="AX16" s="193">
        <f>96.43+18.86</f>
        <v>115.29</v>
      </c>
      <c r="AY16" s="193"/>
      <c r="AZ16" s="116"/>
      <c r="BA16" s="194"/>
      <c r="BB16" s="194"/>
      <c r="BC16" s="164">
        <f t="shared" si="12"/>
        <v>24546.194700000007</v>
      </c>
      <c r="BD16" s="179">
        <f>'[11]Т02'!$S$68+'[11]Т02'!$S$171</f>
        <v>342.52700000000004</v>
      </c>
      <c r="BE16" s="180">
        <f t="shared" si="14"/>
        <v>24888.72170000001</v>
      </c>
      <c r="BF16" s="180">
        <f t="shared" si="15"/>
        <v>3250.9622999999883</v>
      </c>
      <c r="BG16" s="180">
        <f t="shared" si="16"/>
        <v>-3934.730000000003</v>
      </c>
    </row>
    <row r="17" spans="1:59" ht="12.75">
      <c r="A17" s="162" t="s">
        <v>52</v>
      </c>
      <c r="B17" s="163">
        <v>3624.19</v>
      </c>
      <c r="C17" s="122">
        <f t="shared" si="0"/>
        <v>30986.824500000002</v>
      </c>
      <c r="D17" s="104">
        <v>102.408</v>
      </c>
      <c r="E17" s="209"/>
      <c r="F17" s="209"/>
      <c r="G17" s="209">
        <v>18815.55</v>
      </c>
      <c r="H17" s="209"/>
      <c r="I17" s="209"/>
      <c r="J17" s="209"/>
      <c r="K17" s="209"/>
      <c r="L17" s="209"/>
      <c r="M17" s="209">
        <v>9137.28</v>
      </c>
      <c r="N17" s="209"/>
      <c r="O17" s="209">
        <v>3169.28</v>
      </c>
      <c r="P17" s="209"/>
      <c r="Q17" s="209"/>
      <c r="R17" s="209"/>
      <c r="S17" s="210">
        <v>300</v>
      </c>
      <c r="T17" s="206"/>
      <c r="U17" s="215">
        <f t="shared" si="1"/>
        <v>31422.11</v>
      </c>
      <c r="V17" s="216">
        <f t="shared" si="1"/>
        <v>0</v>
      </c>
      <c r="W17" s="209">
        <v>15.91</v>
      </c>
      <c r="X17" s="209">
        <v>19657.51</v>
      </c>
      <c r="Y17" s="209">
        <v>21.57</v>
      </c>
      <c r="Z17" s="209">
        <v>35.92</v>
      </c>
      <c r="AA17" s="209">
        <v>9599.12</v>
      </c>
      <c r="AB17" s="209">
        <v>3323.96</v>
      </c>
      <c r="AC17" s="209"/>
      <c r="AD17" s="209"/>
      <c r="AE17" s="210">
        <v>559.28</v>
      </c>
      <c r="AF17" s="207">
        <f t="shared" si="17"/>
        <v>33213.27</v>
      </c>
      <c r="AG17" s="214">
        <f t="shared" si="13"/>
        <v>33315.678</v>
      </c>
      <c r="AH17" s="190">
        <f t="shared" si="2"/>
        <v>0</v>
      </c>
      <c r="AI17" s="190">
        <f t="shared" si="2"/>
        <v>0</v>
      </c>
      <c r="AJ17" s="191">
        <f>'[11]Т08'!$J$68+'[11]Т08'!$J$180</f>
        <v>549.9060000000001</v>
      </c>
      <c r="AK17" s="159">
        <f t="shared" si="3"/>
        <v>2428.2073</v>
      </c>
      <c r="AL17" s="159">
        <f t="shared" si="4"/>
        <v>724.8380000000001</v>
      </c>
      <c r="AM17" s="159">
        <f t="shared" si="5"/>
        <v>3624.19</v>
      </c>
      <c r="AN17" s="159">
        <f t="shared" si="6"/>
        <v>761.0799</v>
      </c>
      <c r="AO17" s="159">
        <f t="shared" si="7"/>
        <v>7320.8638</v>
      </c>
      <c r="AP17" s="159">
        <f t="shared" si="8"/>
        <v>3732.9157</v>
      </c>
      <c r="AQ17" s="159">
        <f t="shared" si="9"/>
        <v>2718.1425</v>
      </c>
      <c r="AR17" s="159">
        <f t="shared" si="10"/>
        <v>2718.1425</v>
      </c>
      <c r="AS17" s="159"/>
      <c r="AT17" s="192">
        <f t="shared" si="11"/>
        <v>402.52500000000003</v>
      </c>
      <c r="AU17" s="193"/>
      <c r="AV17" s="193"/>
      <c r="AW17" s="193">
        <v>230</v>
      </c>
      <c r="AX17" s="193">
        <f>6992+16+15.2</f>
        <v>7023.2</v>
      </c>
      <c r="AY17" s="193"/>
      <c r="AZ17" s="116"/>
      <c r="BA17" s="194"/>
      <c r="BB17" s="194"/>
      <c r="BC17" s="164">
        <f t="shared" si="12"/>
        <v>31684.104700000007</v>
      </c>
      <c r="BD17" s="179">
        <f>'[11]Т03'!$S$68+'[11]Т03'!$S$172</f>
        <v>342.52700000000004</v>
      </c>
      <c r="BE17" s="180">
        <f t="shared" si="14"/>
        <v>32026.631700000005</v>
      </c>
      <c r="BF17" s="180">
        <f t="shared" si="15"/>
        <v>1838.9522999999972</v>
      </c>
      <c r="BG17" s="180">
        <f t="shared" si="16"/>
        <v>1791.1599999999962</v>
      </c>
    </row>
    <row r="18" spans="1:59" ht="12.75">
      <c r="A18" s="162" t="s">
        <v>53</v>
      </c>
      <c r="B18" s="163">
        <v>3624.19</v>
      </c>
      <c r="C18" s="122">
        <f t="shared" si="0"/>
        <v>30986.824500000002</v>
      </c>
      <c r="D18" s="104">
        <v>102.408</v>
      </c>
      <c r="E18" s="209"/>
      <c r="F18" s="209"/>
      <c r="G18" s="209">
        <v>19171.97</v>
      </c>
      <c r="H18" s="209"/>
      <c r="I18" s="209"/>
      <c r="J18" s="209"/>
      <c r="K18" s="209"/>
      <c r="L18" s="209"/>
      <c r="M18" s="209">
        <v>9310.38</v>
      </c>
      <c r="N18" s="209"/>
      <c r="O18" s="209">
        <v>3229.38</v>
      </c>
      <c r="P18" s="209"/>
      <c r="Q18" s="209"/>
      <c r="R18" s="209"/>
      <c r="S18" s="210">
        <v>300</v>
      </c>
      <c r="T18" s="217"/>
      <c r="U18" s="217">
        <f t="shared" si="1"/>
        <v>32011.73</v>
      </c>
      <c r="V18" s="218">
        <f t="shared" si="1"/>
        <v>0</v>
      </c>
      <c r="W18" s="209">
        <v>17.89</v>
      </c>
      <c r="X18" s="209">
        <v>17034.81</v>
      </c>
      <c r="Y18" s="209">
        <v>24.26</v>
      </c>
      <c r="Z18" s="209">
        <v>49.88</v>
      </c>
      <c r="AA18" s="209">
        <v>8207.49</v>
      </c>
      <c r="AB18" s="209">
        <v>2843.85</v>
      </c>
      <c r="AC18" s="209"/>
      <c r="AD18" s="209"/>
      <c r="AE18" s="210">
        <v>312.94</v>
      </c>
      <c r="AF18" s="207">
        <f t="shared" si="17"/>
        <v>28491.12</v>
      </c>
      <c r="AG18" s="214">
        <f t="shared" si="13"/>
        <v>28593.528</v>
      </c>
      <c r="AH18" s="190">
        <f t="shared" si="2"/>
        <v>0</v>
      </c>
      <c r="AI18" s="190">
        <f t="shared" si="2"/>
        <v>0</v>
      </c>
      <c r="AJ18" s="191">
        <f>'[11]Т09'!$J$68+'[11]Т09'!$J$180</f>
        <v>549.9060000000001</v>
      </c>
      <c r="AK18" s="159">
        <f t="shared" si="3"/>
        <v>2428.2073</v>
      </c>
      <c r="AL18" s="159">
        <f t="shared" si="4"/>
        <v>724.8380000000001</v>
      </c>
      <c r="AM18" s="159">
        <f t="shared" si="5"/>
        <v>3624.19</v>
      </c>
      <c r="AN18" s="159">
        <f t="shared" si="6"/>
        <v>761.0799</v>
      </c>
      <c r="AO18" s="159">
        <f t="shared" si="7"/>
        <v>7320.8638</v>
      </c>
      <c r="AP18" s="159">
        <f t="shared" si="8"/>
        <v>3732.9157</v>
      </c>
      <c r="AQ18" s="159">
        <f t="shared" si="9"/>
        <v>2718.1425</v>
      </c>
      <c r="AR18" s="159">
        <f t="shared" si="10"/>
        <v>2718.1425</v>
      </c>
      <c r="AS18" s="159"/>
      <c r="AT18" s="192">
        <f t="shared" si="11"/>
        <v>402.52500000000003</v>
      </c>
      <c r="AU18" s="193"/>
      <c r="AV18" s="193"/>
      <c r="AW18" s="193">
        <v>1513</v>
      </c>
      <c r="AX18" s="193">
        <f>115.37</f>
        <v>115.37</v>
      </c>
      <c r="AY18" s="193"/>
      <c r="AZ18" s="116"/>
      <c r="BA18" s="194"/>
      <c r="BB18" s="194"/>
      <c r="BC18" s="164">
        <f t="shared" si="12"/>
        <v>26059.274700000005</v>
      </c>
      <c r="BD18" s="195">
        <f>'[11]Т04'!$S$68+'[11]Т04'!$S$174</f>
        <v>342.52700000000004</v>
      </c>
      <c r="BE18" s="180">
        <f t="shared" si="14"/>
        <v>26401.801700000004</v>
      </c>
      <c r="BF18" s="180">
        <f t="shared" si="15"/>
        <v>2741.632299999994</v>
      </c>
      <c r="BG18" s="180">
        <f t="shared" si="16"/>
        <v>-3520.6100000000006</v>
      </c>
    </row>
    <row r="19" spans="1:59" ht="12.75">
      <c r="A19" s="162" t="s">
        <v>41</v>
      </c>
      <c r="B19" s="163">
        <v>3624.19</v>
      </c>
      <c r="C19" s="122">
        <f t="shared" si="0"/>
        <v>30986.824500000002</v>
      </c>
      <c r="D19" s="104">
        <v>102.408</v>
      </c>
      <c r="E19" s="200"/>
      <c r="F19" s="200"/>
      <c r="G19" s="200">
        <v>19180.35</v>
      </c>
      <c r="H19" s="200"/>
      <c r="I19" s="200"/>
      <c r="J19" s="200"/>
      <c r="K19" s="200"/>
      <c r="L19" s="200"/>
      <c r="M19" s="200">
        <v>9314.51</v>
      </c>
      <c r="N19" s="200"/>
      <c r="O19" s="200">
        <v>3230.86</v>
      </c>
      <c r="P19" s="200"/>
      <c r="Q19" s="200"/>
      <c r="R19" s="200"/>
      <c r="S19" s="206">
        <v>300</v>
      </c>
      <c r="T19" s="219"/>
      <c r="U19" s="220">
        <f t="shared" si="1"/>
        <v>32025.72</v>
      </c>
      <c r="V19" s="221">
        <f t="shared" si="1"/>
        <v>0</v>
      </c>
      <c r="W19" s="200">
        <v>0</v>
      </c>
      <c r="X19" s="200">
        <v>22726.53</v>
      </c>
      <c r="Y19" s="200">
        <v>0</v>
      </c>
      <c r="Z19" s="200">
        <v>0</v>
      </c>
      <c r="AA19" s="200">
        <v>12548.76</v>
      </c>
      <c r="AB19" s="200">
        <v>6158.2</v>
      </c>
      <c r="AC19" s="200"/>
      <c r="AD19" s="200"/>
      <c r="AE19" s="206">
        <v>250.03</v>
      </c>
      <c r="AF19" s="207">
        <f t="shared" si="17"/>
        <v>41683.52</v>
      </c>
      <c r="AG19" s="214">
        <f t="shared" si="13"/>
        <v>41785.928</v>
      </c>
      <c r="AH19" s="190">
        <f t="shared" si="2"/>
        <v>0</v>
      </c>
      <c r="AI19" s="190">
        <f t="shared" si="2"/>
        <v>0</v>
      </c>
      <c r="AJ19" s="191">
        <f>'[13]Т10'!$J$68+'[13]Т10'!$J$180</f>
        <v>549.9060000000001</v>
      </c>
      <c r="AK19" s="159">
        <f t="shared" si="3"/>
        <v>2428.2073</v>
      </c>
      <c r="AL19" s="159">
        <f t="shared" si="4"/>
        <v>724.8380000000001</v>
      </c>
      <c r="AM19" s="159">
        <f t="shared" si="5"/>
        <v>3624.19</v>
      </c>
      <c r="AN19" s="159">
        <f t="shared" si="6"/>
        <v>761.0799</v>
      </c>
      <c r="AO19" s="159">
        <f t="shared" si="7"/>
        <v>7320.8638</v>
      </c>
      <c r="AP19" s="159">
        <f t="shared" si="8"/>
        <v>3732.9157</v>
      </c>
      <c r="AQ19" s="159">
        <f t="shared" si="9"/>
        <v>2718.1425</v>
      </c>
      <c r="AR19" s="159">
        <f t="shared" si="10"/>
        <v>2718.1425</v>
      </c>
      <c r="AS19" s="222">
        <f>B19*1.15</f>
        <v>4167.818499999999</v>
      </c>
      <c r="AT19" s="192">
        <f t="shared" si="11"/>
        <v>402.52500000000003</v>
      </c>
      <c r="AU19" s="193"/>
      <c r="AV19" s="193"/>
      <c r="AW19" s="193">
        <v>199</v>
      </c>
      <c r="AX19" s="193">
        <f>570</f>
        <v>570</v>
      </c>
      <c r="AY19" s="193"/>
      <c r="AZ19" s="116"/>
      <c r="BA19" s="194"/>
      <c r="BB19" s="194"/>
      <c r="BC19" s="164">
        <f t="shared" si="12"/>
        <v>29367.723200000008</v>
      </c>
      <c r="BD19" s="195">
        <f>'[11]Т05'!$S$68+'[11]Т05'!$S$172</f>
        <v>342.52700000000004</v>
      </c>
      <c r="BE19" s="180">
        <f t="shared" si="14"/>
        <v>29710.25020000001</v>
      </c>
      <c r="BF19" s="180">
        <f t="shared" si="15"/>
        <v>12625.583799999993</v>
      </c>
      <c r="BG19" s="180">
        <f t="shared" si="16"/>
        <v>9657.799999999996</v>
      </c>
    </row>
    <row r="20" spans="1:59" ht="12.75">
      <c r="A20" s="162" t="s">
        <v>42</v>
      </c>
      <c r="B20" s="163">
        <v>3624.19</v>
      </c>
      <c r="C20" s="122">
        <f t="shared" si="0"/>
        <v>30986.824500000002</v>
      </c>
      <c r="D20" s="104">
        <v>102.408</v>
      </c>
      <c r="E20" s="200"/>
      <c r="F20" s="200"/>
      <c r="G20" s="200">
        <v>19181.61</v>
      </c>
      <c r="H20" s="200"/>
      <c r="I20" s="200"/>
      <c r="J20" s="200"/>
      <c r="K20" s="200"/>
      <c r="L20" s="200"/>
      <c r="M20" s="200">
        <v>9315.11</v>
      </c>
      <c r="N20" s="200"/>
      <c r="O20" s="200">
        <v>3231.07</v>
      </c>
      <c r="P20" s="200"/>
      <c r="Q20" s="200"/>
      <c r="R20" s="200"/>
      <c r="S20" s="206">
        <v>300</v>
      </c>
      <c r="T20" s="219"/>
      <c r="U20" s="220">
        <f t="shared" si="1"/>
        <v>32027.79</v>
      </c>
      <c r="V20" s="221">
        <f t="shared" si="1"/>
        <v>0</v>
      </c>
      <c r="W20" s="200">
        <v>0</v>
      </c>
      <c r="X20" s="200">
        <v>19200.55</v>
      </c>
      <c r="Y20" s="200">
        <v>0</v>
      </c>
      <c r="Z20" s="200">
        <v>0</v>
      </c>
      <c r="AA20" s="200">
        <v>9323.68</v>
      </c>
      <c r="AB20" s="200">
        <v>3233.45</v>
      </c>
      <c r="AC20" s="200"/>
      <c r="AD20" s="200"/>
      <c r="AE20" s="206">
        <v>366.66</v>
      </c>
      <c r="AF20" s="207">
        <f t="shared" si="17"/>
        <v>32124.34</v>
      </c>
      <c r="AG20" s="214">
        <f t="shared" si="13"/>
        <v>32226.748</v>
      </c>
      <c r="AH20" s="190">
        <f t="shared" si="2"/>
        <v>0</v>
      </c>
      <c r="AI20" s="190">
        <f t="shared" si="2"/>
        <v>0</v>
      </c>
      <c r="AJ20" s="191">
        <f>'[11]Т11'!$J$68+'[11]Т11'!$J$180</f>
        <v>549.9060000000001</v>
      </c>
      <c r="AK20" s="159">
        <f t="shared" si="3"/>
        <v>2428.2073</v>
      </c>
      <c r="AL20" s="159">
        <f t="shared" si="4"/>
        <v>724.8380000000001</v>
      </c>
      <c r="AM20" s="159">
        <f t="shared" si="5"/>
        <v>3624.19</v>
      </c>
      <c r="AN20" s="159">
        <f t="shared" si="6"/>
        <v>761.0799</v>
      </c>
      <c r="AO20" s="159">
        <f t="shared" si="7"/>
        <v>7320.8638</v>
      </c>
      <c r="AP20" s="159">
        <f t="shared" si="8"/>
        <v>3732.9157</v>
      </c>
      <c r="AQ20" s="159">
        <f t="shared" si="9"/>
        <v>2718.1425</v>
      </c>
      <c r="AR20" s="159">
        <f t="shared" si="10"/>
        <v>2718.1425</v>
      </c>
      <c r="AS20" s="222">
        <f>B20*1.15</f>
        <v>4167.818499999999</v>
      </c>
      <c r="AT20" s="192">
        <f t="shared" si="11"/>
        <v>402.52500000000003</v>
      </c>
      <c r="AU20" s="193">
        <v>3144</v>
      </c>
      <c r="AV20" s="193"/>
      <c r="AW20" s="193"/>
      <c r="AX20" s="193">
        <f>79.02+134</f>
        <v>213.01999999999998</v>
      </c>
      <c r="AY20" s="193"/>
      <c r="AZ20" s="116"/>
      <c r="BA20" s="194"/>
      <c r="BB20" s="194"/>
      <c r="BC20" s="164">
        <f t="shared" si="12"/>
        <v>31955.743200000008</v>
      </c>
      <c r="BD20" s="179">
        <f>'[11]Т01'!$R$68+'[11]Т01'!$R$170</f>
        <v>342.52700000000004</v>
      </c>
      <c r="BE20" s="180">
        <f t="shared" si="14"/>
        <v>32298.270200000006</v>
      </c>
      <c r="BF20" s="180">
        <f t="shared" si="15"/>
        <v>478.383799999996</v>
      </c>
      <c r="BG20" s="180">
        <f t="shared" si="16"/>
        <v>96.54999999999927</v>
      </c>
    </row>
    <row r="21" spans="1:59" ht="13.5" thickBot="1">
      <c r="A21" s="162" t="s">
        <v>43</v>
      </c>
      <c r="B21" s="163">
        <v>3624.19</v>
      </c>
      <c r="C21" s="122">
        <f t="shared" si="0"/>
        <v>30986.824500000002</v>
      </c>
      <c r="D21" s="269">
        <v>102.408</v>
      </c>
      <c r="E21" s="223"/>
      <c r="F21" s="223"/>
      <c r="G21" s="223">
        <v>19189.14</v>
      </c>
      <c r="H21" s="223"/>
      <c r="I21" s="223"/>
      <c r="J21" s="223"/>
      <c r="K21" s="223"/>
      <c r="L21" s="223"/>
      <c r="M21" s="223">
        <v>9318.81</v>
      </c>
      <c r="N21" s="223"/>
      <c r="O21" s="223">
        <v>3232.38</v>
      </c>
      <c r="P21" s="223"/>
      <c r="Q21" s="223"/>
      <c r="R21" s="223"/>
      <c r="S21" s="224">
        <v>300</v>
      </c>
      <c r="T21" s="225"/>
      <c r="U21" s="220">
        <f t="shared" si="1"/>
        <v>32040.329999999998</v>
      </c>
      <c r="V21" s="221">
        <f t="shared" si="1"/>
        <v>0</v>
      </c>
      <c r="W21" s="200">
        <v>0</v>
      </c>
      <c r="X21" s="200">
        <v>20411.46</v>
      </c>
      <c r="Y21" s="200">
        <v>0</v>
      </c>
      <c r="Z21" s="200">
        <v>0</v>
      </c>
      <c r="AA21" s="200">
        <v>9817.02</v>
      </c>
      <c r="AB21" s="200">
        <v>3404.73</v>
      </c>
      <c r="AC21" s="200"/>
      <c r="AD21" s="200"/>
      <c r="AE21" s="206">
        <v>194.58</v>
      </c>
      <c r="AF21" s="207">
        <f t="shared" si="17"/>
        <v>33827.79</v>
      </c>
      <c r="AG21" s="214">
        <f t="shared" si="13"/>
        <v>33930.198000000004</v>
      </c>
      <c r="AH21" s="190">
        <f t="shared" si="2"/>
        <v>0</v>
      </c>
      <c r="AI21" s="190">
        <f t="shared" si="2"/>
        <v>0</v>
      </c>
      <c r="AJ21" s="191">
        <f>'[11]Т12'!$J$68+'[11]Т12'!$J$150+'[11]Т12'!$J$204</f>
        <v>16569.206000000002</v>
      </c>
      <c r="AK21" s="159">
        <f t="shared" si="3"/>
        <v>2428.2073</v>
      </c>
      <c r="AL21" s="159">
        <f t="shared" si="4"/>
        <v>724.8380000000001</v>
      </c>
      <c r="AM21" s="159">
        <f t="shared" si="5"/>
        <v>3624.19</v>
      </c>
      <c r="AN21" s="159">
        <f t="shared" si="6"/>
        <v>761.0799</v>
      </c>
      <c r="AO21" s="159">
        <f t="shared" si="7"/>
        <v>7320.8638</v>
      </c>
      <c r="AP21" s="159">
        <f t="shared" si="8"/>
        <v>3732.9157</v>
      </c>
      <c r="AQ21" s="159">
        <f t="shared" si="9"/>
        <v>2718.1425</v>
      </c>
      <c r="AR21" s="159">
        <f t="shared" si="10"/>
        <v>2718.1425</v>
      </c>
      <c r="AS21" s="222">
        <f>B21*1.15</f>
        <v>4167.818499999999</v>
      </c>
      <c r="AT21" s="192">
        <f>0.45*894.5</f>
        <v>402.52500000000003</v>
      </c>
      <c r="AU21" s="193">
        <v>965</v>
      </c>
      <c r="AV21" s="193">
        <v>339</v>
      </c>
      <c r="AW21" s="193"/>
      <c r="AX21" s="193">
        <f>74</f>
        <v>74</v>
      </c>
      <c r="AY21" s="116"/>
      <c r="AZ21" s="194"/>
      <c r="BA21" s="194"/>
      <c r="BC21" s="164">
        <f>SUM(AK21:BA21)</f>
        <v>29976.723200000008</v>
      </c>
      <c r="BD21" s="195">
        <f>'[11]Т12'!$S$68+'[11]Т12'!$S$150+'[11]Т12'!$S$204</f>
        <v>1780.527</v>
      </c>
      <c r="BE21" s="180">
        <f t="shared" si="14"/>
        <v>31757.25020000001</v>
      </c>
      <c r="BF21" s="180">
        <f t="shared" si="15"/>
        <v>18742.1538</v>
      </c>
      <c r="BG21" s="180">
        <f t="shared" si="16"/>
        <v>1787.4600000000028</v>
      </c>
    </row>
    <row r="22" spans="1:59" s="20" customFormat="1" ht="13.5" thickBot="1">
      <c r="A22" s="226" t="s">
        <v>5</v>
      </c>
      <c r="B22" s="227"/>
      <c r="C22" s="228">
        <f aca="true" t="shared" si="18" ref="C22:BF22">SUM(C10:C21)</f>
        <v>371862.41399999993</v>
      </c>
      <c r="D22" s="228">
        <f t="shared" si="18"/>
        <v>1228.8959999999997</v>
      </c>
      <c r="E22" s="228">
        <f t="shared" si="18"/>
        <v>0</v>
      </c>
      <c r="F22" s="228">
        <f t="shared" si="18"/>
        <v>0</v>
      </c>
      <c r="G22" s="228">
        <f t="shared" si="18"/>
        <v>227261.25</v>
      </c>
      <c r="H22" s="228">
        <f t="shared" si="18"/>
        <v>0</v>
      </c>
      <c r="I22" s="228">
        <f t="shared" si="18"/>
        <v>0.02</v>
      </c>
      <c r="J22" s="228">
        <f t="shared" si="18"/>
        <v>0</v>
      </c>
      <c r="K22" s="228">
        <f t="shared" si="18"/>
        <v>0</v>
      </c>
      <c r="L22" s="228">
        <f t="shared" si="18"/>
        <v>0</v>
      </c>
      <c r="M22" s="228">
        <f t="shared" si="18"/>
        <v>110363.68</v>
      </c>
      <c r="N22" s="228">
        <f t="shared" si="18"/>
        <v>0</v>
      </c>
      <c r="O22" s="228">
        <f t="shared" si="18"/>
        <v>39780.27</v>
      </c>
      <c r="P22" s="228">
        <f t="shared" si="18"/>
        <v>0</v>
      </c>
      <c r="Q22" s="228">
        <f t="shared" si="18"/>
        <v>0</v>
      </c>
      <c r="R22" s="228">
        <f t="shared" si="18"/>
        <v>0</v>
      </c>
      <c r="S22" s="228">
        <f t="shared" si="18"/>
        <v>3600</v>
      </c>
      <c r="T22" s="228">
        <f t="shared" si="18"/>
        <v>0</v>
      </c>
      <c r="U22" s="228">
        <f t="shared" si="18"/>
        <v>381005.22</v>
      </c>
      <c r="V22" s="228">
        <f t="shared" si="18"/>
        <v>0</v>
      </c>
      <c r="W22" s="228">
        <f t="shared" si="18"/>
        <v>4946.67</v>
      </c>
      <c r="X22" s="228">
        <f t="shared" si="18"/>
        <v>203159.33</v>
      </c>
      <c r="Y22" s="228">
        <f t="shared" si="18"/>
        <v>6268.640000000001</v>
      </c>
      <c r="Z22" s="228">
        <f t="shared" si="18"/>
        <v>7537.250000000001</v>
      </c>
      <c r="AA22" s="228">
        <f t="shared" si="18"/>
        <v>112441.25000000001</v>
      </c>
      <c r="AB22" s="228">
        <f t="shared" si="18"/>
        <v>40777.92</v>
      </c>
      <c r="AC22" s="228">
        <f t="shared" si="18"/>
        <v>0</v>
      </c>
      <c r="AD22" s="228">
        <f t="shared" si="18"/>
        <v>0</v>
      </c>
      <c r="AE22" s="228">
        <f t="shared" si="18"/>
        <v>3406.7799999999997</v>
      </c>
      <c r="AF22" s="228">
        <f t="shared" si="18"/>
        <v>378537.84</v>
      </c>
      <c r="AG22" s="228">
        <f t="shared" si="18"/>
        <v>379766.73600000003</v>
      </c>
      <c r="AH22" s="228">
        <f t="shared" si="18"/>
        <v>0</v>
      </c>
      <c r="AI22" s="228">
        <f t="shared" si="18"/>
        <v>0</v>
      </c>
      <c r="AJ22" s="228">
        <f t="shared" si="18"/>
        <v>22618.172000000002</v>
      </c>
      <c r="AK22" s="228">
        <f t="shared" si="18"/>
        <v>29140.095600000008</v>
      </c>
      <c r="AL22" s="228">
        <f t="shared" si="18"/>
        <v>8698.536</v>
      </c>
      <c r="AM22" s="228">
        <f t="shared" si="18"/>
        <v>43492.68</v>
      </c>
      <c r="AN22" s="228">
        <f t="shared" si="18"/>
        <v>9133.4628</v>
      </c>
      <c r="AO22" s="228">
        <f t="shared" si="18"/>
        <v>87855.21360000002</v>
      </c>
      <c r="AP22" s="228">
        <f t="shared" si="18"/>
        <v>44797.460399999996</v>
      </c>
      <c r="AQ22" s="228">
        <f t="shared" si="18"/>
        <v>32619.51000000001</v>
      </c>
      <c r="AR22" s="228">
        <f t="shared" si="18"/>
        <v>32619.51000000001</v>
      </c>
      <c r="AS22" s="228">
        <f t="shared" si="18"/>
        <v>25009.671000000002</v>
      </c>
      <c r="AT22" s="228">
        <f t="shared" si="18"/>
        <v>4830.3</v>
      </c>
      <c r="AU22" s="228">
        <f t="shared" si="18"/>
        <v>11020</v>
      </c>
      <c r="AV22" s="228">
        <f t="shared" si="18"/>
        <v>2609</v>
      </c>
      <c r="AW22" s="228">
        <f t="shared" si="18"/>
        <v>2228</v>
      </c>
      <c r="AX22" s="228">
        <f t="shared" si="18"/>
        <v>12840.9</v>
      </c>
      <c r="AY22" s="228">
        <f t="shared" si="18"/>
        <v>0</v>
      </c>
      <c r="AZ22" s="228">
        <f t="shared" si="18"/>
        <v>0</v>
      </c>
      <c r="BA22" s="228">
        <f t="shared" si="18"/>
        <v>0</v>
      </c>
      <c r="BB22" s="228">
        <f t="shared" si="18"/>
        <v>0</v>
      </c>
      <c r="BC22" s="228">
        <f>SUM(BC10:BC21)</f>
        <v>346894.33940000006</v>
      </c>
      <c r="BD22" s="228">
        <f>SUM(BD10:BD21)</f>
        <v>5548.3240000000005</v>
      </c>
      <c r="BE22" s="228">
        <f t="shared" si="18"/>
        <v>352442.6634000001</v>
      </c>
      <c r="BF22" s="228">
        <f t="shared" si="18"/>
        <v>49942.24459999995</v>
      </c>
      <c r="BG22" s="228">
        <f>SUM(BG10:BG21)</f>
        <v>-2467.380000000001</v>
      </c>
    </row>
    <row r="23" spans="1:59" s="20" customFormat="1" ht="13.5" thickBot="1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1"/>
      <c r="BF23" s="230"/>
      <c r="BG23" s="232"/>
    </row>
    <row r="24" spans="1:59" s="20" customFormat="1" ht="13.5" thickBot="1">
      <c r="A24" s="22" t="s">
        <v>54</v>
      </c>
      <c r="B24" s="230"/>
      <c r="C24" s="233">
        <f aca="true" t="shared" si="19" ref="C24:BG24">C22+C8</f>
        <v>1217939.8469999998</v>
      </c>
      <c r="D24" s="233">
        <f t="shared" si="19"/>
        <v>129564.84680755001</v>
      </c>
      <c r="E24" s="233">
        <f t="shared" si="19"/>
        <v>74513.38</v>
      </c>
      <c r="F24" s="233">
        <f t="shared" si="19"/>
        <v>11536.109999999999</v>
      </c>
      <c r="G24" s="233">
        <f t="shared" si="19"/>
        <v>227261.25</v>
      </c>
      <c r="H24" s="233">
        <f t="shared" si="19"/>
        <v>0</v>
      </c>
      <c r="I24" s="233">
        <f t="shared" si="19"/>
        <v>73142.09000000001</v>
      </c>
      <c r="J24" s="233">
        <f t="shared" si="19"/>
        <v>10102.68</v>
      </c>
      <c r="K24" s="233">
        <f t="shared" si="19"/>
        <v>167890.07</v>
      </c>
      <c r="L24" s="233">
        <f t="shared" si="19"/>
        <v>26001.550000000003</v>
      </c>
      <c r="M24" s="233">
        <f t="shared" si="19"/>
        <v>352767.72</v>
      </c>
      <c r="N24" s="233">
        <f t="shared" si="19"/>
        <v>37537.68</v>
      </c>
      <c r="O24" s="233">
        <f t="shared" si="19"/>
        <v>99990.53</v>
      </c>
      <c r="P24" s="233">
        <f t="shared" si="19"/>
        <v>9328.69</v>
      </c>
      <c r="Q24" s="233">
        <f t="shared" si="19"/>
        <v>0</v>
      </c>
      <c r="R24" s="233">
        <f t="shared" si="19"/>
        <v>0</v>
      </c>
      <c r="S24" s="233">
        <f t="shared" si="19"/>
        <v>3600</v>
      </c>
      <c r="T24" s="233">
        <f t="shared" si="19"/>
        <v>0</v>
      </c>
      <c r="U24" s="233">
        <f t="shared" si="19"/>
        <v>1026852.19</v>
      </c>
      <c r="V24" s="233">
        <f t="shared" si="19"/>
        <v>100023.34</v>
      </c>
      <c r="W24" s="233">
        <f t="shared" si="19"/>
        <v>75547.43000000001</v>
      </c>
      <c r="X24" s="233">
        <f t="shared" si="19"/>
        <v>203159.33</v>
      </c>
      <c r="Y24" s="233">
        <f t="shared" si="19"/>
        <v>101765.65999999999</v>
      </c>
      <c r="Z24" s="233">
        <f t="shared" si="19"/>
        <v>166998.83000000002</v>
      </c>
      <c r="AA24" s="233">
        <f t="shared" si="19"/>
        <v>341958.93000000005</v>
      </c>
      <c r="AB24" s="233">
        <f t="shared" si="19"/>
        <v>97270.69</v>
      </c>
      <c r="AC24" s="233">
        <f t="shared" si="19"/>
        <v>0</v>
      </c>
      <c r="AD24" s="233">
        <f t="shared" si="19"/>
        <v>0</v>
      </c>
      <c r="AE24" s="233">
        <f t="shared" si="19"/>
        <v>3406.7799999999997</v>
      </c>
      <c r="AF24" s="233">
        <f t="shared" si="19"/>
        <v>990107.6500000001</v>
      </c>
      <c r="AG24" s="233">
        <f t="shared" si="19"/>
        <v>1219695.83680755</v>
      </c>
      <c r="AH24" s="233">
        <f t="shared" si="19"/>
        <v>0</v>
      </c>
      <c r="AI24" s="233">
        <f t="shared" si="19"/>
        <v>0</v>
      </c>
      <c r="AJ24" s="233">
        <f t="shared" si="19"/>
        <v>30918.624680000004</v>
      </c>
      <c r="AK24" s="233">
        <f t="shared" si="19"/>
        <v>86958.37560000001</v>
      </c>
      <c r="AL24" s="233">
        <f t="shared" si="19"/>
        <v>28072.382487999996</v>
      </c>
      <c r="AM24" s="233">
        <f t="shared" si="19"/>
        <v>139473.30511099502</v>
      </c>
      <c r="AN24" s="233">
        <f t="shared" si="19"/>
        <v>9133.4628</v>
      </c>
      <c r="AO24" s="233">
        <f t="shared" si="19"/>
        <v>183587.64034231822</v>
      </c>
      <c r="AP24" s="233">
        <f t="shared" si="19"/>
        <v>258959.6500974198</v>
      </c>
      <c r="AQ24" s="233">
        <f t="shared" si="19"/>
        <v>32619.51000000001</v>
      </c>
      <c r="AR24" s="233">
        <f t="shared" si="19"/>
        <v>32619.51000000001</v>
      </c>
      <c r="AS24" s="233">
        <f t="shared" si="19"/>
        <v>25009.671000000002</v>
      </c>
      <c r="AT24" s="233">
        <f t="shared" si="19"/>
        <v>9660.6</v>
      </c>
      <c r="AU24" s="233">
        <f t="shared" si="19"/>
        <v>248380.87000000002</v>
      </c>
      <c r="AV24" s="233">
        <f t="shared" si="19"/>
        <v>2609</v>
      </c>
      <c r="AW24" s="233">
        <f t="shared" si="19"/>
        <v>113105.8232</v>
      </c>
      <c r="AX24" s="233">
        <f t="shared" si="19"/>
        <v>29548.668400000002</v>
      </c>
      <c r="AY24" s="233">
        <f t="shared" si="19"/>
        <v>58911.070400000004</v>
      </c>
      <c r="AZ24" s="233">
        <f t="shared" si="19"/>
        <v>0</v>
      </c>
      <c r="BA24" s="233">
        <f t="shared" si="19"/>
        <v>0</v>
      </c>
      <c r="BB24" s="233">
        <f t="shared" si="19"/>
        <v>0</v>
      </c>
      <c r="BC24" s="233">
        <f t="shared" si="19"/>
        <v>1258649.539438733</v>
      </c>
      <c r="BD24" s="233">
        <f t="shared" si="19"/>
        <v>9393.818608077401</v>
      </c>
      <c r="BE24" s="233">
        <f t="shared" si="19"/>
        <v>1268043.3580468106</v>
      </c>
      <c r="BF24" s="233">
        <f t="shared" si="19"/>
        <v>-17428.89655926045</v>
      </c>
      <c r="BG24" s="234">
        <f t="shared" si="19"/>
        <v>-36744.54000000001</v>
      </c>
    </row>
    <row r="25" spans="1:59" ht="12.75">
      <c r="A25" s="5" t="s">
        <v>124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9">
        <f>'[8]Лист1'!AB60</f>
        <v>0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60"/>
      <c r="BF25" s="157"/>
      <c r="BG25" s="161"/>
    </row>
    <row r="26" spans="1:61" ht="12.75">
      <c r="A26" s="162" t="s">
        <v>45</v>
      </c>
      <c r="B26" s="455">
        <v>3623.19</v>
      </c>
      <c r="C26" s="122">
        <f aca="true" t="shared" si="20" ref="C26:C31">B26*8.55</f>
        <v>30978.274500000003</v>
      </c>
      <c r="D26" s="269">
        <v>102.408</v>
      </c>
      <c r="E26" s="200"/>
      <c r="F26" s="200"/>
      <c r="G26" s="200">
        <v>19190.18</v>
      </c>
      <c r="H26" s="200"/>
      <c r="I26" s="200"/>
      <c r="J26" s="200"/>
      <c r="K26" s="200"/>
      <c r="L26" s="200"/>
      <c r="M26" s="200">
        <v>9319.36</v>
      </c>
      <c r="N26" s="200"/>
      <c r="O26" s="200">
        <v>3232.61</v>
      </c>
      <c r="P26" s="200"/>
      <c r="Q26" s="200"/>
      <c r="R26" s="200"/>
      <c r="S26" s="206">
        <v>300</v>
      </c>
      <c r="T26" s="225"/>
      <c r="U26" s="220">
        <f aca="true" t="shared" si="21" ref="U26:V31">E26+G26+I26+K26+M26+O26+Q26+S26</f>
        <v>32042.15</v>
      </c>
      <c r="V26" s="221">
        <f t="shared" si="21"/>
        <v>0</v>
      </c>
      <c r="W26" s="200">
        <v>0</v>
      </c>
      <c r="X26" s="200">
        <v>19345.22</v>
      </c>
      <c r="Y26" s="200">
        <v>0</v>
      </c>
      <c r="Z26" s="200">
        <v>0</v>
      </c>
      <c r="AA26" s="200">
        <v>9394.79</v>
      </c>
      <c r="AB26" s="200">
        <v>3253.33</v>
      </c>
      <c r="AC26" s="200"/>
      <c r="AD26" s="200"/>
      <c r="AE26" s="206">
        <v>349.98</v>
      </c>
      <c r="AF26" s="207">
        <f aca="true" t="shared" si="22" ref="AF26:AF31">SUM(W26:AE26)</f>
        <v>32343.320000000003</v>
      </c>
      <c r="AG26" s="214">
        <f aca="true" t="shared" si="23" ref="AG26:AG37">D26+V26+AF26</f>
        <v>32445.728000000003</v>
      </c>
      <c r="AH26" s="190">
        <f aca="true" t="shared" si="24" ref="AH26:AI37">AC26</f>
        <v>0</v>
      </c>
      <c r="AI26" s="190">
        <f t="shared" si="24"/>
        <v>0</v>
      </c>
      <c r="AJ26" s="191">
        <f>'[15]Т01'!$J$44+'[15]Т01'!$J$202</f>
        <v>671.7850000000001</v>
      </c>
      <c r="AK26" s="159">
        <f aca="true" t="shared" si="25" ref="AK26:AK31">0.67*B26</f>
        <v>2427.5373</v>
      </c>
      <c r="AL26" s="159">
        <f aca="true" t="shared" si="26" ref="AL26:AL37">B26*0.2</f>
        <v>724.638</v>
      </c>
      <c r="AM26" s="159">
        <f aca="true" t="shared" si="27" ref="AM26:AM37">B26*1</f>
        <v>3623.19</v>
      </c>
      <c r="AN26" s="159">
        <f aca="true" t="shared" si="28" ref="AN26:AN37">B26*0.21</f>
        <v>760.8699</v>
      </c>
      <c r="AO26" s="159">
        <f aca="true" t="shared" si="29" ref="AO26:AO37">2.02*B26</f>
        <v>7318.843800000001</v>
      </c>
      <c r="AP26" s="159">
        <f aca="true" t="shared" si="30" ref="AP26:AP37">B26*1.03</f>
        <v>3731.8857000000003</v>
      </c>
      <c r="AQ26" s="159">
        <f aca="true" t="shared" si="31" ref="AQ26:AQ37">B26*0.75</f>
        <v>2717.3925</v>
      </c>
      <c r="AR26" s="159">
        <f aca="true" t="shared" si="32" ref="AR26:AR37">B26*0.75</f>
        <v>2717.3925</v>
      </c>
      <c r="AS26" s="222">
        <f>B26*1.15</f>
        <v>4166.6685</v>
      </c>
      <c r="AT26" s="192">
        <f>0.45*894.5</f>
        <v>402.52500000000003</v>
      </c>
      <c r="AU26" s="456"/>
      <c r="AV26" s="193"/>
      <c r="AW26" s="193"/>
      <c r="AX26" s="193">
        <v>55.106</v>
      </c>
      <c r="AY26" s="193"/>
      <c r="AZ26" s="193"/>
      <c r="BA26" s="116"/>
      <c r="BB26" s="194"/>
      <c r="BC26" s="208">
        <f>SUM(AK26:BB26)</f>
        <v>28646.0492</v>
      </c>
      <c r="BD26" s="195">
        <f>'[15]Т01'!$S$44+'[15]Т01'!$S$202</f>
        <v>342.52700000000004</v>
      </c>
      <c r="BE26" s="180">
        <f>BD26+BC26</f>
        <v>28988.576200000003</v>
      </c>
      <c r="BF26" s="180">
        <f>AG26+AJ26-BE26</f>
        <v>4128.936800000003</v>
      </c>
      <c r="BG26" s="180">
        <f>AF26-U26</f>
        <v>301.1700000000019</v>
      </c>
      <c r="BH26" s="181"/>
      <c r="BI26" s="182"/>
    </row>
    <row r="27" spans="1:59" ht="12.75">
      <c r="A27" s="162" t="s">
        <v>46</v>
      </c>
      <c r="B27" s="163">
        <v>3623.19</v>
      </c>
      <c r="C27" s="122">
        <f t="shared" si="20"/>
        <v>30978.274500000003</v>
      </c>
      <c r="D27" s="269">
        <v>102.408</v>
      </c>
      <c r="E27" s="209"/>
      <c r="F27" s="209"/>
      <c r="G27" s="209">
        <v>19190.17</v>
      </c>
      <c r="H27" s="209"/>
      <c r="I27" s="209"/>
      <c r="J27" s="209"/>
      <c r="K27" s="209"/>
      <c r="L27" s="209"/>
      <c r="M27" s="209">
        <v>9319.35</v>
      </c>
      <c r="N27" s="209"/>
      <c r="O27" s="209">
        <v>3232.61</v>
      </c>
      <c r="P27" s="209"/>
      <c r="Q27" s="209"/>
      <c r="R27" s="209"/>
      <c r="S27" s="210">
        <v>300</v>
      </c>
      <c r="T27" s="225"/>
      <c r="U27" s="220">
        <f t="shared" si="21"/>
        <v>32042.129999999997</v>
      </c>
      <c r="V27" s="221">
        <f t="shared" si="21"/>
        <v>0</v>
      </c>
      <c r="W27" s="209">
        <v>0</v>
      </c>
      <c r="X27" s="209">
        <v>16965.23</v>
      </c>
      <c r="Y27" s="209">
        <v>0</v>
      </c>
      <c r="Z27" s="209">
        <v>0</v>
      </c>
      <c r="AA27" s="209">
        <v>8238.7</v>
      </c>
      <c r="AB27" s="209">
        <v>2857.22</v>
      </c>
      <c r="AC27" s="209"/>
      <c r="AD27" s="209"/>
      <c r="AE27" s="210">
        <v>351.27</v>
      </c>
      <c r="AF27" s="207">
        <f t="shared" si="22"/>
        <v>28412.420000000002</v>
      </c>
      <c r="AG27" s="214">
        <f t="shared" si="23"/>
        <v>28514.828</v>
      </c>
      <c r="AH27" s="190">
        <f t="shared" si="24"/>
        <v>0</v>
      </c>
      <c r="AI27" s="190">
        <f t="shared" si="24"/>
        <v>0</v>
      </c>
      <c r="AJ27" s="191">
        <f>'[15]Т01'!$J$44+'[15]Т01'!$J$202</f>
        <v>671.7850000000001</v>
      </c>
      <c r="AK27" s="170">
        <f t="shared" si="25"/>
        <v>2427.5373</v>
      </c>
      <c r="AL27" s="159">
        <f t="shared" si="26"/>
        <v>724.638</v>
      </c>
      <c r="AM27" s="159">
        <f t="shared" si="27"/>
        <v>3623.19</v>
      </c>
      <c r="AN27" s="159">
        <f t="shared" si="28"/>
        <v>760.8699</v>
      </c>
      <c r="AO27" s="159">
        <f t="shared" si="29"/>
        <v>7318.843800000001</v>
      </c>
      <c r="AP27" s="159">
        <f t="shared" si="30"/>
        <v>3731.8857000000003</v>
      </c>
      <c r="AQ27" s="159">
        <f t="shared" si="31"/>
        <v>2717.3925</v>
      </c>
      <c r="AR27" s="159">
        <f t="shared" si="32"/>
        <v>2717.3925</v>
      </c>
      <c r="AS27" s="222">
        <f>B27*1.15</f>
        <v>4166.6685</v>
      </c>
      <c r="AT27" s="192">
        <f>0.45*894.5</f>
        <v>402.52500000000003</v>
      </c>
      <c r="AU27" s="457">
        <v>968</v>
      </c>
      <c r="AV27" s="193"/>
      <c r="AW27" s="193"/>
      <c r="AX27" s="193">
        <f>55.106</f>
        <v>55.106</v>
      </c>
      <c r="AY27" s="193"/>
      <c r="AZ27" s="193"/>
      <c r="BA27" s="116"/>
      <c r="BB27" s="194"/>
      <c r="BC27" s="164">
        <f>SUM(AK27:BB27)</f>
        <v>29614.0492</v>
      </c>
      <c r="BD27" s="195">
        <f>'[15]Т01'!$S$44+'[15]Т01'!$S$202</f>
        <v>342.52700000000004</v>
      </c>
      <c r="BE27" s="180">
        <f aca="true" t="shared" si="33" ref="BE27:BE37">BD27+BC27</f>
        <v>29956.576200000003</v>
      </c>
      <c r="BF27" s="180">
        <f aca="true" t="shared" si="34" ref="BF27:BF37">AG27+AJ27-BE27</f>
        <v>-769.963200000002</v>
      </c>
      <c r="BG27" s="180">
        <f aca="true" t="shared" si="35" ref="BG27:BG37">AF27-U27</f>
        <v>-3629.7099999999955</v>
      </c>
    </row>
    <row r="28" spans="1:59" ht="12.75">
      <c r="A28" s="162" t="s">
        <v>47</v>
      </c>
      <c r="B28" s="163">
        <v>3623.19</v>
      </c>
      <c r="C28" s="122">
        <f t="shared" si="20"/>
        <v>30978.274500000003</v>
      </c>
      <c r="D28" s="269">
        <v>102.408</v>
      </c>
      <c r="E28" s="209"/>
      <c r="F28" s="209"/>
      <c r="G28" s="209">
        <v>19190.17</v>
      </c>
      <c r="H28" s="209"/>
      <c r="I28" s="209"/>
      <c r="J28" s="209"/>
      <c r="K28" s="209"/>
      <c r="L28" s="209"/>
      <c r="M28" s="209">
        <v>9319.35</v>
      </c>
      <c r="N28" s="209"/>
      <c r="O28" s="209">
        <v>3232.61</v>
      </c>
      <c r="P28" s="209"/>
      <c r="Q28" s="209"/>
      <c r="R28" s="209"/>
      <c r="S28" s="210">
        <v>300</v>
      </c>
      <c r="T28" s="225"/>
      <c r="U28" s="220">
        <f t="shared" si="21"/>
        <v>32042.129999999997</v>
      </c>
      <c r="V28" s="221">
        <f t="shared" si="21"/>
        <v>0</v>
      </c>
      <c r="W28" s="200">
        <v>0</v>
      </c>
      <c r="X28" s="200">
        <v>21204.17</v>
      </c>
      <c r="Y28" s="200">
        <v>0</v>
      </c>
      <c r="Z28" s="200">
        <v>0</v>
      </c>
      <c r="AA28" s="200">
        <v>7765.17</v>
      </c>
      <c r="AB28" s="200">
        <v>2693.58</v>
      </c>
      <c r="AC28" s="200"/>
      <c r="AD28" s="200"/>
      <c r="AE28" s="206">
        <v>277.83</v>
      </c>
      <c r="AF28" s="207">
        <f t="shared" si="22"/>
        <v>31940.75</v>
      </c>
      <c r="AG28" s="214">
        <f t="shared" si="23"/>
        <v>32043.158</v>
      </c>
      <c r="AH28" s="190">
        <f t="shared" si="24"/>
        <v>0</v>
      </c>
      <c r="AI28" s="190">
        <f t="shared" si="24"/>
        <v>0</v>
      </c>
      <c r="AJ28" s="191">
        <f>'[15]Т03'!$J$43+'[15]Т03'!$J$100+'[15]Т03'!$J$203</f>
        <v>5477.581</v>
      </c>
      <c r="AK28" s="170">
        <f t="shared" si="25"/>
        <v>2427.5373</v>
      </c>
      <c r="AL28" s="159">
        <f t="shared" si="26"/>
        <v>724.638</v>
      </c>
      <c r="AM28" s="159">
        <f t="shared" si="27"/>
        <v>3623.19</v>
      </c>
      <c r="AN28" s="159">
        <f t="shared" si="28"/>
        <v>760.8699</v>
      </c>
      <c r="AO28" s="159">
        <f t="shared" si="29"/>
        <v>7318.843800000001</v>
      </c>
      <c r="AP28" s="159">
        <f t="shared" si="30"/>
        <v>3731.8857000000003</v>
      </c>
      <c r="AQ28" s="159">
        <f t="shared" si="31"/>
        <v>2717.3925</v>
      </c>
      <c r="AR28" s="159">
        <f t="shared" si="32"/>
        <v>2717.3925</v>
      </c>
      <c r="AS28" s="222">
        <f>B28*1.15</f>
        <v>4166.6685</v>
      </c>
      <c r="AT28" s="192">
        <f>0.45*894.5</f>
        <v>402.52500000000003</v>
      </c>
      <c r="AU28" s="457"/>
      <c r="AV28" s="193"/>
      <c r="AW28" s="193">
        <v>277.47</v>
      </c>
      <c r="AX28" s="193">
        <f>55.106+182.24</f>
        <v>237.346</v>
      </c>
      <c r="AY28" s="193"/>
      <c r="AZ28" s="193"/>
      <c r="BA28" s="116"/>
      <c r="BB28" s="194"/>
      <c r="BC28" s="208">
        <f>SUM(AK28:BB28)</f>
        <v>29105.759200000004</v>
      </c>
      <c r="BD28" s="195">
        <f>'[15]Т03'!$S$43+'[15]Т03'!$S$100+'[15]Т03'!$S$203</f>
        <v>3754.9010000000007</v>
      </c>
      <c r="BE28" s="180">
        <f t="shared" si="33"/>
        <v>32860.660200000006</v>
      </c>
      <c r="BF28" s="180">
        <f t="shared" si="34"/>
        <v>4660.078799999996</v>
      </c>
      <c r="BG28" s="180">
        <f t="shared" si="35"/>
        <v>-101.37999999999738</v>
      </c>
    </row>
    <row r="29" spans="1:59" ht="12.75">
      <c r="A29" s="162" t="s">
        <v>48</v>
      </c>
      <c r="B29" s="163">
        <v>3623.19</v>
      </c>
      <c r="C29" s="122">
        <f t="shared" si="20"/>
        <v>30978.274500000003</v>
      </c>
      <c r="D29" s="269">
        <v>102.408</v>
      </c>
      <c r="E29" s="209"/>
      <c r="F29" s="209"/>
      <c r="G29" s="209">
        <v>18181.08</v>
      </c>
      <c r="H29" s="209"/>
      <c r="I29" s="209"/>
      <c r="J29" s="209"/>
      <c r="K29" s="209"/>
      <c r="L29" s="209"/>
      <c r="M29" s="209">
        <v>9314.88</v>
      </c>
      <c r="N29" s="209"/>
      <c r="O29" s="209">
        <v>3231.01</v>
      </c>
      <c r="P29" s="209"/>
      <c r="Q29" s="209"/>
      <c r="R29" s="209"/>
      <c r="S29" s="210">
        <v>300</v>
      </c>
      <c r="T29" s="225"/>
      <c r="U29" s="220">
        <f t="shared" si="21"/>
        <v>31026.97</v>
      </c>
      <c r="V29" s="221">
        <f t="shared" si="21"/>
        <v>0</v>
      </c>
      <c r="W29" s="223">
        <v>0</v>
      </c>
      <c r="X29" s="223">
        <v>19327.22</v>
      </c>
      <c r="Y29" s="223">
        <v>0</v>
      </c>
      <c r="Z29" s="223">
        <v>0</v>
      </c>
      <c r="AA29" s="223">
        <v>8595.23</v>
      </c>
      <c r="AB29" s="223">
        <v>2981.15</v>
      </c>
      <c r="AC29" s="223"/>
      <c r="AD29" s="223"/>
      <c r="AE29" s="224">
        <v>330.51</v>
      </c>
      <c r="AF29" s="207">
        <f t="shared" si="22"/>
        <v>31234.11</v>
      </c>
      <c r="AG29" s="214">
        <f t="shared" si="23"/>
        <v>31336.518</v>
      </c>
      <c r="AH29" s="190">
        <f t="shared" si="24"/>
        <v>0</v>
      </c>
      <c r="AI29" s="190">
        <f t="shared" si="24"/>
        <v>0</v>
      </c>
      <c r="AJ29" s="191">
        <f>'[15]Т04'!$J$43+'[15]Т04'!$J$100+'[15]Т04'!$J$203</f>
        <v>2273.7170000000006</v>
      </c>
      <c r="AK29" s="170">
        <f t="shared" si="25"/>
        <v>2427.5373</v>
      </c>
      <c r="AL29" s="159">
        <f t="shared" si="26"/>
        <v>724.638</v>
      </c>
      <c r="AM29" s="159">
        <f t="shared" si="27"/>
        <v>3623.19</v>
      </c>
      <c r="AN29" s="159">
        <f t="shared" si="28"/>
        <v>760.8699</v>
      </c>
      <c r="AO29" s="159">
        <f t="shared" si="29"/>
        <v>7318.843800000001</v>
      </c>
      <c r="AP29" s="159">
        <f t="shared" si="30"/>
        <v>3731.8857000000003</v>
      </c>
      <c r="AQ29" s="159">
        <f t="shared" si="31"/>
        <v>2717.3925</v>
      </c>
      <c r="AR29" s="159">
        <f t="shared" si="32"/>
        <v>2717.3925</v>
      </c>
      <c r="AS29" s="222"/>
      <c r="AT29" s="192">
        <f>0.45*894.5</f>
        <v>402.52500000000003</v>
      </c>
      <c r="AU29" s="457"/>
      <c r="AV29" s="193"/>
      <c r="AW29" s="193"/>
      <c r="AX29" s="193">
        <f>42.75+55.106+250+457.8</f>
        <v>805.656</v>
      </c>
      <c r="AY29" s="193"/>
      <c r="AZ29" s="193"/>
      <c r="BA29" s="116"/>
      <c r="BB29" s="194"/>
      <c r="BC29" s="208">
        <f>SUM(AK29:BB29)</f>
        <v>25229.9307</v>
      </c>
      <c r="BD29" s="195">
        <f>'[15]Т03'!$S$43+'[15]Т03'!$S$100+'[15]Т03'!$S$203</f>
        <v>3754.9010000000007</v>
      </c>
      <c r="BE29" s="180">
        <f t="shared" si="33"/>
        <v>28984.831700000002</v>
      </c>
      <c r="BF29" s="180">
        <f t="shared" si="34"/>
        <v>4625.403299999998</v>
      </c>
      <c r="BG29" s="180">
        <f t="shared" si="35"/>
        <v>207.13999999999942</v>
      </c>
    </row>
    <row r="30" spans="1:59" ht="12.75">
      <c r="A30" s="162" t="s">
        <v>49</v>
      </c>
      <c r="B30" s="163">
        <v>3623.19</v>
      </c>
      <c r="C30" s="122">
        <f t="shared" si="20"/>
        <v>30978.274500000003</v>
      </c>
      <c r="D30" s="269">
        <v>102.408</v>
      </c>
      <c r="E30" s="209"/>
      <c r="F30" s="209"/>
      <c r="G30" s="209">
        <v>19189.55</v>
      </c>
      <c r="H30" s="209"/>
      <c r="I30" s="209"/>
      <c r="J30" s="209"/>
      <c r="K30" s="209"/>
      <c r="L30" s="209"/>
      <c r="M30" s="209">
        <v>9319.05</v>
      </c>
      <c r="N30" s="209"/>
      <c r="O30" s="209">
        <v>3232.48</v>
      </c>
      <c r="P30" s="209"/>
      <c r="Q30" s="209"/>
      <c r="R30" s="209"/>
      <c r="S30" s="210">
        <v>300</v>
      </c>
      <c r="T30" s="225"/>
      <c r="U30" s="220">
        <f t="shared" si="21"/>
        <v>32041.079999999998</v>
      </c>
      <c r="V30" s="221">
        <f t="shared" si="21"/>
        <v>0</v>
      </c>
      <c r="W30" s="223">
        <v>0</v>
      </c>
      <c r="X30" s="223">
        <v>19593.75</v>
      </c>
      <c r="Y30" s="223">
        <v>0</v>
      </c>
      <c r="Z30" s="223">
        <v>0</v>
      </c>
      <c r="AA30" s="223">
        <v>8597.7</v>
      </c>
      <c r="AB30" s="223">
        <v>2982.72</v>
      </c>
      <c r="AC30" s="223"/>
      <c r="AD30" s="223"/>
      <c r="AE30" s="223">
        <v>152.72</v>
      </c>
      <c r="AF30" s="207">
        <f t="shared" si="22"/>
        <v>31326.890000000003</v>
      </c>
      <c r="AG30" s="214">
        <f t="shared" si="23"/>
        <v>31429.298000000003</v>
      </c>
      <c r="AH30" s="190">
        <f t="shared" si="24"/>
        <v>0</v>
      </c>
      <c r="AI30" s="190">
        <f t="shared" si="24"/>
        <v>0</v>
      </c>
      <c r="AJ30" s="191">
        <f>'[15]Т05'!$J$42+'[15]Т05'!$J$100+'[15]Т05'!$J$209</f>
        <v>2273.7170000000006</v>
      </c>
      <c r="AK30" s="170">
        <f t="shared" si="25"/>
        <v>2427.5373</v>
      </c>
      <c r="AL30" s="159">
        <f t="shared" si="26"/>
        <v>724.638</v>
      </c>
      <c r="AM30" s="159">
        <f t="shared" si="27"/>
        <v>3623.19</v>
      </c>
      <c r="AN30" s="159">
        <f t="shared" si="28"/>
        <v>760.8699</v>
      </c>
      <c r="AO30" s="159">
        <f t="shared" si="29"/>
        <v>7318.843800000001</v>
      </c>
      <c r="AP30" s="159">
        <f t="shared" si="30"/>
        <v>3731.8857000000003</v>
      </c>
      <c r="AQ30" s="159">
        <f t="shared" si="31"/>
        <v>2717.3925</v>
      </c>
      <c r="AR30" s="159">
        <f t="shared" si="32"/>
        <v>2717.3925</v>
      </c>
      <c r="AS30" s="222"/>
      <c r="AT30" s="192">
        <f>0.45*894.5</f>
        <v>402.52500000000003</v>
      </c>
      <c r="AU30" s="457">
        <v>2709</v>
      </c>
      <c r="AV30" s="193"/>
      <c r="AW30" s="193"/>
      <c r="AX30" s="193">
        <f>55.106+314+17.1</f>
        <v>386.206</v>
      </c>
      <c r="AY30" s="193"/>
      <c r="AZ30" s="193"/>
      <c r="BA30" s="116"/>
      <c r="BB30" s="194"/>
      <c r="BC30" s="208">
        <f>SUM(AK30:BB30)</f>
        <v>27519.4807</v>
      </c>
      <c r="BD30" s="195">
        <f>'[15]Т05'!$S$42+'[15]Т05'!$S$100+'[15]Т05'!$S$209</f>
        <v>1479.9850000000001</v>
      </c>
      <c r="BE30" s="180">
        <f t="shared" si="33"/>
        <v>28999.4657</v>
      </c>
      <c r="BF30" s="180">
        <f t="shared" si="34"/>
        <v>4703.549299999999</v>
      </c>
      <c r="BG30" s="180">
        <f t="shared" si="35"/>
        <v>-714.189999999995</v>
      </c>
    </row>
    <row r="31" spans="1:59" ht="12.75">
      <c r="A31" s="162" t="s">
        <v>50</v>
      </c>
      <c r="B31" s="163">
        <v>3623.19</v>
      </c>
      <c r="C31" s="122">
        <f t="shared" si="20"/>
        <v>30978.274500000003</v>
      </c>
      <c r="D31" s="269">
        <v>102.408</v>
      </c>
      <c r="E31" s="209"/>
      <c r="F31" s="209"/>
      <c r="G31" s="209">
        <v>19174.52</v>
      </c>
      <c r="H31" s="209"/>
      <c r="I31" s="209"/>
      <c r="J31" s="209"/>
      <c r="K31" s="209"/>
      <c r="L31" s="209"/>
      <c r="M31" s="209">
        <v>9311.68</v>
      </c>
      <c r="N31" s="209"/>
      <c r="O31" s="209">
        <v>3229.87</v>
      </c>
      <c r="P31" s="209"/>
      <c r="Q31" s="209"/>
      <c r="R31" s="209"/>
      <c r="S31" s="210">
        <v>300</v>
      </c>
      <c r="T31" s="225"/>
      <c r="U31" s="220">
        <f t="shared" si="21"/>
        <v>32016.07</v>
      </c>
      <c r="V31" s="221">
        <f t="shared" si="21"/>
        <v>0</v>
      </c>
      <c r="W31" s="223"/>
      <c r="X31" s="458">
        <v>18338.96</v>
      </c>
      <c r="Y31" s="223"/>
      <c r="Z31" s="223"/>
      <c r="AA31" s="458">
        <v>8533.12</v>
      </c>
      <c r="AB31" s="458">
        <v>2959.57</v>
      </c>
      <c r="AC31" s="223"/>
      <c r="AD31" s="458"/>
      <c r="AE31" s="459">
        <v>358.23</v>
      </c>
      <c r="AF31" s="207">
        <f t="shared" si="22"/>
        <v>30189.88</v>
      </c>
      <c r="AG31" s="214">
        <f t="shared" si="23"/>
        <v>30292.288</v>
      </c>
      <c r="AH31" s="190">
        <f t="shared" si="24"/>
        <v>0</v>
      </c>
      <c r="AI31" s="190">
        <f t="shared" si="24"/>
        <v>0</v>
      </c>
      <c r="AJ31" s="191">
        <f>'[15]Т06'!$J$42+'[15]Т06'!$J$100+'[15]Т06'!$J$170+'[15]Т06'!$J$240</f>
        <v>2373.7170000000006</v>
      </c>
      <c r="AK31" s="170">
        <f t="shared" si="25"/>
        <v>2427.5373</v>
      </c>
      <c r="AL31" s="159">
        <f t="shared" si="26"/>
        <v>724.638</v>
      </c>
      <c r="AM31" s="159">
        <f t="shared" si="27"/>
        <v>3623.19</v>
      </c>
      <c r="AN31" s="159">
        <f t="shared" si="28"/>
        <v>760.8699</v>
      </c>
      <c r="AO31" s="159">
        <f t="shared" si="29"/>
        <v>7318.843800000001</v>
      </c>
      <c r="AP31" s="159">
        <f t="shared" si="30"/>
        <v>3731.8857000000003</v>
      </c>
      <c r="AQ31" s="159">
        <f t="shared" si="31"/>
        <v>2717.3925</v>
      </c>
      <c r="AR31" s="159">
        <f t="shared" si="32"/>
        <v>2717.3925</v>
      </c>
      <c r="AS31" s="222"/>
      <c r="AT31" s="192">
        <f>0.45*894.5</f>
        <v>402.52500000000003</v>
      </c>
      <c r="AU31" s="457"/>
      <c r="AV31" s="193"/>
      <c r="AW31" s="193"/>
      <c r="AX31" s="193">
        <f>55.106+2427.23</f>
        <v>2482.3360000000002</v>
      </c>
      <c r="AY31" s="193"/>
      <c r="AZ31" s="193"/>
      <c r="BA31" s="116"/>
      <c r="BB31" s="194"/>
      <c r="BC31" s="208">
        <f>SUM(AK31:BB31)</f>
        <v>26906.6107</v>
      </c>
      <c r="BD31" s="195">
        <f>'[15]Т06'!$S$42+'[15]Т06'!$S$100+'[15]Т06'!$S$170+'[15]Т06'!$S$240</f>
        <v>1504.9850000000001</v>
      </c>
      <c r="BE31" s="180">
        <f t="shared" si="33"/>
        <v>28411.5957</v>
      </c>
      <c r="BF31" s="180">
        <f t="shared" si="34"/>
        <v>4254.409299999999</v>
      </c>
      <c r="BG31" s="180">
        <f t="shared" si="35"/>
        <v>-1826.1899999999987</v>
      </c>
    </row>
    <row r="32" spans="1:59" ht="12.75">
      <c r="A32" s="162" t="s">
        <v>51</v>
      </c>
      <c r="B32" s="163">
        <v>3623.19</v>
      </c>
      <c r="C32" s="122">
        <f aca="true" t="shared" si="36" ref="C32:C37">B32*9.51</f>
        <v>34456.5369</v>
      </c>
      <c r="D32" s="269">
        <v>137.04600000000002</v>
      </c>
      <c r="E32" s="209"/>
      <c r="F32" s="209"/>
      <c r="G32" s="209">
        <v>35248.01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10">
        <v>300</v>
      </c>
      <c r="T32" s="225"/>
      <c r="U32" s="220">
        <f aca="true" t="shared" si="37" ref="U32:V37">G32+M32+O32+Q32+S32</f>
        <v>35548.01</v>
      </c>
      <c r="V32" s="460">
        <f t="shared" si="37"/>
        <v>0</v>
      </c>
      <c r="W32" s="223"/>
      <c r="X32" s="200">
        <v>18745.21</v>
      </c>
      <c r="Y32" s="223"/>
      <c r="Z32" s="223"/>
      <c r="AA32" s="200">
        <v>8137.82</v>
      </c>
      <c r="AB32" s="200">
        <v>2823.29</v>
      </c>
      <c r="AC32" s="223"/>
      <c r="AD32" s="200"/>
      <c r="AE32" s="206">
        <v>203.99</v>
      </c>
      <c r="AF32" s="207">
        <f aca="true" t="shared" si="38" ref="AF32:AF37">SUM(X32:AE32)</f>
        <v>29910.31</v>
      </c>
      <c r="AG32" s="214">
        <f t="shared" si="23"/>
        <v>30047.356</v>
      </c>
      <c r="AH32" s="461">
        <v>0</v>
      </c>
      <c r="AI32" s="190">
        <f t="shared" si="24"/>
        <v>0</v>
      </c>
      <c r="AJ32" s="191">
        <f>'[15]Т07'!$J$42+'[15]Т07'!$J$102+'[15]Т07'!$J$172+'[15]Т07'!$J$242</f>
        <v>2789.299</v>
      </c>
      <c r="AK32" s="159">
        <f aca="true" t="shared" si="39" ref="AK32:AK37">0.75*B32</f>
        <v>2717.3925</v>
      </c>
      <c r="AL32" s="159">
        <f t="shared" si="26"/>
        <v>724.638</v>
      </c>
      <c r="AM32" s="159">
        <f t="shared" si="27"/>
        <v>3623.19</v>
      </c>
      <c r="AN32" s="159">
        <f t="shared" si="28"/>
        <v>760.8699</v>
      </c>
      <c r="AO32" s="159">
        <f t="shared" si="29"/>
        <v>7318.843800000001</v>
      </c>
      <c r="AP32" s="159">
        <f t="shared" si="30"/>
        <v>3731.8857000000003</v>
      </c>
      <c r="AQ32" s="159">
        <f t="shared" si="31"/>
        <v>2717.3925</v>
      </c>
      <c r="AR32" s="159">
        <f t="shared" si="32"/>
        <v>2717.3925</v>
      </c>
      <c r="AS32" s="222"/>
      <c r="AT32" s="192">
        <f>0.45*894.5</f>
        <v>402.52500000000003</v>
      </c>
      <c r="AU32" s="457"/>
      <c r="AV32" s="193"/>
      <c r="AW32" s="193"/>
      <c r="AX32" s="193">
        <f>55.11+74.97</f>
        <v>130.07999999999998</v>
      </c>
      <c r="AY32" s="193"/>
      <c r="AZ32" s="193"/>
      <c r="BA32" s="116"/>
      <c r="BB32" s="194"/>
      <c r="BC32" s="208">
        <f>SUM(AK32:BB32)</f>
        <v>24844.2099</v>
      </c>
      <c r="BD32" s="195">
        <f>'[15]Т07'!$S$42+'[15]Т07'!$S$102+'[15]Т07'!$S$172+'[15]Т07'!$S$242</f>
        <v>1504.9850000000001</v>
      </c>
      <c r="BE32" s="180">
        <f t="shared" si="33"/>
        <v>26349.194900000002</v>
      </c>
      <c r="BF32" s="180">
        <f t="shared" si="34"/>
        <v>6487.460099999997</v>
      </c>
      <c r="BG32" s="180">
        <f t="shared" si="35"/>
        <v>-5637.700000000001</v>
      </c>
    </row>
    <row r="33" spans="1:59" ht="12.75">
      <c r="A33" s="162" t="s">
        <v>52</v>
      </c>
      <c r="B33" s="163">
        <v>3623.19</v>
      </c>
      <c r="C33" s="122">
        <f t="shared" si="36"/>
        <v>34456.5369</v>
      </c>
      <c r="D33" s="269"/>
      <c r="E33" s="209"/>
      <c r="F33" s="209"/>
      <c r="G33" s="209">
        <v>35233.76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10">
        <v>300</v>
      </c>
      <c r="T33" s="225"/>
      <c r="U33" s="220">
        <f t="shared" si="37"/>
        <v>35533.76</v>
      </c>
      <c r="V33" s="460">
        <f t="shared" si="37"/>
        <v>0</v>
      </c>
      <c r="W33" s="223"/>
      <c r="X33" s="200">
        <v>30780.43</v>
      </c>
      <c r="Y33" s="223"/>
      <c r="Z33" s="223"/>
      <c r="AA33" s="200">
        <v>904.83</v>
      </c>
      <c r="AB33" s="200">
        <v>313.72</v>
      </c>
      <c r="AC33" s="223"/>
      <c r="AD33" s="200"/>
      <c r="AE33" s="206">
        <v>358.02</v>
      </c>
      <c r="AF33" s="207">
        <f t="shared" si="38"/>
        <v>32357.000000000004</v>
      </c>
      <c r="AG33" s="214">
        <f t="shared" si="23"/>
        <v>32357.000000000004</v>
      </c>
      <c r="AH33" s="461">
        <v>0</v>
      </c>
      <c r="AI33" s="190">
        <f t="shared" si="24"/>
        <v>0</v>
      </c>
      <c r="AJ33" s="191">
        <f>'[15]Т08'!$J$42+'[15]Т08'!$J$102+'[15]Т08'!$J$172+'[15]Т08'!$J$242+'[15]Т08'!$J$311</f>
        <v>4589.299</v>
      </c>
      <c r="AK33" s="159">
        <f t="shared" si="39"/>
        <v>2717.3925</v>
      </c>
      <c r="AL33" s="159">
        <f t="shared" si="26"/>
        <v>724.638</v>
      </c>
      <c r="AM33" s="159">
        <f t="shared" si="27"/>
        <v>3623.19</v>
      </c>
      <c r="AN33" s="159">
        <f t="shared" si="28"/>
        <v>760.8699</v>
      </c>
      <c r="AO33" s="159">
        <f t="shared" si="29"/>
        <v>7318.843800000001</v>
      </c>
      <c r="AP33" s="159">
        <f t="shared" si="30"/>
        <v>3731.8857000000003</v>
      </c>
      <c r="AQ33" s="159">
        <f t="shared" si="31"/>
        <v>2717.3925</v>
      </c>
      <c r="AR33" s="159">
        <f t="shared" si="32"/>
        <v>2717.3925</v>
      </c>
      <c r="AS33" s="222"/>
      <c r="AT33" s="192">
        <f>0.45*894.5</f>
        <v>402.52500000000003</v>
      </c>
      <c r="AU33" s="457">
        <v>23685</v>
      </c>
      <c r="AV33" s="193"/>
      <c r="AW33" s="193"/>
      <c r="AX33" s="193">
        <f>5609+55.11+26.76+140</f>
        <v>5830.87</v>
      </c>
      <c r="AY33" s="193"/>
      <c r="AZ33" s="193"/>
      <c r="BA33" s="116"/>
      <c r="BB33" s="194"/>
      <c r="BC33" s="208">
        <f>SUM(AK33:BB33)</f>
        <v>54229.9999</v>
      </c>
      <c r="BD33" s="195">
        <f>'[15]Т08'!$S$42+'[15]Т08'!$S$102+'[15]Т08'!$S$172+'[15]Т08'!$S$242+'[15]Т08'!$S$311</f>
        <v>1954.9850000000001</v>
      </c>
      <c r="BE33" s="180">
        <f t="shared" si="33"/>
        <v>56184.9849</v>
      </c>
      <c r="BF33" s="180">
        <f t="shared" si="34"/>
        <v>-19238.685899999997</v>
      </c>
      <c r="BG33" s="180">
        <f t="shared" si="35"/>
        <v>-3176.7599999999984</v>
      </c>
    </row>
    <row r="34" spans="1:59" ht="12.75">
      <c r="A34" s="162" t="s">
        <v>53</v>
      </c>
      <c r="B34" s="163">
        <v>3623.19</v>
      </c>
      <c r="C34" s="122">
        <f t="shared" si="36"/>
        <v>34456.5369</v>
      </c>
      <c r="D34" s="269"/>
      <c r="E34" s="209"/>
      <c r="F34" s="209"/>
      <c r="G34" s="209">
        <v>35225.59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10">
        <v>300</v>
      </c>
      <c r="T34" s="225"/>
      <c r="U34" s="220">
        <f t="shared" si="37"/>
        <v>35525.59</v>
      </c>
      <c r="V34" s="460">
        <f t="shared" si="37"/>
        <v>0</v>
      </c>
      <c r="W34" s="223"/>
      <c r="X34" s="200">
        <v>30600.58</v>
      </c>
      <c r="Y34" s="223"/>
      <c r="Z34" s="223"/>
      <c r="AA34" s="200">
        <v>439.82</v>
      </c>
      <c r="AB34" s="200">
        <v>1852.43</v>
      </c>
      <c r="AC34" s="223"/>
      <c r="AD34" s="200"/>
      <c r="AE34" s="206">
        <v>226.32</v>
      </c>
      <c r="AF34" s="207">
        <f t="shared" si="38"/>
        <v>33119.15</v>
      </c>
      <c r="AG34" s="214">
        <f t="shared" si="23"/>
        <v>33119.15</v>
      </c>
      <c r="AH34" s="461">
        <v>0</v>
      </c>
      <c r="AI34" s="190">
        <f t="shared" si="24"/>
        <v>0</v>
      </c>
      <c r="AJ34" s="191">
        <f>'[15]Т09'!$J$42+'[15]Т09'!$J$102+'[15]Т09'!$J$175+'[15]Т09'!$J$242+'[15]Т09'!$J$311</f>
        <v>3389.299</v>
      </c>
      <c r="AK34" s="159">
        <f t="shared" si="39"/>
        <v>2717.3925</v>
      </c>
      <c r="AL34" s="159">
        <f t="shared" si="26"/>
        <v>724.638</v>
      </c>
      <c r="AM34" s="159">
        <f t="shared" si="27"/>
        <v>3623.19</v>
      </c>
      <c r="AN34" s="159">
        <f t="shared" si="28"/>
        <v>760.8699</v>
      </c>
      <c r="AO34" s="159">
        <f t="shared" si="29"/>
        <v>7318.843800000001</v>
      </c>
      <c r="AP34" s="159">
        <f t="shared" si="30"/>
        <v>3731.8857000000003</v>
      </c>
      <c r="AQ34" s="159">
        <f t="shared" si="31"/>
        <v>2717.3925</v>
      </c>
      <c r="AR34" s="159">
        <f t="shared" si="32"/>
        <v>2717.3925</v>
      </c>
      <c r="AS34" s="222"/>
      <c r="AT34" s="192">
        <f>0.45*894.5</f>
        <v>402.52500000000003</v>
      </c>
      <c r="AU34" s="457"/>
      <c r="AV34" s="193"/>
      <c r="AW34" s="193"/>
      <c r="AX34" s="193">
        <f>55.11</f>
        <v>55.11</v>
      </c>
      <c r="AY34" s="193"/>
      <c r="AZ34" s="193"/>
      <c r="BA34" s="116"/>
      <c r="BB34" s="194"/>
      <c r="BC34" s="208">
        <f>SUM(AK34:BB34)</f>
        <v>24769.2399</v>
      </c>
      <c r="BD34" s="195">
        <f>'[15]Т09'!$S$42+'[15]Т09'!$S$102+'[15]Т09'!$S$175+'[15]Т09'!$S$242+'[15]Т09'!$S$311</f>
        <v>1654.9850000000001</v>
      </c>
      <c r="BE34" s="180">
        <f t="shared" si="33"/>
        <v>26424.2249</v>
      </c>
      <c r="BF34" s="180">
        <f t="shared" si="34"/>
        <v>10084.2241</v>
      </c>
      <c r="BG34" s="180">
        <f t="shared" si="35"/>
        <v>-2406.439999999995</v>
      </c>
    </row>
    <row r="35" spans="1:59" ht="12.75">
      <c r="A35" s="162" t="s">
        <v>41</v>
      </c>
      <c r="B35" s="163">
        <v>3623.19</v>
      </c>
      <c r="C35" s="122">
        <f t="shared" si="36"/>
        <v>34456.5369</v>
      </c>
      <c r="D35" s="269"/>
      <c r="E35" s="209"/>
      <c r="F35" s="209"/>
      <c r="G35" s="209">
        <v>35198.78</v>
      </c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10">
        <v>300</v>
      </c>
      <c r="T35" s="225"/>
      <c r="U35" s="220">
        <f t="shared" si="37"/>
        <v>35498.78</v>
      </c>
      <c r="V35" s="460">
        <f t="shared" si="37"/>
        <v>0</v>
      </c>
      <c r="W35" s="223"/>
      <c r="X35" s="200">
        <v>35508.69</v>
      </c>
      <c r="Y35" s="223"/>
      <c r="Z35" s="223"/>
      <c r="AA35" s="200">
        <v>682.06</v>
      </c>
      <c r="AB35" s="200">
        <v>186.87</v>
      </c>
      <c r="AC35" s="223"/>
      <c r="AD35" s="200"/>
      <c r="AE35" s="206">
        <v>198.1</v>
      </c>
      <c r="AF35" s="207">
        <f t="shared" si="38"/>
        <v>36575.72</v>
      </c>
      <c r="AG35" s="214">
        <f t="shared" si="23"/>
        <v>36575.72</v>
      </c>
      <c r="AH35" s="461">
        <v>0</v>
      </c>
      <c r="AI35" s="190">
        <f t="shared" si="24"/>
        <v>0</v>
      </c>
      <c r="AJ35" s="191">
        <f>'[15]Т10'!$J$42+'[15]Т10'!$J$101+'[15]Т10'!$J$174+'[15]Т10'!$J$241+'[15]Т10'!$J$310</f>
        <v>3389.299</v>
      </c>
      <c r="AK35" s="159">
        <f t="shared" si="39"/>
        <v>2717.3925</v>
      </c>
      <c r="AL35" s="159">
        <f t="shared" si="26"/>
        <v>724.638</v>
      </c>
      <c r="AM35" s="159">
        <f t="shared" si="27"/>
        <v>3623.19</v>
      </c>
      <c r="AN35" s="159">
        <f t="shared" si="28"/>
        <v>760.8699</v>
      </c>
      <c r="AO35" s="159">
        <f t="shared" si="29"/>
        <v>7318.843800000001</v>
      </c>
      <c r="AP35" s="159">
        <f t="shared" si="30"/>
        <v>3731.8857000000003</v>
      </c>
      <c r="AQ35" s="159">
        <f t="shared" si="31"/>
        <v>2717.3925</v>
      </c>
      <c r="AR35" s="159">
        <f t="shared" si="32"/>
        <v>2717.3925</v>
      </c>
      <c r="AS35" s="222">
        <f>B35*1.15</f>
        <v>4166.6685</v>
      </c>
      <c r="AT35" s="192">
        <f>0.45*894.5</f>
        <v>402.52500000000003</v>
      </c>
      <c r="AU35" s="462"/>
      <c r="AV35" s="193"/>
      <c r="AW35" s="193"/>
      <c r="AX35" s="193">
        <f>152.53+154+70+51.3+27+18</f>
        <v>472.83</v>
      </c>
      <c r="AY35" s="193"/>
      <c r="AZ35" s="193"/>
      <c r="BA35" s="116"/>
      <c r="BB35" s="194"/>
      <c r="BC35" s="208">
        <f>SUM(AK35:BB35)</f>
        <v>29353.6284</v>
      </c>
      <c r="BD35" s="195">
        <f>'[15]Т10'!$S$42+'[15]Т10'!$S$101+'[15]Т10'!$S$174+'[15]Т10'!$S$241+'[15]Т10'!$S$310</f>
        <v>1654.9850000000001</v>
      </c>
      <c r="BE35" s="180">
        <f t="shared" si="33"/>
        <v>31008.613400000002</v>
      </c>
      <c r="BF35" s="180">
        <f t="shared" si="34"/>
        <v>8956.405599999998</v>
      </c>
      <c r="BG35" s="180">
        <f t="shared" si="35"/>
        <v>1076.9400000000023</v>
      </c>
    </row>
    <row r="36" spans="1:59" ht="12.75">
      <c r="A36" s="162" t="s">
        <v>42</v>
      </c>
      <c r="B36" s="463">
        <v>3623.19</v>
      </c>
      <c r="C36" s="122">
        <f t="shared" si="36"/>
        <v>34456.5369</v>
      </c>
      <c r="D36" s="269"/>
      <c r="E36" s="209"/>
      <c r="F36" s="209"/>
      <c r="G36" s="200">
        <v>35198.78</v>
      </c>
      <c r="H36" s="200"/>
      <c r="I36" s="209"/>
      <c r="J36" s="209"/>
      <c r="K36" s="209"/>
      <c r="L36" s="209"/>
      <c r="M36" s="200"/>
      <c r="N36" s="200"/>
      <c r="O36" s="200"/>
      <c r="P36" s="200"/>
      <c r="Q36" s="200"/>
      <c r="R36" s="200"/>
      <c r="S36" s="206">
        <v>300</v>
      </c>
      <c r="T36" s="225"/>
      <c r="U36" s="220">
        <f t="shared" si="37"/>
        <v>35498.78</v>
      </c>
      <c r="V36" s="460">
        <f t="shared" si="37"/>
        <v>0</v>
      </c>
      <c r="W36" s="223"/>
      <c r="X36" s="200">
        <v>34358.04</v>
      </c>
      <c r="Y36" s="223"/>
      <c r="Z36" s="223"/>
      <c r="AA36" s="200">
        <v>364.36</v>
      </c>
      <c r="AB36" s="200">
        <v>81.93</v>
      </c>
      <c r="AC36" s="223"/>
      <c r="AD36" s="200"/>
      <c r="AE36" s="206">
        <v>327.63</v>
      </c>
      <c r="AF36" s="207">
        <f t="shared" si="38"/>
        <v>35131.96</v>
      </c>
      <c r="AG36" s="214">
        <f t="shared" si="23"/>
        <v>35131.96</v>
      </c>
      <c r="AH36" s="461">
        <v>0</v>
      </c>
      <c r="AI36" s="190">
        <f t="shared" si="24"/>
        <v>0</v>
      </c>
      <c r="AJ36" s="191">
        <f>'[15]Т11'!$J$42+'[15]Т11'!$J$101+'[15]Т11'!$J$176+'[15]Т11'!$J$243+'[15]Т11'!$J$312</f>
        <v>3389.299</v>
      </c>
      <c r="AK36" s="159">
        <f t="shared" si="39"/>
        <v>2717.3925</v>
      </c>
      <c r="AL36" s="159">
        <f t="shared" si="26"/>
        <v>724.638</v>
      </c>
      <c r="AM36" s="159">
        <f t="shared" si="27"/>
        <v>3623.19</v>
      </c>
      <c r="AN36" s="159">
        <f t="shared" si="28"/>
        <v>760.8699</v>
      </c>
      <c r="AO36" s="159">
        <f t="shared" si="29"/>
        <v>7318.843800000001</v>
      </c>
      <c r="AP36" s="159">
        <f t="shared" si="30"/>
        <v>3731.8857000000003</v>
      </c>
      <c r="AQ36" s="159">
        <f t="shared" si="31"/>
        <v>2717.3925</v>
      </c>
      <c r="AR36" s="159">
        <f t="shared" si="32"/>
        <v>2717.3925</v>
      </c>
      <c r="AS36" s="222">
        <f>B36*1.15</f>
        <v>4166.6685</v>
      </c>
      <c r="AT36" s="192">
        <f>0.45*894.5</f>
        <v>402.52500000000003</v>
      </c>
      <c r="AU36" s="457"/>
      <c r="AV36" s="193"/>
      <c r="AW36" s="193"/>
      <c r="AX36" s="193">
        <f>113.8837</f>
        <v>113.8837</v>
      </c>
      <c r="AY36" s="193"/>
      <c r="AZ36" s="193"/>
      <c r="BA36" s="116"/>
      <c r="BB36" s="194"/>
      <c r="BC36" s="208">
        <f>SUM(AK36:BB36)</f>
        <v>28994.682099999998</v>
      </c>
      <c r="BD36" s="195">
        <f>'[15]Т11'!$S$42+'[15]Т11'!$S$101+'[15]Т11'!$S$176+'[15]Т11'!$S$243+'[15]Т11'!$S$312</f>
        <v>1654.9850000000001</v>
      </c>
      <c r="BE36" s="180">
        <f t="shared" si="33"/>
        <v>30649.6671</v>
      </c>
      <c r="BF36" s="180">
        <f t="shared" si="34"/>
        <v>7871.591899999999</v>
      </c>
      <c r="BG36" s="180">
        <f t="shared" si="35"/>
        <v>-366.8199999999997</v>
      </c>
    </row>
    <row r="37" spans="1:59" ht="13.5" thickBot="1">
      <c r="A37" s="162" t="s">
        <v>43</v>
      </c>
      <c r="B37" s="455">
        <v>3624.29</v>
      </c>
      <c r="C37" s="122">
        <f t="shared" si="36"/>
        <v>34466.9979</v>
      </c>
      <c r="D37" s="269"/>
      <c r="E37" s="200"/>
      <c r="F37" s="200"/>
      <c r="G37" s="200">
        <v>35210.41</v>
      </c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6">
        <v>300</v>
      </c>
      <c r="T37" s="225"/>
      <c r="U37" s="220">
        <f t="shared" si="37"/>
        <v>35510.41</v>
      </c>
      <c r="V37" s="460">
        <f t="shared" si="37"/>
        <v>0</v>
      </c>
      <c r="W37" s="223"/>
      <c r="X37" s="200">
        <v>42747.5</v>
      </c>
      <c r="Y37" s="200"/>
      <c r="Z37" s="200"/>
      <c r="AA37" s="200">
        <v>247.6</v>
      </c>
      <c r="AB37" s="200">
        <v>5.86</v>
      </c>
      <c r="AC37" s="200"/>
      <c r="AD37" s="200"/>
      <c r="AE37" s="206">
        <v>296.62</v>
      </c>
      <c r="AF37" s="207">
        <f t="shared" si="38"/>
        <v>43297.58</v>
      </c>
      <c r="AG37" s="214">
        <f t="shared" si="23"/>
        <v>43297.58</v>
      </c>
      <c r="AH37" s="461">
        <v>0</v>
      </c>
      <c r="AI37" s="190">
        <f t="shared" si="24"/>
        <v>0</v>
      </c>
      <c r="AJ37" s="191">
        <f>'[15]Т12'!$J$42+'[15]Т12'!$J$101+'[15]Т12'!$J$179+'[15]Т12'!$J$315+'[15]Т12'!$J$246</f>
        <v>3389.299</v>
      </c>
      <c r="AK37" s="159">
        <f t="shared" si="39"/>
        <v>2718.2174999999997</v>
      </c>
      <c r="AL37" s="159">
        <f t="shared" si="26"/>
        <v>724.8580000000001</v>
      </c>
      <c r="AM37" s="159">
        <f t="shared" si="27"/>
        <v>3624.29</v>
      </c>
      <c r="AN37" s="159">
        <f t="shared" si="28"/>
        <v>761.1008999999999</v>
      </c>
      <c r="AO37" s="159">
        <f t="shared" si="29"/>
        <v>7321.0658</v>
      </c>
      <c r="AP37" s="159">
        <f t="shared" si="30"/>
        <v>3733.0187</v>
      </c>
      <c r="AQ37" s="159">
        <f t="shared" si="31"/>
        <v>2718.2174999999997</v>
      </c>
      <c r="AR37" s="159">
        <f t="shared" si="32"/>
        <v>2718.2174999999997</v>
      </c>
      <c r="AS37" s="222">
        <f>B37*1.15</f>
        <v>4167.933499999999</v>
      </c>
      <c r="AT37" s="192">
        <f>0.45*894.5</f>
        <v>402.52500000000003</v>
      </c>
      <c r="AU37" s="457"/>
      <c r="AV37" s="193"/>
      <c r="AW37" s="193"/>
      <c r="AX37" s="193">
        <f>652.97</f>
        <v>652.97</v>
      </c>
      <c r="AY37" s="193"/>
      <c r="AZ37" s="193"/>
      <c r="BA37" s="116"/>
      <c r="BB37" s="194"/>
      <c r="BC37" s="208">
        <f>SUM(AK37:BB37)</f>
        <v>29542.414399999998</v>
      </c>
      <c r="BD37" s="195">
        <f>'[15]Т12'!$S$42+'[15]Т12'!$S$101+'[15]Т12'!$S$179+'[15]Т12'!$S$246+'[15]Т12'!$S$315</f>
        <v>1654.9850000000001</v>
      </c>
      <c r="BE37" s="180">
        <f t="shared" si="33"/>
        <v>31197.3994</v>
      </c>
      <c r="BF37" s="180">
        <f t="shared" si="34"/>
        <v>15489.479600000002</v>
      </c>
      <c r="BG37" s="180">
        <f t="shared" si="35"/>
        <v>7787.169999999998</v>
      </c>
    </row>
    <row r="38" spans="1:59" s="20" customFormat="1" ht="13.5" thickBot="1">
      <c r="A38" s="226" t="s">
        <v>5</v>
      </c>
      <c r="B38" s="227"/>
      <c r="C38" s="228">
        <f aca="true" t="shared" si="40" ref="C38:AX38">SUM(C26:C37)</f>
        <v>392619.32940000005</v>
      </c>
      <c r="D38" s="228">
        <f t="shared" si="40"/>
        <v>751.494</v>
      </c>
      <c r="E38" s="228">
        <f t="shared" si="40"/>
        <v>0</v>
      </c>
      <c r="F38" s="228">
        <f t="shared" si="40"/>
        <v>0</v>
      </c>
      <c r="G38" s="228">
        <f t="shared" si="40"/>
        <v>325431</v>
      </c>
      <c r="H38" s="228">
        <f t="shared" si="40"/>
        <v>0</v>
      </c>
      <c r="I38" s="228">
        <f t="shared" si="40"/>
        <v>0</v>
      </c>
      <c r="J38" s="228">
        <f t="shared" si="40"/>
        <v>0</v>
      </c>
      <c r="K38" s="228">
        <f t="shared" si="40"/>
        <v>0</v>
      </c>
      <c r="L38" s="228">
        <f t="shared" si="40"/>
        <v>0</v>
      </c>
      <c r="M38" s="228">
        <f t="shared" si="40"/>
        <v>55903.66999999999</v>
      </c>
      <c r="N38" s="228">
        <f t="shared" si="40"/>
        <v>0</v>
      </c>
      <c r="O38" s="228">
        <f t="shared" si="40"/>
        <v>19391.19</v>
      </c>
      <c r="P38" s="228">
        <f t="shared" si="40"/>
        <v>0</v>
      </c>
      <c r="Q38" s="228">
        <f t="shared" si="40"/>
        <v>0</v>
      </c>
      <c r="R38" s="228">
        <f t="shared" si="40"/>
        <v>0</v>
      </c>
      <c r="S38" s="228">
        <f t="shared" si="40"/>
        <v>3600</v>
      </c>
      <c r="T38" s="228">
        <f t="shared" si="40"/>
        <v>0</v>
      </c>
      <c r="U38" s="228">
        <f t="shared" si="40"/>
        <v>404325.8600000001</v>
      </c>
      <c r="V38" s="228">
        <f t="shared" si="40"/>
        <v>0</v>
      </c>
      <c r="W38" s="228">
        <f t="shared" si="40"/>
        <v>0</v>
      </c>
      <c r="X38" s="228">
        <f t="shared" si="40"/>
        <v>307514.99999999994</v>
      </c>
      <c r="Y38" s="228">
        <f t="shared" si="40"/>
        <v>0</v>
      </c>
      <c r="Z38" s="228">
        <f t="shared" si="40"/>
        <v>0</v>
      </c>
      <c r="AA38" s="228">
        <f t="shared" si="40"/>
        <v>61901.2</v>
      </c>
      <c r="AB38" s="228">
        <f t="shared" si="40"/>
        <v>22991.670000000002</v>
      </c>
      <c r="AC38" s="228">
        <f t="shared" si="40"/>
        <v>0</v>
      </c>
      <c r="AD38" s="228">
        <f t="shared" si="40"/>
        <v>0</v>
      </c>
      <c r="AE38" s="228">
        <f t="shared" si="40"/>
        <v>3431.2200000000003</v>
      </c>
      <c r="AF38" s="228">
        <f t="shared" si="40"/>
        <v>395839.0900000001</v>
      </c>
      <c r="AG38" s="228">
        <f t="shared" si="40"/>
        <v>396590.58400000003</v>
      </c>
      <c r="AH38" s="228">
        <f t="shared" si="40"/>
        <v>0</v>
      </c>
      <c r="AI38" s="228">
        <f t="shared" si="40"/>
        <v>0</v>
      </c>
      <c r="AJ38" s="228">
        <f t="shared" si="40"/>
        <v>34678.096</v>
      </c>
      <c r="AK38" s="228">
        <f t="shared" si="40"/>
        <v>30870.403800000007</v>
      </c>
      <c r="AL38" s="228">
        <f t="shared" si="40"/>
        <v>8695.876</v>
      </c>
      <c r="AM38" s="228">
        <f t="shared" si="40"/>
        <v>43479.38</v>
      </c>
      <c r="AN38" s="228">
        <f t="shared" si="40"/>
        <v>9130.669799999998</v>
      </c>
      <c r="AO38" s="228">
        <f t="shared" si="40"/>
        <v>87828.34760000001</v>
      </c>
      <c r="AP38" s="228">
        <f t="shared" si="40"/>
        <v>44783.761399999996</v>
      </c>
      <c r="AQ38" s="228">
        <f t="shared" si="40"/>
        <v>32609.535000000003</v>
      </c>
      <c r="AR38" s="228">
        <f t="shared" si="40"/>
        <v>32609.535000000003</v>
      </c>
      <c r="AS38" s="228">
        <f t="shared" si="40"/>
        <v>25001.275999999998</v>
      </c>
      <c r="AT38" s="228">
        <f t="shared" si="40"/>
        <v>4830.3</v>
      </c>
      <c r="AU38" s="228">
        <f t="shared" si="40"/>
        <v>27362</v>
      </c>
      <c r="AV38" s="228">
        <f t="shared" si="40"/>
        <v>0</v>
      </c>
      <c r="AW38" s="228">
        <f t="shared" si="40"/>
        <v>277.47</v>
      </c>
      <c r="AX38" s="228">
        <f t="shared" si="40"/>
        <v>11277.4997</v>
      </c>
      <c r="AY38" s="228">
        <f>SUM(BA26:BA37)</f>
        <v>0</v>
      </c>
      <c r="AZ38" s="228">
        <f>SUM(BB26:BB37)</f>
        <v>0</v>
      </c>
      <c r="BA38" s="228">
        <f>SUM(BC26:BC37)</f>
        <v>358756.05429999996</v>
      </c>
      <c r="BB38" s="228">
        <f>SUM(BB26:BB37)</f>
        <v>0</v>
      </c>
      <c r="BC38" s="228">
        <f>SUM(BC26:BC37)</f>
        <v>358756.05429999996</v>
      </c>
      <c r="BD38" s="228">
        <f>SUM(BD26:BD37)</f>
        <v>21259.736000000004</v>
      </c>
      <c r="BE38" s="228">
        <f>SUM(BE26:BE37)</f>
        <v>380015.79030000005</v>
      </c>
      <c r="BF38" s="228">
        <f>SUM(BF26:BF37)</f>
        <v>51252.8897</v>
      </c>
      <c r="BG38" s="228">
        <f>SUM(BG26:BG37)</f>
        <v>-8486.769999999979</v>
      </c>
    </row>
    <row r="39" spans="1:59" s="20" customFormat="1" ht="13.5" thickBot="1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1"/>
      <c r="BF39" s="230"/>
      <c r="BG39" s="232"/>
    </row>
    <row r="40" spans="1:59" s="20" customFormat="1" ht="13.5" thickBot="1">
      <c r="A40" s="22" t="s">
        <v>54</v>
      </c>
      <c r="B40" s="230"/>
      <c r="C40" s="233">
        <f aca="true" t="shared" si="41" ref="C40:BG40">C38+C24</f>
        <v>1610559.1763999998</v>
      </c>
      <c r="D40" s="233">
        <f t="shared" si="41"/>
        <v>130316.34080755002</v>
      </c>
      <c r="E40" s="233">
        <f t="shared" si="41"/>
        <v>74513.38</v>
      </c>
      <c r="F40" s="233">
        <f t="shared" si="41"/>
        <v>11536.109999999999</v>
      </c>
      <c r="G40" s="233">
        <f t="shared" si="41"/>
        <v>552692.25</v>
      </c>
      <c r="H40" s="233">
        <f t="shared" si="41"/>
        <v>0</v>
      </c>
      <c r="I40" s="233">
        <f t="shared" si="41"/>
        <v>73142.09000000001</v>
      </c>
      <c r="J40" s="233">
        <f t="shared" si="41"/>
        <v>10102.68</v>
      </c>
      <c r="K40" s="233">
        <f t="shared" si="41"/>
        <v>167890.07</v>
      </c>
      <c r="L40" s="233">
        <f t="shared" si="41"/>
        <v>26001.550000000003</v>
      </c>
      <c r="M40" s="233">
        <f t="shared" si="41"/>
        <v>408671.38999999996</v>
      </c>
      <c r="N40" s="233">
        <f t="shared" si="41"/>
        <v>37537.68</v>
      </c>
      <c r="O40" s="233">
        <f t="shared" si="41"/>
        <v>119381.72</v>
      </c>
      <c r="P40" s="233">
        <f t="shared" si="41"/>
        <v>9328.69</v>
      </c>
      <c r="Q40" s="233">
        <f t="shared" si="41"/>
        <v>0</v>
      </c>
      <c r="R40" s="233">
        <f t="shared" si="41"/>
        <v>0</v>
      </c>
      <c r="S40" s="233">
        <f t="shared" si="41"/>
        <v>7200</v>
      </c>
      <c r="T40" s="233">
        <f t="shared" si="41"/>
        <v>0</v>
      </c>
      <c r="U40" s="233">
        <f t="shared" si="41"/>
        <v>1431178.05</v>
      </c>
      <c r="V40" s="233">
        <f t="shared" si="41"/>
        <v>100023.34</v>
      </c>
      <c r="W40" s="233">
        <f t="shared" si="41"/>
        <v>75547.43000000001</v>
      </c>
      <c r="X40" s="233">
        <f t="shared" si="41"/>
        <v>510674.32999999996</v>
      </c>
      <c r="Y40" s="233">
        <f t="shared" si="41"/>
        <v>101765.65999999999</v>
      </c>
      <c r="Z40" s="233">
        <f t="shared" si="41"/>
        <v>166998.83000000002</v>
      </c>
      <c r="AA40" s="233">
        <f t="shared" si="41"/>
        <v>403860.13000000006</v>
      </c>
      <c r="AB40" s="233">
        <f t="shared" si="41"/>
        <v>120262.36</v>
      </c>
      <c r="AC40" s="233">
        <f t="shared" si="41"/>
        <v>0</v>
      </c>
      <c r="AD40" s="233">
        <f t="shared" si="41"/>
        <v>0</v>
      </c>
      <c r="AE40" s="233">
        <f t="shared" si="41"/>
        <v>6838</v>
      </c>
      <c r="AF40" s="233">
        <f t="shared" si="41"/>
        <v>1385946.7400000002</v>
      </c>
      <c r="AG40" s="233">
        <f t="shared" si="41"/>
        <v>1616286.42080755</v>
      </c>
      <c r="AH40" s="233">
        <f t="shared" si="41"/>
        <v>0</v>
      </c>
      <c r="AI40" s="233">
        <f t="shared" si="41"/>
        <v>0</v>
      </c>
      <c r="AJ40" s="233">
        <f t="shared" si="41"/>
        <v>65596.72068</v>
      </c>
      <c r="AK40" s="233">
        <f t="shared" si="41"/>
        <v>117828.77940000003</v>
      </c>
      <c r="AL40" s="233">
        <f t="shared" si="41"/>
        <v>36768.25848799999</v>
      </c>
      <c r="AM40" s="233">
        <f t="shared" si="41"/>
        <v>182952.68511099502</v>
      </c>
      <c r="AN40" s="233">
        <f t="shared" si="41"/>
        <v>18264.132599999997</v>
      </c>
      <c r="AO40" s="233">
        <f t="shared" si="41"/>
        <v>271415.9879423182</v>
      </c>
      <c r="AP40" s="233">
        <f t="shared" si="41"/>
        <v>303743.4114974198</v>
      </c>
      <c r="AQ40" s="233">
        <f t="shared" si="41"/>
        <v>65229.04500000001</v>
      </c>
      <c r="AR40" s="233">
        <f t="shared" si="41"/>
        <v>65229.04500000001</v>
      </c>
      <c r="AS40" s="233">
        <f t="shared" si="41"/>
        <v>50010.947</v>
      </c>
      <c r="AT40" s="233">
        <f t="shared" si="41"/>
        <v>14490.900000000001</v>
      </c>
      <c r="AU40" s="233">
        <f t="shared" si="41"/>
        <v>275742.87</v>
      </c>
      <c r="AV40" s="233">
        <f t="shared" si="41"/>
        <v>2609</v>
      </c>
      <c r="AW40" s="233">
        <f t="shared" si="41"/>
        <v>113383.2932</v>
      </c>
      <c r="AX40" s="233">
        <f t="shared" si="41"/>
        <v>40826.1681</v>
      </c>
      <c r="AY40" s="233">
        <f t="shared" si="41"/>
        <v>58911.070400000004</v>
      </c>
      <c r="AZ40" s="233">
        <f t="shared" si="41"/>
        <v>0</v>
      </c>
      <c r="BA40" s="233">
        <f t="shared" si="41"/>
        <v>358756.05429999996</v>
      </c>
      <c r="BB40" s="233">
        <f t="shared" si="41"/>
        <v>0</v>
      </c>
      <c r="BC40" s="233">
        <f t="shared" si="41"/>
        <v>1617405.5937387329</v>
      </c>
      <c r="BD40" s="233">
        <f t="shared" si="41"/>
        <v>30653.554608077407</v>
      </c>
      <c r="BE40" s="233">
        <f t="shared" si="41"/>
        <v>1648059.1483468106</v>
      </c>
      <c r="BF40" s="233">
        <f t="shared" si="41"/>
        <v>33823.99314073955</v>
      </c>
      <c r="BG40" s="234">
        <f t="shared" si="41"/>
        <v>-45231.30999999998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4">
      <selection activeCell="B48" sqref="B48"/>
    </sheetView>
  </sheetViews>
  <sheetFormatPr defaultColWidth="9.00390625" defaultRowHeight="12.75"/>
  <cols>
    <col min="1" max="1" width="10.00390625" style="149" customWidth="1"/>
    <col min="2" max="2" width="10.25390625" style="149" customWidth="1"/>
    <col min="3" max="3" width="10.625" style="149" customWidth="1"/>
    <col min="4" max="4" width="10.75390625" style="149" customWidth="1"/>
    <col min="5" max="5" width="11.375" style="149" customWidth="1"/>
    <col min="6" max="6" width="9.875" style="149" customWidth="1"/>
    <col min="7" max="7" width="11.625" style="149" customWidth="1"/>
    <col min="8" max="8" width="11.875" style="149" customWidth="1"/>
    <col min="9" max="9" width="10.00390625" style="149" customWidth="1"/>
    <col min="10" max="10" width="10.25390625" style="149" customWidth="1"/>
    <col min="11" max="11" width="9.875" style="149" customWidth="1"/>
    <col min="12" max="12" width="11.625" style="149" customWidth="1"/>
    <col min="13" max="13" width="10.125" style="149" customWidth="1"/>
    <col min="14" max="14" width="10.00390625" style="149" customWidth="1"/>
    <col min="15" max="15" width="12.25390625" style="149" customWidth="1"/>
    <col min="16" max="16" width="10.375" style="149" customWidth="1"/>
    <col min="17" max="17" width="10.25390625" style="149" customWidth="1"/>
    <col min="18" max="16384" width="9.125" style="149" customWidth="1"/>
  </cols>
  <sheetData>
    <row r="1" spans="2:9" ht="20.25" customHeight="1">
      <c r="B1" s="318" t="s">
        <v>55</v>
      </c>
      <c r="C1" s="318"/>
      <c r="D1" s="318"/>
      <c r="E1" s="318"/>
      <c r="F1" s="318"/>
      <c r="G1" s="318"/>
      <c r="H1" s="318"/>
      <c r="I1" s="147"/>
    </row>
    <row r="2" spans="2:12" ht="21" customHeight="1">
      <c r="B2" s="318" t="s">
        <v>56</v>
      </c>
      <c r="C2" s="318"/>
      <c r="D2" s="318"/>
      <c r="E2" s="318"/>
      <c r="F2" s="318"/>
      <c r="G2" s="318"/>
      <c r="H2" s="318"/>
      <c r="I2" s="147"/>
      <c r="K2" s="148"/>
      <c r="L2" s="148"/>
    </row>
    <row r="5" spans="1:14" ht="12.75">
      <c r="A5" s="320" t="s">
        <v>89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</row>
    <row r="6" spans="1:14" ht="12.75">
      <c r="A6" s="321" t="s">
        <v>118</v>
      </c>
      <c r="B6" s="321"/>
      <c r="C6" s="321"/>
      <c r="D6" s="321"/>
      <c r="E6" s="321"/>
      <c r="F6" s="321"/>
      <c r="G6" s="321"/>
      <c r="H6" s="101"/>
      <c r="I6" s="101"/>
      <c r="J6" s="101"/>
      <c r="K6" s="101"/>
      <c r="L6" s="101"/>
      <c r="M6" s="101"/>
      <c r="N6" s="101"/>
    </row>
    <row r="7" spans="1:15" ht="13.5" thickBot="1">
      <c r="A7" s="433" t="s">
        <v>126</v>
      </c>
      <c r="B7" s="434"/>
      <c r="C7" s="434"/>
      <c r="D7" s="434"/>
      <c r="E7" s="434">
        <v>9.51</v>
      </c>
      <c r="F7" s="434"/>
      <c r="J7" s="235"/>
      <c r="K7" s="235"/>
      <c r="L7" s="235"/>
      <c r="M7" s="235"/>
      <c r="N7" s="235"/>
      <c r="O7" s="235"/>
    </row>
    <row r="8" spans="1:17" ht="12.75" customHeight="1">
      <c r="A8" s="453" t="s">
        <v>58</v>
      </c>
      <c r="B8" s="454" t="s">
        <v>1</v>
      </c>
      <c r="C8" s="431" t="s">
        <v>125</v>
      </c>
      <c r="D8" s="432" t="s">
        <v>3</v>
      </c>
      <c r="E8" s="298" t="s">
        <v>60</v>
      </c>
      <c r="F8" s="299"/>
      <c r="G8" s="308" t="s">
        <v>61</v>
      </c>
      <c r="H8" s="309"/>
      <c r="I8" s="444" t="s">
        <v>119</v>
      </c>
      <c r="J8" s="447" t="s">
        <v>10</v>
      </c>
      <c r="K8" s="448"/>
      <c r="L8" s="448"/>
      <c r="M8" s="448"/>
      <c r="N8" s="448"/>
      <c r="O8" s="449"/>
      <c r="P8" s="435" t="s">
        <v>62</v>
      </c>
      <c r="Q8" s="435" t="s">
        <v>12</v>
      </c>
    </row>
    <row r="9" spans="1:17" ht="12.75">
      <c r="A9" s="293"/>
      <c r="B9" s="296"/>
      <c r="C9" s="313"/>
      <c r="D9" s="316"/>
      <c r="E9" s="306"/>
      <c r="F9" s="307"/>
      <c r="G9" s="310"/>
      <c r="H9" s="311"/>
      <c r="I9" s="445"/>
      <c r="J9" s="450"/>
      <c r="K9" s="451"/>
      <c r="L9" s="451"/>
      <c r="M9" s="451"/>
      <c r="N9" s="451"/>
      <c r="O9" s="452"/>
      <c r="P9" s="436"/>
      <c r="Q9" s="436"/>
    </row>
    <row r="10" spans="1:17" ht="26.25" customHeight="1">
      <c r="A10" s="293"/>
      <c r="B10" s="296"/>
      <c r="C10" s="313"/>
      <c r="D10" s="316"/>
      <c r="E10" s="298" t="s">
        <v>63</v>
      </c>
      <c r="F10" s="299"/>
      <c r="G10" s="89" t="s">
        <v>64</v>
      </c>
      <c r="H10" s="272" t="s">
        <v>7</v>
      </c>
      <c r="I10" s="445"/>
      <c r="J10" s="300" t="s">
        <v>65</v>
      </c>
      <c r="K10" s="302" t="s">
        <v>120</v>
      </c>
      <c r="L10" s="302" t="s">
        <v>66</v>
      </c>
      <c r="M10" s="302" t="s">
        <v>37</v>
      </c>
      <c r="N10" s="303" t="s">
        <v>121</v>
      </c>
      <c r="O10" s="273" t="s">
        <v>39</v>
      </c>
      <c r="P10" s="436"/>
      <c r="Q10" s="436"/>
    </row>
    <row r="11" spans="1:17" ht="66.75" customHeight="1" thickBot="1">
      <c r="A11" s="294"/>
      <c r="B11" s="297"/>
      <c r="C11" s="314"/>
      <c r="D11" s="317"/>
      <c r="E11" s="63" t="s">
        <v>68</v>
      </c>
      <c r="F11" s="67" t="s">
        <v>21</v>
      </c>
      <c r="G11" s="82" t="s">
        <v>69</v>
      </c>
      <c r="H11" s="273"/>
      <c r="I11" s="446"/>
      <c r="J11" s="301"/>
      <c r="K11" s="303"/>
      <c r="L11" s="303"/>
      <c r="M11" s="303"/>
      <c r="N11" s="438"/>
      <c r="O11" s="439"/>
      <c r="P11" s="437"/>
      <c r="Q11" s="437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236">
        <v>5</v>
      </c>
      <c r="F12" s="153">
        <v>6</v>
      </c>
      <c r="G12" s="236">
        <v>7</v>
      </c>
      <c r="H12" s="153">
        <v>8</v>
      </c>
      <c r="I12" s="237">
        <v>9</v>
      </c>
      <c r="J12" s="236">
        <v>10</v>
      </c>
      <c r="K12" s="153">
        <v>11</v>
      </c>
      <c r="L12" s="237">
        <v>12</v>
      </c>
      <c r="M12" s="64">
        <v>13</v>
      </c>
      <c r="N12" s="236">
        <v>14</v>
      </c>
      <c r="O12" s="153">
        <v>15</v>
      </c>
      <c r="P12" s="237">
        <v>16</v>
      </c>
      <c r="Q12" s="153">
        <v>17</v>
      </c>
    </row>
    <row r="13" spans="1:17" ht="13.5" thickBot="1">
      <c r="A13" s="274" t="s">
        <v>94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38"/>
      <c r="P13" s="239"/>
      <c r="Q13" s="239"/>
    </row>
    <row r="14" spans="1:19" s="20" customFormat="1" ht="13.5" hidden="1" thickBot="1">
      <c r="A14" s="81" t="s">
        <v>54</v>
      </c>
      <c r="B14" s="38"/>
      <c r="C14" s="39">
        <f>'2012 полн'!B10</f>
        <v>3625.39</v>
      </c>
      <c r="D14" s="39">
        <f>'2012 полн'!D8</f>
        <v>128335.95080755002</v>
      </c>
      <c r="E14" s="39">
        <f>'2012 полн'!U8</f>
        <v>645846.97</v>
      </c>
      <c r="F14" s="39">
        <f>'2012 полн'!V8</f>
        <v>100023.34</v>
      </c>
      <c r="G14" s="39">
        <f>'2012 полн'!AF8</f>
        <v>611569.81</v>
      </c>
      <c r="H14" s="39">
        <f>'2012 полн'!AG8</f>
        <v>839929.10080755</v>
      </c>
      <c r="I14" s="39">
        <f>'2012 полн'!AJ8</f>
        <v>8300.452680000002</v>
      </c>
      <c r="J14" s="39">
        <f>'2012 полн'!AK8</f>
        <v>57818.280000000006</v>
      </c>
      <c r="K14" s="39">
        <f>'2012 полн'!AL8</f>
        <v>19373.846487999996</v>
      </c>
      <c r="L14" s="39">
        <f>'2012 полн'!AM8+'2012 полн'!AN8+'2012 полн'!AO8+'2012 полн'!AP8+'2012 полн'!AQ8+'2012 полн'!AR8+'2012 полн'!AS8+'2012 полн'!AT8+'2012 полн'!AX8+'2012 полн'!AY8</f>
        <v>486324.380350733</v>
      </c>
      <c r="M14" s="39">
        <f>'2012 полн'!AU8+'2012 полн'!AV8+'2012 полн'!AW8</f>
        <v>348238.69320000004</v>
      </c>
      <c r="N14" s="39">
        <f>'2012 полн'!BD8</f>
        <v>3845.4946080774002</v>
      </c>
      <c r="O14" s="39">
        <f>'2012 полн'!BE8</f>
        <v>915600.6946468104</v>
      </c>
      <c r="P14" s="39">
        <f>'2012 полн'!BF8</f>
        <v>-67371.1411592604</v>
      </c>
      <c r="Q14" s="39">
        <f>'2012 полн'!BG8</f>
        <v>-34277.16</v>
      </c>
      <c r="R14" s="73"/>
      <c r="S14" s="72"/>
    </row>
    <row r="15" spans="1:19" ht="13.5" hidden="1" thickBot="1">
      <c r="A15" s="240" t="s">
        <v>117</v>
      </c>
      <c r="B15" s="241"/>
      <c r="C15" s="242"/>
      <c r="D15" s="243"/>
      <c r="E15" s="244"/>
      <c r="F15" s="245"/>
      <c r="G15" s="246"/>
      <c r="H15" s="245"/>
      <c r="I15" s="247"/>
      <c r="J15" s="246"/>
      <c r="K15" s="248"/>
      <c r="L15" s="248"/>
      <c r="M15" s="249"/>
      <c r="N15" s="250"/>
      <c r="O15" s="251"/>
      <c r="P15" s="252"/>
      <c r="Q15" s="252"/>
      <c r="R15" s="148"/>
      <c r="S15" s="148"/>
    </row>
    <row r="16" spans="1:19" ht="13.5" hidden="1" thickBot="1">
      <c r="A16" s="253" t="s">
        <v>45</v>
      </c>
      <c r="B16" s="254">
        <f>'2012 полн'!B10</f>
        <v>3625.39</v>
      </c>
      <c r="C16" s="255">
        <f>'2012 полн'!C10</f>
        <v>30997.0845</v>
      </c>
      <c r="D16" s="256">
        <f>'2012 полн'!D10</f>
        <v>102.408</v>
      </c>
      <c r="E16" s="257">
        <f>'2012 полн'!U10</f>
        <v>31689.899999999998</v>
      </c>
      <c r="F16" s="257">
        <f>'2012 полн'!V10</f>
        <v>0</v>
      </c>
      <c r="G16" s="258">
        <f>'2012 полн'!AF10</f>
        <v>20500.09</v>
      </c>
      <c r="H16" s="258">
        <f>'2012 полн'!AG10</f>
        <v>20602.498</v>
      </c>
      <c r="I16" s="258">
        <f>'2012 полн'!AJ10</f>
        <v>549.9060000000001</v>
      </c>
      <c r="J16" s="258">
        <f>'2012 полн'!AK10</f>
        <v>2429.0113</v>
      </c>
      <c r="K16" s="258">
        <f>'2012 полн'!AL10</f>
        <v>725.078</v>
      </c>
      <c r="L16" s="257">
        <f>'2012 полн'!AM10+'2012 полн'!AN10+'2012 полн'!AO10+'2012 полн'!AP10+'2012 полн'!AQ10+'2012 полн'!AR10+'2012 полн'!AS10+'2012 полн'!AT10+'2012 полн'!AX10</f>
        <v>25453.9699</v>
      </c>
      <c r="M16" s="259">
        <f>'2012 полн'!AU10+'2012 полн'!AV10+'2012 полн'!AW10</f>
        <v>1630</v>
      </c>
      <c r="N16" s="260">
        <f>'2012 полн'!BD10</f>
        <v>342.52700000000004</v>
      </c>
      <c r="O16" s="261">
        <f>'2012 полн'!BE10</f>
        <v>30580.586199999998</v>
      </c>
      <c r="P16" s="262">
        <f>'2012 полн'!BF10</f>
        <v>-9428.1822</v>
      </c>
      <c r="Q16" s="262">
        <f>'2012 полн'!BG10</f>
        <v>-11189.809999999998</v>
      </c>
      <c r="R16" s="148"/>
      <c r="S16" s="148"/>
    </row>
    <row r="17" spans="1:19" ht="13.5" hidden="1" thickBot="1">
      <c r="A17" s="162" t="s">
        <v>46</v>
      </c>
      <c r="B17" s="254">
        <f>'2012 полн'!B11</f>
        <v>3625.39</v>
      </c>
      <c r="C17" s="255">
        <f>'2012 полн'!C11</f>
        <v>30997.0845</v>
      </c>
      <c r="D17" s="256">
        <f>'2012 полн'!D11</f>
        <v>102.408</v>
      </c>
      <c r="E17" s="257">
        <f>'2012 полн'!U11</f>
        <v>30977.13</v>
      </c>
      <c r="F17" s="257">
        <f>'2012 полн'!V11</f>
        <v>0</v>
      </c>
      <c r="G17" s="258">
        <f>'2012 полн'!AF11</f>
        <v>35102.4</v>
      </c>
      <c r="H17" s="258">
        <f>'2012 полн'!AG11</f>
        <v>35204.808000000005</v>
      </c>
      <c r="I17" s="258">
        <f>'2012 полн'!AJ11</f>
        <v>549.9060000000001</v>
      </c>
      <c r="J17" s="258">
        <f>'2012 полн'!AK11</f>
        <v>2429.0113</v>
      </c>
      <c r="K17" s="258">
        <f>'2012 полн'!AL11</f>
        <v>725.078</v>
      </c>
      <c r="L17" s="257">
        <f>'2012 полн'!AM11+'2012 полн'!AN11+'2012 полн'!AO11+'2012 полн'!AP11+'2012 полн'!AQ11+'2012 полн'!AR11+'2012 полн'!AS11+'2012 полн'!AT11+'2012 полн'!AX11</f>
        <v>25496.5299</v>
      </c>
      <c r="M17" s="259">
        <f>'2012 полн'!AU11+'2012 полн'!AV11+'2012 полн'!AW11</f>
        <v>2452</v>
      </c>
      <c r="N17" s="260">
        <f>'2012 полн'!BD11</f>
        <v>342.52700000000004</v>
      </c>
      <c r="O17" s="261">
        <f>'2012 полн'!BE11</f>
        <v>31445.146200000003</v>
      </c>
      <c r="P17" s="262">
        <f>'2012 полн'!BF11</f>
        <v>4309.567800000004</v>
      </c>
      <c r="Q17" s="262">
        <f>'2012 полн'!BG11</f>
        <v>4125.27</v>
      </c>
      <c r="R17" s="148"/>
      <c r="S17" s="148"/>
    </row>
    <row r="18" spans="1:19" ht="13.5" hidden="1" thickBot="1">
      <c r="A18" s="162" t="s">
        <v>47</v>
      </c>
      <c r="B18" s="254">
        <f>'2012 полн'!B12</f>
        <v>3624.19</v>
      </c>
      <c r="C18" s="255">
        <f>'2012 полн'!C12</f>
        <v>30986.824500000002</v>
      </c>
      <c r="D18" s="256">
        <f>'2012 полн'!D12</f>
        <v>102.408</v>
      </c>
      <c r="E18" s="257">
        <f>'2012 полн'!U12</f>
        <v>32522.1</v>
      </c>
      <c r="F18" s="257">
        <f>'2012 полн'!V12</f>
        <v>0</v>
      </c>
      <c r="G18" s="258">
        <f>'2012 полн'!AF12</f>
        <v>28810.15</v>
      </c>
      <c r="H18" s="258">
        <f>'2012 полн'!AG12</f>
        <v>28912.558</v>
      </c>
      <c r="I18" s="258">
        <f>'2012 полн'!AJ12</f>
        <v>549.9060000000001</v>
      </c>
      <c r="J18" s="258">
        <f>'2012 полн'!AK12</f>
        <v>2428.2073</v>
      </c>
      <c r="K18" s="258">
        <f>'2012 полн'!AL12</f>
        <v>724.8380000000001</v>
      </c>
      <c r="L18" s="257">
        <f>'2012 полн'!AM12+'2012 полн'!AN12+'2012 полн'!AO12+'2012 полн'!AP12+'2012 полн'!AQ12+'2012 полн'!AR12+'2012 полн'!AS12+'2012 полн'!AT12+'2012 полн'!AX12</f>
        <v>25535.177900000002</v>
      </c>
      <c r="M18" s="259">
        <f>'2012 полн'!AU12+'2012 полн'!AV12+'2012 полн'!AW12</f>
        <v>640</v>
      </c>
      <c r="N18" s="260">
        <f>'2012 полн'!BD12</f>
        <v>342.52700000000004</v>
      </c>
      <c r="O18" s="261">
        <f>'2012 полн'!BE12</f>
        <v>29670.75020000001</v>
      </c>
      <c r="P18" s="262">
        <f>'2012 полн'!BF12</f>
        <v>-208.28620000000956</v>
      </c>
      <c r="Q18" s="262">
        <f>'2012 полн'!BG12</f>
        <v>-3711.949999999997</v>
      </c>
      <c r="R18" s="148"/>
      <c r="S18" s="148"/>
    </row>
    <row r="19" spans="1:19" ht="13.5" hidden="1" thickBot="1">
      <c r="A19" s="162" t="s">
        <v>48</v>
      </c>
      <c r="B19" s="254">
        <f>'2012 полн'!B13</f>
        <v>3624.19</v>
      </c>
      <c r="C19" s="255">
        <f>'2012 полн'!C13</f>
        <v>30986.824500000002</v>
      </c>
      <c r="D19" s="256">
        <f>'2012 полн'!D13</f>
        <v>102.408</v>
      </c>
      <c r="E19" s="257">
        <f>'2012 полн'!U13</f>
        <v>31722.09</v>
      </c>
      <c r="F19" s="257">
        <f>'2012 полн'!V13</f>
        <v>0</v>
      </c>
      <c r="G19" s="258">
        <f>'2012 полн'!AF13</f>
        <v>31459.760000000002</v>
      </c>
      <c r="H19" s="258">
        <f>'2012 полн'!AG13</f>
        <v>31562.168</v>
      </c>
      <c r="I19" s="258">
        <f>'2012 полн'!AJ13</f>
        <v>549.9060000000001</v>
      </c>
      <c r="J19" s="258">
        <f>'2012 полн'!AK13</f>
        <v>2428.2073</v>
      </c>
      <c r="K19" s="258">
        <f>'2012 полн'!AL13</f>
        <v>724.8380000000001</v>
      </c>
      <c r="L19" s="257">
        <f>'2012 полн'!AM13+'2012 полн'!AN13+'2012 полн'!AO13+'2012 полн'!AP13+'2012 полн'!AQ13+'2012 полн'!AR13+'2012 полн'!AS13+'2012 полн'!AT13+'2012 полн'!AX13</f>
        <v>24917.8594</v>
      </c>
      <c r="M19" s="259">
        <f>'2012 полн'!AU13+'2012 полн'!AV13+'2012 полн'!AW13</f>
        <v>2213</v>
      </c>
      <c r="N19" s="260">
        <f>'2012 полн'!BD13</f>
        <v>342.52700000000004</v>
      </c>
      <c r="O19" s="261">
        <f>'2012 полн'!BE13</f>
        <v>30626.43170000001</v>
      </c>
      <c r="P19" s="262">
        <f>'2012 полн'!BF13</f>
        <v>1485.6422999999922</v>
      </c>
      <c r="Q19" s="262">
        <f>'2012 полн'!BG13</f>
        <v>-262.3299999999981</v>
      </c>
      <c r="R19" s="148"/>
      <c r="S19" s="148"/>
    </row>
    <row r="20" spans="1:19" ht="13.5" hidden="1" thickBot="1">
      <c r="A20" s="162" t="s">
        <v>49</v>
      </c>
      <c r="B20" s="254">
        <f>'2012 полн'!B14</f>
        <v>3624.19</v>
      </c>
      <c r="C20" s="255">
        <f>'2012 полн'!C14</f>
        <v>30986.824500000002</v>
      </c>
      <c r="D20" s="256">
        <f>'2012 полн'!D14</f>
        <v>102.408</v>
      </c>
      <c r="E20" s="257">
        <f>'2012 полн'!U14</f>
        <v>31722.11</v>
      </c>
      <c r="F20" s="257">
        <f>'2012 полн'!V14</f>
        <v>0</v>
      </c>
      <c r="G20" s="258">
        <f>'2012 полн'!AF14</f>
        <v>34916.5</v>
      </c>
      <c r="H20" s="258">
        <f>'2012 полн'!AG14</f>
        <v>35018.908</v>
      </c>
      <c r="I20" s="258">
        <f>'2012 полн'!AJ14</f>
        <v>549.9060000000001</v>
      </c>
      <c r="J20" s="258">
        <f>'2012 полн'!AK14</f>
        <v>2428.2073</v>
      </c>
      <c r="K20" s="258">
        <f>'2012 полн'!AL14</f>
        <v>724.8380000000001</v>
      </c>
      <c r="L20" s="257">
        <f>'2012 полн'!AM14+'2012 полн'!AN14+'2012 полн'!AO14+'2012 полн'!AP14+'2012 полн'!AQ14+'2012 полн'!AR14+'2012 полн'!AS14+'2012 полн'!AT14+'2012 полн'!AX14</f>
        <v>21678.8194</v>
      </c>
      <c r="M20" s="259">
        <f>'2012 полн'!AU14+'2012 полн'!AV14+'2012 полн'!AW14</f>
        <v>1636</v>
      </c>
      <c r="N20" s="260">
        <f>'2012 полн'!BD14</f>
        <v>342.52700000000004</v>
      </c>
      <c r="O20" s="261">
        <f>'2012 полн'!BE14</f>
        <v>26810.391700000007</v>
      </c>
      <c r="P20" s="262">
        <f>'2012 полн'!BF14</f>
        <v>8758.422299999998</v>
      </c>
      <c r="Q20" s="262">
        <f>'2012 полн'!BG14</f>
        <v>3194.3899999999994</v>
      </c>
      <c r="R20" s="148"/>
      <c r="S20" s="148"/>
    </row>
    <row r="21" spans="1:19" ht="13.5" hidden="1" thickBot="1">
      <c r="A21" s="162" t="s">
        <v>50</v>
      </c>
      <c r="B21" s="254">
        <f>'2012 полн'!B15</f>
        <v>3624.19</v>
      </c>
      <c r="C21" s="255">
        <f>'2012 полн'!C15</f>
        <v>30986.824500000002</v>
      </c>
      <c r="D21" s="256">
        <f>'2012 полн'!D15</f>
        <v>102.408</v>
      </c>
      <c r="E21" s="257">
        <f>'2012 полн'!U15</f>
        <v>31422.109999999997</v>
      </c>
      <c r="F21" s="257">
        <f>'2012 полн'!V15</f>
        <v>0</v>
      </c>
      <c r="G21" s="258">
        <f>'2012 полн'!AF15</f>
        <v>30921.53</v>
      </c>
      <c r="H21" s="258">
        <f>'2012 полн'!AG15</f>
        <v>31023.938</v>
      </c>
      <c r="I21" s="258">
        <f>'2012 полн'!AJ15</f>
        <v>549.9060000000001</v>
      </c>
      <c r="J21" s="258">
        <f>'2012 полн'!AK15</f>
        <v>2428.2073</v>
      </c>
      <c r="K21" s="258">
        <f>'2012 полн'!AL15</f>
        <v>724.8380000000001</v>
      </c>
      <c r="L21" s="257">
        <f>'2012 полн'!AM15+'2012 полн'!AN15+'2012 полн'!AO15+'2012 полн'!AP15+'2012 полн'!AQ15+'2012 полн'!AR15+'2012 полн'!AS15+'2012 полн'!AT15+'2012 полн'!AX15</f>
        <v>21834.8594</v>
      </c>
      <c r="M21" s="259">
        <f>'2012 полн'!AU15+'2012 полн'!AV15+'2012 полн'!AW15</f>
        <v>896</v>
      </c>
      <c r="N21" s="260">
        <f>'2012 полн'!BD15</f>
        <v>342.52700000000004</v>
      </c>
      <c r="O21" s="261">
        <f>'2012 полн'!BE15</f>
        <v>26226.43170000001</v>
      </c>
      <c r="P21" s="262">
        <f>'2012 полн'!BF15</f>
        <v>5347.412299999989</v>
      </c>
      <c r="Q21" s="262">
        <f>'2012 полн'!BG15</f>
        <v>-500.5799999999981</v>
      </c>
      <c r="R21" s="148"/>
      <c r="S21" s="148"/>
    </row>
    <row r="22" spans="1:17" ht="13.5" hidden="1" thickBot="1">
      <c r="A22" s="162" t="s">
        <v>51</v>
      </c>
      <c r="B22" s="254">
        <f>'2012 полн'!B16</f>
        <v>3624.19</v>
      </c>
      <c r="C22" s="255">
        <f>'2012 полн'!C16</f>
        <v>30986.824500000002</v>
      </c>
      <c r="D22" s="256">
        <f>'2012 полн'!D16</f>
        <v>102.408</v>
      </c>
      <c r="E22" s="257">
        <f>'2012 полн'!U16</f>
        <v>31422.100000000002</v>
      </c>
      <c r="F22" s="257">
        <f>'2012 полн'!V16</f>
        <v>0</v>
      </c>
      <c r="G22" s="258">
        <f>'2012 полн'!AF16</f>
        <v>27487.37</v>
      </c>
      <c r="H22" s="258">
        <f>'2012 полн'!AG16</f>
        <v>27589.778</v>
      </c>
      <c r="I22" s="258">
        <f>'2012 полн'!AJ16</f>
        <v>549.9060000000001</v>
      </c>
      <c r="J22" s="258">
        <f>'2012 полн'!AK16</f>
        <v>2428.2073</v>
      </c>
      <c r="K22" s="258">
        <f>'2012 полн'!AL16</f>
        <v>724.8380000000001</v>
      </c>
      <c r="L22" s="257">
        <f>'2012 полн'!AM16+'2012 полн'!AN16+'2012 полн'!AO16+'2012 полн'!AP16+'2012 полн'!AQ16+'2012 полн'!AR16+'2012 полн'!AS16+'2012 полн'!AT16+'2012 полн'!AX16</f>
        <v>21393.149400000002</v>
      </c>
      <c r="M22" s="259">
        <f>'2012 полн'!AU16+'2012 полн'!AV16+'2012 полн'!AW16</f>
        <v>0</v>
      </c>
      <c r="N22" s="260">
        <f>'2012 полн'!BD16</f>
        <v>342.52700000000004</v>
      </c>
      <c r="O22" s="261">
        <f>'2012 полн'!BE16</f>
        <v>24888.72170000001</v>
      </c>
      <c r="P22" s="262">
        <f>'2012 полн'!BF16</f>
        <v>3250.9622999999883</v>
      </c>
      <c r="Q22" s="262">
        <f>'2012 полн'!BG16</f>
        <v>-3934.730000000003</v>
      </c>
    </row>
    <row r="23" spans="1:17" ht="13.5" hidden="1" thickBot="1">
      <c r="A23" s="162" t="s">
        <v>52</v>
      </c>
      <c r="B23" s="254">
        <f>'2012 полн'!B17</f>
        <v>3624.19</v>
      </c>
      <c r="C23" s="255">
        <f>'2012 полн'!C17</f>
        <v>30986.824500000002</v>
      </c>
      <c r="D23" s="256">
        <f>'2012 полн'!D17</f>
        <v>102.408</v>
      </c>
      <c r="E23" s="257">
        <f>'2012 полн'!U17</f>
        <v>31422.11</v>
      </c>
      <c r="F23" s="257">
        <f>'2012 полн'!V17</f>
        <v>0</v>
      </c>
      <c r="G23" s="258">
        <f>'2012 полн'!AF17</f>
        <v>33213.27</v>
      </c>
      <c r="H23" s="258">
        <f>'2012 полн'!AG17</f>
        <v>33315.678</v>
      </c>
      <c r="I23" s="258">
        <f>'2012 полн'!AJ17</f>
        <v>549.9060000000001</v>
      </c>
      <c r="J23" s="258">
        <f>'2012 полн'!AK17</f>
        <v>2428.2073</v>
      </c>
      <c r="K23" s="258">
        <f>'2012 полн'!AL17</f>
        <v>724.8380000000001</v>
      </c>
      <c r="L23" s="257">
        <f>'2012 полн'!AM17+'2012 полн'!AN17+'2012 полн'!AO17+'2012 полн'!AP17+'2012 полн'!AQ17+'2012 полн'!AR17+'2012 полн'!AS17+'2012 полн'!AT17+'2012 полн'!AX17</f>
        <v>28301.059400000002</v>
      </c>
      <c r="M23" s="259">
        <f>'2012 полн'!AU17+'2012 полн'!AV17+'2012 полн'!AW17</f>
        <v>230</v>
      </c>
      <c r="N23" s="260">
        <f>'2012 полн'!BD17</f>
        <v>342.52700000000004</v>
      </c>
      <c r="O23" s="261">
        <f>'2012 полн'!BE17</f>
        <v>32026.631700000005</v>
      </c>
      <c r="P23" s="262">
        <f>'2012 полн'!BF17</f>
        <v>1838.9522999999972</v>
      </c>
      <c r="Q23" s="262">
        <f>'2012 полн'!BG17</f>
        <v>1791.1599999999962</v>
      </c>
    </row>
    <row r="24" spans="1:17" ht="13.5" hidden="1" thickBot="1">
      <c r="A24" s="162" t="s">
        <v>53</v>
      </c>
      <c r="B24" s="254">
        <f>'2012 полн'!B18</f>
        <v>3624.19</v>
      </c>
      <c r="C24" s="255">
        <f>'2012 полн'!C18</f>
        <v>30986.824500000002</v>
      </c>
      <c r="D24" s="256">
        <f>'2012 полн'!D18</f>
        <v>102.408</v>
      </c>
      <c r="E24" s="257">
        <f>'2012 полн'!U18</f>
        <v>32011.73</v>
      </c>
      <c r="F24" s="257">
        <f>'2012 полн'!V18</f>
        <v>0</v>
      </c>
      <c r="G24" s="258">
        <f>'2012 полн'!AF18</f>
        <v>28491.12</v>
      </c>
      <c r="H24" s="258">
        <f>'2012 полн'!AG18</f>
        <v>28593.528</v>
      </c>
      <c r="I24" s="258">
        <f>'2012 полн'!AJ18</f>
        <v>549.9060000000001</v>
      </c>
      <c r="J24" s="258">
        <f>'2012 полн'!AK18</f>
        <v>2428.2073</v>
      </c>
      <c r="K24" s="258">
        <f>'2012 полн'!AL18</f>
        <v>724.8380000000001</v>
      </c>
      <c r="L24" s="257">
        <f>'2012 полн'!AM18+'2012 полн'!AN18+'2012 полн'!AO18+'2012 полн'!AP18+'2012 полн'!AQ18+'2012 полн'!AR18+'2012 полн'!AS18+'2012 полн'!AT18+'2012 полн'!AX18</f>
        <v>21393.2294</v>
      </c>
      <c r="M24" s="259">
        <f>'2012 полн'!AU18+'2012 полн'!AV18+'2012 полн'!AW18</f>
        <v>1513</v>
      </c>
      <c r="N24" s="260">
        <f>'2012 полн'!BD18</f>
        <v>342.52700000000004</v>
      </c>
      <c r="O24" s="261">
        <f>'2012 полн'!BE18</f>
        <v>26401.801700000004</v>
      </c>
      <c r="P24" s="262">
        <f>'2012 полн'!BF18</f>
        <v>2741.632299999994</v>
      </c>
      <c r="Q24" s="262">
        <f>'2012 полн'!BG18</f>
        <v>-3520.6100000000006</v>
      </c>
    </row>
    <row r="25" spans="1:17" ht="13.5" hidden="1" thickBot="1">
      <c r="A25" s="162" t="s">
        <v>41</v>
      </c>
      <c r="B25" s="254">
        <f>'2012 полн'!B19</f>
        <v>3624.19</v>
      </c>
      <c r="C25" s="255">
        <f>'2012 полн'!C19</f>
        <v>30986.824500000002</v>
      </c>
      <c r="D25" s="256">
        <f>'2012 полн'!D19</f>
        <v>102.408</v>
      </c>
      <c r="E25" s="257">
        <f>'2012 полн'!U19</f>
        <v>32025.72</v>
      </c>
      <c r="F25" s="257">
        <f>'2012 полн'!V19</f>
        <v>0</v>
      </c>
      <c r="G25" s="258">
        <f>'2012 полн'!AF19</f>
        <v>41683.52</v>
      </c>
      <c r="H25" s="258">
        <f>'2012 полн'!AG19</f>
        <v>41785.928</v>
      </c>
      <c r="I25" s="258">
        <f>'2012 полн'!AJ19</f>
        <v>549.9060000000001</v>
      </c>
      <c r="J25" s="258">
        <f>'2012 полн'!AK19</f>
        <v>2428.2073</v>
      </c>
      <c r="K25" s="258">
        <f>'2012 полн'!AL19</f>
        <v>724.8380000000001</v>
      </c>
      <c r="L25" s="257">
        <f>'2012 полн'!AM19+'2012 полн'!AN19+'2012 полн'!AO19+'2012 полн'!AP19+'2012 полн'!AQ19+'2012 полн'!AR19+'2012 полн'!AS19+'2012 полн'!AT19+'2012 полн'!AX19</f>
        <v>26015.677900000002</v>
      </c>
      <c r="M25" s="259">
        <f>'2012 полн'!AU19+'2012 полн'!AV19+'2012 полн'!AW19</f>
        <v>199</v>
      </c>
      <c r="N25" s="260">
        <f>'2012 полн'!BD19</f>
        <v>342.52700000000004</v>
      </c>
      <c r="O25" s="261">
        <f>'2012 полн'!BE19</f>
        <v>29710.25020000001</v>
      </c>
      <c r="P25" s="262">
        <f>'2012 полн'!BF19</f>
        <v>12625.583799999993</v>
      </c>
      <c r="Q25" s="262">
        <f>'2012 полн'!BG19</f>
        <v>9657.799999999996</v>
      </c>
    </row>
    <row r="26" spans="1:17" ht="13.5" hidden="1" thickBot="1">
      <c r="A26" s="162" t="s">
        <v>42</v>
      </c>
      <c r="B26" s="254">
        <f>'2012 полн'!B20</f>
        <v>3624.19</v>
      </c>
      <c r="C26" s="255">
        <f>'2012 полн'!C20</f>
        <v>30986.824500000002</v>
      </c>
      <c r="D26" s="256">
        <f>'2012 полн'!D20</f>
        <v>102.408</v>
      </c>
      <c r="E26" s="257">
        <f>'2012 полн'!U20</f>
        <v>32027.79</v>
      </c>
      <c r="F26" s="257">
        <f>'2012 полн'!V20</f>
        <v>0</v>
      </c>
      <c r="G26" s="258">
        <f>'2012 полн'!AF20</f>
        <v>32124.34</v>
      </c>
      <c r="H26" s="258">
        <f>'2012 полн'!AG20</f>
        <v>32226.748</v>
      </c>
      <c r="I26" s="258">
        <f>'2012 полн'!AJ20</f>
        <v>549.9060000000001</v>
      </c>
      <c r="J26" s="258">
        <f>'2012 полн'!AK20</f>
        <v>2428.2073</v>
      </c>
      <c r="K26" s="258">
        <f>'2012 полн'!AL20</f>
        <v>724.8380000000001</v>
      </c>
      <c r="L26" s="257">
        <f>'2012 полн'!AM20+'2012 полн'!AN20+'2012 полн'!AO20+'2012 полн'!AP20+'2012 полн'!AQ20+'2012 полн'!AR20+'2012 полн'!AS20+'2012 полн'!AT20+'2012 полн'!AX20</f>
        <v>25658.697900000003</v>
      </c>
      <c r="M26" s="259">
        <f>'2012 полн'!AU20+'2012 полн'!AV20+'2012 полн'!AW20</f>
        <v>3144</v>
      </c>
      <c r="N26" s="260">
        <f>'2012 полн'!BD20</f>
        <v>342.52700000000004</v>
      </c>
      <c r="O26" s="261">
        <f>'2012 полн'!BE20</f>
        <v>32298.270200000006</v>
      </c>
      <c r="P26" s="262">
        <f>'2012 полн'!BF20</f>
        <v>478.383799999996</v>
      </c>
      <c r="Q26" s="262">
        <f>'2012 полн'!BG20</f>
        <v>96.54999999999927</v>
      </c>
    </row>
    <row r="27" spans="1:17" ht="13.5" hidden="1" thickBot="1">
      <c r="A27" s="263" t="s">
        <v>43</v>
      </c>
      <c r="B27" s="254">
        <f>'2012 полн'!B21</f>
        <v>3624.19</v>
      </c>
      <c r="C27" s="255">
        <f>'2012 полн'!C21</f>
        <v>30986.824500000002</v>
      </c>
      <c r="D27" s="256">
        <f>'2012 полн'!D21</f>
        <v>102.408</v>
      </c>
      <c r="E27" s="257">
        <f>'2012 полн'!U21</f>
        <v>32040.329999999998</v>
      </c>
      <c r="F27" s="257">
        <f>'2012 полн'!V21</f>
        <v>0</v>
      </c>
      <c r="G27" s="258">
        <f>'2012 полн'!AF21</f>
        <v>33827.79</v>
      </c>
      <c r="H27" s="258">
        <f>'2012 полн'!AG21</f>
        <v>33930.198000000004</v>
      </c>
      <c r="I27" s="258">
        <f>'2012 полн'!AJ21</f>
        <v>16569.206000000002</v>
      </c>
      <c r="J27" s="258">
        <f>'2012 полн'!AK21</f>
        <v>2428.2073</v>
      </c>
      <c r="K27" s="258">
        <f>'2012 полн'!AL21</f>
        <v>724.8380000000001</v>
      </c>
      <c r="L27" s="257">
        <f>'2012 полн'!AM21+'2012 полн'!AN21+'2012 полн'!AO21+'2012 полн'!AP21+'2012 полн'!AQ21+'2012 полн'!AR21+'2012 полн'!AS21+'2012 полн'!AT21+'2012 полн'!AX21</f>
        <v>25519.677900000002</v>
      </c>
      <c r="M27" s="259">
        <f>'2012 полн'!AU21+'2012 полн'!AV21+'2012 полн'!AW21</f>
        <v>1304</v>
      </c>
      <c r="N27" s="260">
        <f>'2012 полн'!BD21</f>
        <v>1780.527</v>
      </c>
      <c r="O27" s="261">
        <f>'2012 полн'!BE21</f>
        <v>31757.25020000001</v>
      </c>
      <c r="P27" s="262">
        <f>'2012 полн'!BF21</f>
        <v>18742.1538</v>
      </c>
      <c r="Q27" s="262">
        <f>'2012 полн'!BG21</f>
        <v>1787.4600000000028</v>
      </c>
    </row>
    <row r="28" spans="1:19" s="20" customFormat="1" ht="13.5" hidden="1" thickBot="1">
      <c r="A28" s="34" t="s">
        <v>5</v>
      </c>
      <c r="B28" s="35"/>
      <c r="C28" s="76">
        <f aca="true" t="shared" si="0" ref="C28:P28">SUM(C16:C27)</f>
        <v>371862.41399999993</v>
      </c>
      <c r="D28" s="76">
        <f t="shared" si="0"/>
        <v>1228.8959999999997</v>
      </c>
      <c r="E28" s="76">
        <f t="shared" si="0"/>
        <v>381005.22</v>
      </c>
      <c r="F28" s="76">
        <f t="shared" si="0"/>
        <v>0</v>
      </c>
      <c r="G28" s="76">
        <f t="shared" si="0"/>
        <v>378537.84</v>
      </c>
      <c r="H28" s="76">
        <f t="shared" si="0"/>
        <v>379766.73600000003</v>
      </c>
      <c r="I28" s="76">
        <f t="shared" si="0"/>
        <v>22618.172000000002</v>
      </c>
      <c r="J28" s="76">
        <f t="shared" si="0"/>
        <v>29140.095600000008</v>
      </c>
      <c r="K28" s="76">
        <f t="shared" si="0"/>
        <v>8698.536</v>
      </c>
      <c r="L28" s="76">
        <f t="shared" si="0"/>
        <v>293198.70780000003</v>
      </c>
      <c r="M28" s="76">
        <f t="shared" si="0"/>
        <v>15857</v>
      </c>
      <c r="N28" s="76">
        <f t="shared" si="0"/>
        <v>5548.3240000000005</v>
      </c>
      <c r="O28" s="76">
        <f t="shared" si="0"/>
        <v>352442.6634000001</v>
      </c>
      <c r="P28" s="76">
        <f t="shared" si="0"/>
        <v>49942.24459999995</v>
      </c>
      <c r="Q28" s="76">
        <f>SUM(Q16:Q27)</f>
        <v>-2467.380000000001</v>
      </c>
      <c r="R28" s="72"/>
      <c r="S28" s="72"/>
    </row>
    <row r="29" spans="1:17" ht="13.5" hidden="1" thickBot="1">
      <c r="A29" s="274" t="s">
        <v>70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38"/>
      <c r="P29" s="239"/>
      <c r="Q29" s="239"/>
    </row>
    <row r="30" spans="1:19" s="20" customFormat="1" ht="13.5" thickBot="1">
      <c r="A30" s="81" t="s">
        <v>54</v>
      </c>
      <c r="B30" s="38"/>
      <c r="C30" s="39">
        <f aca="true" t="shared" si="1" ref="C30:Q30">C28+C14</f>
        <v>375487.80399999995</v>
      </c>
      <c r="D30" s="39">
        <f t="shared" si="1"/>
        <v>129564.84680755001</v>
      </c>
      <c r="E30" s="39">
        <f t="shared" si="1"/>
        <v>1026852.19</v>
      </c>
      <c r="F30" s="39">
        <f t="shared" si="1"/>
        <v>100023.34</v>
      </c>
      <c r="G30" s="39">
        <f>G28+G14</f>
        <v>990107.6500000001</v>
      </c>
      <c r="H30" s="39">
        <f>H28+H14</f>
        <v>1219695.83680755</v>
      </c>
      <c r="I30" s="39">
        <f>I28+I14</f>
        <v>30918.624680000004</v>
      </c>
      <c r="J30" s="39">
        <f>J28+J14</f>
        <v>86958.37560000001</v>
      </c>
      <c r="K30" s="39">
        <f t="shared" si="1"/>
        <v>28072.382487999996</v>
      </c>
      <c r="L30" s="39">
        <f t="shared" si="1"/>
        <v>779523.088150733</v>
      </c>
      <c r="M30" s="39">
        <f t="shared" si="1"/>
        <v>364095.69320000004</v>
      </c>
      <c r="N30" s="39">
        <f t="shared" si="1"/>
        <v>9393.818608077401</v>
      </c>
      <c r="O30" s="39">
        <f t="shared" si="1"/>
        <v>1268043.3580468106</v>
      </c>
      <c r="P30" s="39">
        <f t="shared" si="1"/>
        <v>-17428.89655926045</v>
      </c>
      <c r="Q30" s="39">
        <f t="shared" si="1"/>
        <v>-36744.54000000001</v>
      </c>
      <c r="R30" s="73"/>
      <c r="S30" s="72"/>
    </row>
    <row r="31" spans="1:19" ht="13.5" thickBot="1">
      <c r="A31" s="240" t="s">
        <v>124</v>
      </c>
      <c r="B31" s="241"/>
      <c r="C31" s="242"/>
      <c r="D31" s="243"/>
      <c r="E31" s="244"/>
      <c r="F31" s="245"/>
      <c r="G31" s="246"/>
      <c r="H31" s="245"/>
      <c r="I31" s="247"/>
      <c r="J31" s="246"/>
      <c r="K31" s="248"/>
      <c r="L31" s="248"/>
      <c r="M31" s="249"/>
      <c r="N31" s="250"/>
      <c r="O31" s="251"/>
      <c r="P31" s="252"/>
      <c r="Q31" s="252"/>
      <c r="R31" s="148"/>
      <c r="S31" s="148"/>
    </row>
    <row r="32" spans="1:19" ht="13.5" thickBot="1">
      <c r="A32" s="253" t="s">
        <v>45</v>
      </c>
      <c r="B32" s="254">
        <f>'2012 полн'!B26</f>
        <v>3623.19</v>
      </c>
      <c r="C32" s="255">
        <f>'2012 полн'!C26</f>
        <v>30978.274500000003</v>
      </c>
      <c r="D32" s="256">
        <f>'2012 полн'!D26</f>
        <v>102.408</v>
      </c>
      <c r="E32" s="257">
        <f>'2012 полн'!U26</f>
        <v>32042.15</v>
      </c>
      <c r="F32" s="257">
        <f>'2012 полн'!V26</f>
        <v>0</v>
      </c>
      <c r="G32" s="258">
        <f>'2012 полн'!AF26</f>
        <v>32343.320000000003</v>
      </c>
      <c r="H32" s="258">
        <f>'2012 полн'!AG26</f>
        <v>32445.728000000003</v>
      </c>
      <c r="I32" s="258">
        <f>'2012 полн'!AJ26</f>
        <v>671.7850000000001</v>
      </c>
      <c r="J32" s="258">
        <f>'2012 полн'!AK26</f>
        <v>2427.5373</v>
      </c>
      <c r="K32" s="258">
        <f>'2012 полн'!AL26</f>
        <v>724.638</v>
      </c>
      <c r="L32" s="257">
        <f>'2012 полн'!AM26+'2012 полн'!AN26+'2012 полн'!AO26+'2012 полн'!AP26+'2012 полн'!AQ26+'2012 полн'!AR26+'2012 полн'!AS26+'2012 полн'!AT26+'2012 полн'!AX26</f>
        <v>25493.873900000006</v>
      </c>
      <c r="M32" s="259">
        <f>'2012 полн'!AU26+'2012 полн'!AV26+'2012 полн'!AW26</f>
        <v>0</v>
      </c>
      <c r="N32" s="260">
        <f>'2012 полн'!BD26</f>
        <v>342.52700000000004</v>
      </c>
      <c r="O32" s="261">
        <f>'2012 полн'!BE26</f>
        <v>28988.576200000003</v>
      </c>
      <c r="P32" s="262">
        <f>'2012 полн'!BF26</f>
        <v>4128.936800000003</v>
      </c>
      <c r="Q32" s="262">
        <f>'2012 полн'!BG26</f>
        <v>301.1700000000019</v>
      </c>
      <c r="R32" s="148"/>
      <c r="S32" s="148"/>
    </row>
    <row r="33" spans="1:19" ht="13.5" thickBot="1">
      <c r="A33" s="162" t="s">
        <v>46</v>
      </c>
      <c r="B33" s="254">
        <f>'2012 полн'!B27</f>
        <v>3623.19</v>
      </c>
      <c r="C33" s="255">
        <f>'2012 полн'!C27</f>
        <v>30978.274500000003</v>
      </c>
      <c r="D33" s="256">
        <f>'2012 полн'!D27</f>
        <v>102.408</v>
      </c>
      <c r="E33" s="257">
        <f>'2012 полн'!U27</f>
        <v>32042.129999999997</v>
      </c>
      <c r="F33" s="257">
        <f>'2012 полн'!V27</f>
        <v>0</v>
      </c>
      <c r="G33" s="258">
        <f>'2012 полн'!AF27</f>
        <v>28412.420000000002</v>
      </c>
      <c r="H33" s="258">
        <f>'2012 полн'!AG27</f>
        <v>28514.828</v>
      </c>
      <c r="I33" s="258">
        <f>'2012 полн'!AJ27</f>
        <v>671.7850000000001</v>
      </c>
      <c r="J33" s="258">
        <f>'2012 полн'!AK27</f>
        <v>2427.5373</v>
      </c>
      <c r="K33" s="258">
        <f>'2012 полн'!AL27</f>
        <v>724.638</v>
      </c>
      <c r="L33" s="257">
        <f>'2012 полн'!AM27+'2012 полн'!AN27+'2012 полн'!AO27+'2012 полн'!AP27+'2012 полн'!AQ27+'2012 полн'!AR27+'2012 полн'!AS27+'2012 полн'!AT27+'2012 полн'!AX27</f>
        <v>25493.873900000006</v>
      </c>
      <c r="M33" s="259">
        <f>'2012 полн'!AU27+'2012 полн'!AV27+'2012 полн'!AW27</f>
        <v>968</v>
      </c>
      <c r="N33" s="260">
        <f>'2012 полн'!BD27</f>
        <v>342.52700000000004</v>
      </c>
      <c r="O33" s="261">
        <f>'2012 полн'!BE27</f>
        <v>29956.576200000003</v>
      </c>
      <c r="P33" s="262">
        <f>'2012 полн'!BF27</f>
        <v>-769.963200000002</v>
      </c>
      <c r="Q33" s="262">
        <f>'2012 полн'!BG27</f>
        <v>-3629.7099999999955</v>
      </c>
      <c r="R33" s="148"/>
      <c r="S33" s="148"/>
    </row>
    <row r="34" spans="1:19" ht="13.5" thickBot="1">
      <c r="A34" s="162" t="s">
        <v>47</v>
      </c>
      <c r="B34" s="254">
        <f>'2012 полн'!B28</f>
        <v>3623.19</v>
      </c>
      <c r="C34" s="255">
        <f>'2012 полн'!C28</f>
        <v>30978.274500000003</v>
      </c>
      <c r="D34" s="256">
        <f>'2012 полн'!D28</f>
        <v>102.408</v>
      </c>
      <c r="E34" s="257">
        <f>'2012 полн'!U28</f>
        <v>32042.129999999997</v>
      </c>
      <c r="F34" s="257">
        <f>'2012 полн'!V28</f>
        <v>0</v>
      </c>
      <c r="G34" s="258">
        <f>'2012 полн'!AF28</f>
        <v>31940.75</v>
      </c>
      <c r="H34" s="258">
        <f>'2012 полн'!AG28</f>
        <v>32043.158</v>
      </c>
      <c r="I34" s="258">
        <f>'2012 полн'!AJ28</f>
        <v>5477.581</v>
      </c>
      <c r="J34" s="258">
        <f>'2012 полн'!AK28</f>
        <v>2427.5373</v>
      </c>
      <c r="K34" s="258">
        <f>'2012 полн'!AL28</f>
        <v>724.638</v>
      </c>
      <c r="L34" s="257">
        <f>'2012 полн'!AM28+'2012 полн'!AN28+'2012 полн'!AO28+'2012 полн'!AP28+'2012 полн'!AQ28+'2012 полн'!AR28+'2012 полн'!AS28+'2012 полн'!AT28+'2012 полн'!AX28</f>
        <v>25676.113900000008</v>
      </c>
      <c r="M34" s="259">
        <f>'2012 полн'!AU28+'2012 полн'!AV28+'2012 полн'!AW28</f>
        <v>277.47</v>
      </c>
      <c r="N34" s="260">
        <f>'2012 полн'!BD28</f>
        <v>3754.9010000000007</v>
      </c>
      <c r="O34" s="261">
        <f>'2012 полн'!BE28</f>
        <v>32860.660200000006</v>
      </c>
      <c r="P34" s="262">
        <f>'2012 полн'!BF28</f>
        <v>4660.078799999996</v>
      </c>
      <c r="Q34" s="262">
        <f>'2012 полн'!BG28</f>
        <v>-101.37999999999738</v>
      </c>
      <c r="R34" s="148"/>
      <c r="S34" s="148"/>
    </row>
    <row r="35" spans="1:19" ht="13.5" thickBot="1">
      <c r="A35" s="162" t="s">
        <v>48</v>
      </c>
      <c r="B35" s="254">
        <f>'2012 полн'!B29</f>
        <v>3623.19</v>
      </c>
      <c r="C35" s="255">
        <f>'2012 полн'!C29</f>
        <v>30978.274500000003</v>
      </c>
      <c r="D35" s="256">
        <f>'2012 полн'!D29</f>
        <v>102.408</v>
      </c>
      <c r="E35" s="257">
        <f>'2012 полн'!U29</f>
        <v>31026.97</v>
      </c>
      <c r="F35" s="257">
        <f>'2012 полн'!V29</f>
        <v>0</v>
      </c>
      <c r="G35" s="258">
        <f>'2012 полн'!AF29</f>
        <v>31234.11</v>
      </c>
      <c r="H35" s="258">
        <f>'2012 полн'!AG29</f>
        <v>31336.518</v>
      </c>
      <c r="I35" s="258">
        <f>'2012 полн'!AJ29</f>
        <v>2273.7170000000006</v>
      </c>
      <c r="J35" s="258">
        <f>'2012 полн'!AK29</f>
        <v>2427.5373</v>
      </c>
      <c r="K35" s="258">
        <f>'2012 полн'!AL29</f>
        <v>724.638</v>
      </c>
      <c r="L35" s="257">
        <f>'2012 полн'!AM29+'2012 полн'!AN29+'2012 полн'!AO29+'2012 полн'!AP29+'2012 полн'!AQ29+'2012 полн'!AR29+'2012 полн'!AS29+'2012 полн'!AT29+'2012 полн'!AX29</f>
        <v>22077.755400000005</v>
      </c>
      <c r="M35" s="259">
        <f>'2012 полн'!AU29+'2012 полн'!AV29+'2012 полн'!AW29</f>
        <v>0</v>
      </c>
      <c r="N35" s="260">
        <f>'2012 полн'!BD29</f>
        <v>3754.9010000000007</v>
      </c>
      <c r="O35" s="261">
        <f>'2012 полн'!BE29</f>
        <v>28984.831700000002</v>
      </c>
      <c r="P35" s="262">
        <f>'2012 полн'!BF29</f>
        <v>4625.403299999998</v>
      </c>
      <c r="Q35" s="262">
        <f>'2012 полн'!BG29</f>
        <v>207.13999999999942</v>
      </c>
      <c r="R35" s="148"/>
      <c r="S35" s="148"/>
    </row>
    <row r="36" spans="1:19" ht="13.5" thickBot="1">
      <c r="A36" s="162" t="s">
        <v>49</v>
      </c>
      <c r="B36" s="254">
        <f>'2012 полн'!B30</f>
        <v>3623.19</v>
      </c>
      <c r="C36" s="255">
        <f>'2012 полн'!C30</f>
        <v>30978.274500000003</v>
      </c>
      <c r="D36" s="256">
        <f>'2012 полн'!D30</f>
        <v>102.408</v>
      </c>
      <c r="E36" s="257">
        <f>'2012 полн'!U30</f>
        <v>32041.079999999998</v>
      </c>
      <c r="F36" s="257">
        <f>'2012 полн'!V30</f>
        <v>0</v>
      </c>
      <c r="G36" s="258">
        <f>'2012 полн'!AF30</f>
        <v>31326.890000000003</v>
      </c>
      <c r="H36" s="258">
        <f>'2012 полн'!AG30</f>
        <v>31429.298000000003</v>
      </c>
      <c r="I36" s="258">
        <f>'2012 полн'!AJ30</f>
        <v>2273.7170000000006</v>
      </c>
      <c r="J36" s="258">
        <f>'2012 полн'!AK30</f>
        <v>2427.5373</v>
      </c>
      <c r="K36" s="258">
        <f>'2012 полн'!AL30</f>
        <v>724.638</v>
      </c>
      <c r="L36" s="257">
        <f>'2012 полн'!AM30+'2012 полн'!AN30+'2012 полн'!AO30+'2012 полн'!AP30+'2012 полн'!AQ30+'2012 полн'!AR30+'2012 полн'!AS30+'2012 полн'!AT30+'2012 полн'!AX30</f>
        <v>21658.305400000005</v>
      </c>
      <c r="M36" s="259">
        <f>'2012 полн'!AU30+'2012 полн'!AV30+'2012 полн'!AW30</f>
        <v>2709</v>
      </c>
      <c r="N36" s="260">
        <f>'2012 полн'!BD30</f>
        <v>1479.9850000000001</v>
      </c>
      <c r="O36" s="261">
        <f>'2012 полн'!BE30</f>
        <v>28999.4657</v>
      </c>
      <c r="P36" s="262">
        <f>'2012 полн'!BF30</f>
        <v>4703.549299999999</v>
      </c>
      <c r="Q36" s="262">
        <f>'2012 полн'!BG30</f>
        <v>-714.189999999995</v>
      </c>
      <c r="R36" s="148"/>
      <c r="S36" s="148"/>
    </row>
    <row r="37" spans="1:19" ht="13.5" thickBot="1">
      <c r="A37" s="162" t="s">
        <v>50</v>
      </c>
      <c r="B37" s="254">
        <f>'2012 полн'!B31</f>
        <v>3623.19</v>
      </c>
      <c r="C37" s="255">
        <f>'2012 полн'!C31</f>
        <v>30978.274500000003</v>
      </c>
      <c r="D37" s="256">
        <f>'2012 полн'!D31</f>
        <v>102.408</v>
      </c>
      <c r="E37" s="257">
        <f>'2012 полн'!U31</f>
        <v>32016.07</v>
      </c>
      <c r="F37" s="257">
        <f>'2012 полн'!V31</f>
        <v>0</v>
      </c>
      <c r="G37" s="258">
        <f>'2012 полн'!AF31</f>
        <v>30189.88</v>
      </c>
      <c r="H37" s="258">
        <f>'2012 полн'!AG31</f>
        <v>30292.288</v>
      </c>
      <c r="I37" s="258">
        <f>'2012 полн'!AJ31</f>
        <v>2373.7170000000006</v>
      </c>
      <c r="J37" s="258">
        <f>'2012 полн'!AK31</f>
        <v>2427.5373</v>
      </c>
      <c r="K37" s="258">
        <f>'2012 полн'!AL31</f>
        <v>724.638</v>
      </c>
      <c r="L37" s="257">
        <f>'2012 полн'!AM31+'2012 полн'!AN31+'2012 полн'!AO31+'2012 полн'!AP31+'2012 полн'!AQ31+'2012 полн'!AR31+'2012 полн'!AS31+'2012 полн'!AT31+'2012 полн'!AX31</f>
        <v>23754.435400000006</v>
      </c>
      <c r="M37" s="259">
        <f>'2012 полн'!AU31+'2012 полн'!AV31+'2012 полн'!AW31</f>
        <v>0</v>
      </c>
      <c r="N37" s="260">
        <f>'2012 полн'!BD31</f>
        <v>1504.9850000000001</v>
      </c>
      <c r="O37" s="261">
        <f>'2012 полн'!BE31</f>
        <v>28411.5957</v>
      </c>
      <c r="P37" s="262">
        <f>'2012 полн'!BF31</f>
        <v>4254.409299999999</v>
      </c>
      <c r="Q37" s="262">
        <f>'2012 полн'!BG31</f>
        <v>-1826.1899999999987</v>
      </c>
      <c r="R37" s="148"/>
      <c r="S37" s="148"/>
    </row>
    <row r="38" spans="1:17" ht="13.5" thickBot="1">
      <c r="A38" s="162" t="s">
        <v>51</v>
      </c>
      <c r="B38" s="254">
        <f>'2012 полн'!B32</f>
        <v>3623.19</v>
      </c>
      <c r="C38" s="255">
        <f>'2012 полн'!C32</f>
        <v>34456.5369</v>
      </c>
      <c r="D38" s="256">
        <f>'2012 полн'!D32</f>
        <v>137.04600000000002</v>
      </c>
      <c r="E38" s="257">
        <f>'2012 полн'!U32</f>
        <v>35548.01</v>
      </c>
      <c r="F38" s="257">
        <f>'2012 полн'!V32</f>
        <v>0</v>
      </c>
      <c r="G38" s="258">
        <f>'2012 полн'!AF32</f>
        <v>29910.31</v>
      </c>
      <c r="H38" s="258">
        <f>'2012 полн'!AG32</f>
        <v>30047.356</v>
      </c>
      <c r="I38" s="258">
        <f>'2012 полн'!AJ32</f>
        <v>2789.299</v>
      </c>
      <c r="J38" s="258">
        <f>'2012 полн'!AK32</f>
        <v>2717.3925</v>
      </c>
      <c r="K38" s="258">
        <f>'2012 полн'!AL32</f>
        <v>724.638</v>
      </c>
      <c r="L38" s="257">
        <f>'2012 полн'!AM32+'2012 полн'!AN32+'2012 полн'!AO32+'2012 полн'!AP32+'2012 полн'!AQ32+'2012 полн'!AR32+'2012 полн'!AS32+'2012 полн'!AT32+'2012 полн'!AX32</f>
        <v>21402.179400000008</v>
      </c>
      <c r="M38" s="259">
        <f>'2012 полн'!AU32+'2012 полн'!AV32+'2012 полн'!AW32</f>
        <v>0</v>
      </c>
      <c r="N38" s="260">
        <f>'2012 полн'!BD32</f>
        <v>1504.9850000000001</v>
      </c>
      <c r="O38" s="261">
        <f>'2012 полн'!BE32</f>
        <v>26349.194900000002</v>
      </c>
      <c r="P38" s="262">
        <f>'2012 полн'!BF32</f>
        <v>6487.460099999997</v>
      </c>
      <c r="Q38" s="262">
        <f>'2012 полн'!BG32</f>
        <v>-5637.700000000001</v>
      </c>
    </row>
    <row r="39" spans="1:17" ht="13.5" thickBot="1">
      <c r="A39" s="162" t="s">
        <v>52</v>
      </c>
      <c r="B39" s="254">
        <f>'2012 полн'!B33</f>
        <v>3623.19</v>
      </c>
      <c r="C39" s="255">
        <f>'2012 полн'!C33</f>
        <v>34456.5369</v>
      </c>
      <c r="D39" s="256">
        <f>'2012 полн'!D33</f>
        <v>0</v>
      </c>
      <c r="E39" s="257">
        <f>'2012 полн'!U33</f>
        <v>35533.76</v>
      </c>
      <c r="F39" s="257">
        <f>'2012 полн'!V33</f>
        <v>0</v>
      </c>
      <c r="G39" s="258">
        <f>'2012 полн'!AF33</f>
        <v>32357.000000000004</v>
      </c>
      <c r="H39" s="258">
        <f>'2012 полн'!AG33</f>
        <v>32357.000000000004</v>
      </c>
      <c r="I39" s="258">
        <f>'2012 полн'!AJ33</f>
        <v>4589.299</v>
      </c>
      <c r="J39" s="258">
        <f>'2012 полн'!AK33</f>
        <v>2717.3925</v>
      </c>
      <c r="K39" s="258">
        <f>'2012 полн'!AL33</f>
        <v>724.638</v>
      </c>
      <c r="L39" s="257">
        <f>'2012 полн'!AM33+'2012 полн'!AN33+'2012 полн'!AO33+'2012 полн'!AP33+'2012 полн'!AQ33+'2012 полн'!AR33+'2012 полн'!AS33+'2012 полн'!AT33+'2012 полн'!AX33</f>
        <v>27102.969400000005</v>
      </c>
      <c r="M39" s="259">
        <f>'2012 полн'!AU33+'2012 полн'!AV33+'2012 полн'!AW33</f>
        <v>23685</v>
      </c>
      <c r="N39" s="260">
        <f>'2012 полн'!BD33</f>
        <v>1954.9850000000001</v>
      </c>
      <c r="O39" s="261">
        <f>'2012 полн'!BE33</f>
        <v>56184.9849</v>
      </c>
      <c r="P39" s="262">
        <f>'2012 полн'!BF33</f>
        <v>-19238.685899999997</v>
      </c>
      <c r="Q39" s="262">
        <f>'2012 полн'!BG33</f>
        <v>-3176.7599999999984</v>
      </c>
    </row>
    <row r="40" spans="1:17" ht="13.5" thickBot="1">
      <c r="A40" s="162" t="s">
        <v>53</v>
      </c>
      <c r="B40" s="254">
        <f>'2012 полн'!B34</f>
        <v>3623.19</v>
      </c>
      <c r="C40" s="255">
        <f>'2012 полн'!C34</f>
        <v>34456.5369</v>
      </c>
      <c r="D40" s="256">
        <f>'2012 полн'!D34</f>
        <v>0</v>
      </c>
      <c r="E40" s="257">
        <f>'2012 полн'!U34</f>
        <v>35525.59</v>
      </c>
      <c r="F40" s="257">
        <f>'2012 полн'!V34</f>
        <v>0</v>
      </c>
      <c r="G40" s="258">
        <f>'2012 полн'!AF34</f>
        <v>33119.15</v>
      </c>
      <c r="H40" s="258">
        <f>'2012 полн'!AG34</f>
        <v>33119.15</v>
      </c>
      <c r="I40" s="258">
        <f>'2012 полн'!AJ34</f>
        <v>3389.299</v>
      </c>
      <c r="J40" s="258">
        <f>'2012 полн'!AK34</f>
        <v>2717.3925</v>
      </c>
      <c r="K40" s="258">
        <f>'2012 полн'!AL34</f>
        <v>724.638</v>
      </c>
      <c r="L40" s="257">
        <f>'2012 полн'!AM34+'2012 полн'!AN34+'2012 полн'!AO34+'2012 полн'!AP34+'2012 полн'!AQ34+'2012 полн'!AR34+'2012 полн'!AS34+'2012 полн'!AT34+'2012 полн'!AX34</f>
        <v>21327.209400000007</v>
      </c>
      <c r="M40" s="259">
        <f>'2012 полн'!AU34+'2012 полн'!AV34+'2012 полн'!AW34</f>
        <v>0</v>
      </c>
      <c r="N40" s="260">
        <f>'2012 полн'!BD34</f>
        <v>1654.9850000000001</v>
      </c>
      <c r="O40" s="261">
        <f>'2012 полн'!BE34</f>
        <v>26424.2249</v>
      </c>
      <c r="P40" s="262">
        <f>'2012 полн'!BF34</f>
        <v>10084.2241</v>
      </c>
      <c r="Q40" s="262">
        <f>'2012 полн'!BG34</f>
        <v>-2406.439999999995</v>
      </c>
    </row>
    <row r="41" spans="1:17" ht="13.5" thickBot="1">
      <c r="A41" s="162" t="s">
        <v>41</v>
      </c>
      <c r="B41" s="254">
        <f>'2012 полн'!B35</f>
        <v>3623.19</v>
      </c>
      <c r="C41" s="255">
        <f>'2012 полн'!C35</f>
        <v>34456.5369</v>
      </c>
      <c r="D41" s="256">
        <f>'2012 полн'!D35</f>
        <v>0</v>
      </c>
      <c r="E41" s="257">
        <f>'2012 полн'!U35</f>
        <v>35498.78</v>
      </c>
      <c r="F41" s="257">
        <f>'2012 полн'!V35</f>
        <v>0</v>
      </c>
      <c r="G41" s="258">
        <f>'2012 полн'!AF35</f>
        <v>36575.72</v>
      </c>
      <c r="H41" s="258">
        <f>'2012 полн'!AG35</f>
        <v>36575.72</v>
      </c>
      <c r="I41" s="258">
        <f>'2012 полн'!AJ35</f>
        <v>3389.299</v>
      </c>
      <c r="J41" s="258">
        <f>'2012 полн'!AK35</f>
        <v>2717.3925</v>
      </c>
      <c r="K41" s="258">
        <f>'2012 полн'!AL35</f>
        <v>724.638</v>
      </c>
      <c r="L41" s="257">
        <f>'2012 полн'!AM35+'2012 полн'!AN35+'2012 полн'!AO35+'2012 полн'!AP35+'2012 полн'!AQ35+'2012 полн'!AR35+'2012 полн'!AS35+'2012 полн'!AT35+'2012 полн'!AX35</f>
        <v>25911.597900000008</v>
      </c>
      <c r="M41" s="259">
        <f>'2012 полн'!AU35+'2012 полн'!AV35+'2012 полн'!AW35</f>
        <v>0</v>
      </c>
      <c r="N41" s="260">
        <f>'2012 полн'!BD35</f>
        <v>1654.9850000000001</v>
      </c>
      <c r="O41" s="261">
        <f>'2012 полн'!BE35</f>
        <v>31008.613400000002</v>
      </c>
      <c r="P41" s="262">
        <f>'2012 полн'!BF35</f>
        <v>8956.405599999998</v>
      </c>
      <c r="Q41" s="262">
        <f>'2012 полн'!BG35</f>
        <v>1076.9400000000023</v>
      </c>
    </row>
    <row r="42" spans="1:17" ht="13.5" thickBot="1">
      <c r="A42" s="162" t="s">
        <v>42</v>
      </c>
      <c r="B42" s="254">
        <f>'2012 полн'!B36</f>
        <v>3623.19</v>
      </c>
      <c r="C42" s="255">
        <f>'2012 полн'!C36</f>
        <v>34456.5369</v>
      </c>
      <c r="D42" s="256">
        <f>'2012 полн'!D36</f>
        <v>0</v>
      </c>
      <c r="E42" s="257">
        <f>'2012 полн'!U36</f>
        <v>35498.78</v>
      </c>
      <c r="F42" s="257">
        <f>'2012 полн'!V36</f>
        <v>0</v>
      </c>
      <c r="G42" s="258">
        <f>'2012 полн'!AF36</f>
        <v>35131.96</v>
      </c>
      <c r="H42" s="258">
        <f>'2012 полн'!AG36</f>
        <v>35131.96</v>
      </c>
      <c r="I42" s="258">
        <f>'2012 полн'!AJ36</f>
        <v>3389.299</v>
      </c>
      <c r="J42" s="258">
        <f>'2012 полн'!AK36</f>
        <v>2717.3925</v>
      </c>
      <c r="K42" s="258">
        <f>'2012 полн'!AL36</f>
        <v>724.638</v>
      </c>
      <c r="L42" s="257">
        <f>'2012 полн'!AM36+'2012 полн'!AN36+'2012 полн'!AO36+'2012 полн'!AP36+'2012 полн'!AQ36+'2012 полн'!AR36+'2012 полн'!AS36+'2012 полн'!AT36+'2012 полн'!AX36</f>
        <v>25552.651600000005</v>
      </c>
      <c r="M42" s="259">
        <f>'2012 полн'!AU36+'2012 полн'!AV36+'2012 полн'!AW36</f>
        <v>0</v>
      </c>
      <c r="N42" s="260">
        <f>'2012 полн'!BD36</f>
        <v>1654.9850000000001</v>
      </c>
      <c r="O42" s="261">
        <f>'2012 полн'!BE36</f>
        <v>30649.6671</v>
      </c>
      <c r="P42" s="262">
        <f>'2012 полн'!BF36</f>
        <v>7871.591899999999</v>
      </c>
      <c r="Q42" s="262">
        <f>'2012 полн'!BG36</f>
        <v>-366.8199999999997</v>
      </c>
    </row>
    <row r="43" spans="1:17" ht="13.5" thickBot="1">
      <c r="A43" s="263" t="s">
        <v>43</v>
      </c>
      <c r="B43" s="254">
        <f>'2012 полн'!B37</f>
        <v>3624.29</v>
      </c>
      <c r="C43" s="255">
        <f>'2012 полн'!C37</f>
        <v>34466.9979</v>
      </c>
      <c r="D43" s="256">
        <f>'2012 полн'!D37</f>
        <v>0</v>
      </c>
      <c r="E43" s="257">
        <f>'2012 полн'!U37</f>
        <v>35510.41</v>
      </c>
      <c r="F43" s="257">
        <f>'2012 полн'!V37</f>
        <v>0</v>
      </c>
      <c r="G43" s="258">
        <f>'2012 полн'!AF37</f>
        <v>43297.58</v>
      </c>
      <c r="H43" s="258">
        <f>'2012 полн'!AG37</f>
        <v>43297.58</v>
      </c>
      <c r="I43" s="258">
        <f>'2012 полн'!AJ37</f>
        <v>3389.299</v>
      </c>
      <c r="J43" s="258">
        <f>'2012 полн'!AK37</f>
        <v>2718.2174999999997</v>
      </c>
      <c r="K43" s="258">
        <f>'2012 полн'!AL37</f>
        <v>724.8580000000001</v>
      </c>
      <c r="L43" s="257">
        <f>'2012 полн'!AM37+'2012 полн'!AN37+'2012 полн'!AO37+'2012 полн'!AP37+'2012 полн'!AQ37+'2012 полн'!AR37+'2012 полн'!AS37+'2012 полн'!AT37+'2012 полн'!AX37</f>
        <v>26099.338900000002</v>
      </c>
      <c r="M43" s="259">
        <f>'2012 полн'!AU37+'2012 полн'!AV37+'2012 полн'!AW37</f>
        <v>0</v>
      </c>
      <c r="N43" s="260">
        <f>'2012 полн'!BD37</f>
        <v>1654.9850000000001</v>
      </c>
      <c r="O43" s="261">
        <f>'2012 полн'!BE37</f>
        <v>31197.3994</v>
      </c>
      <c r="P43" s="262">
        <f>'2012 полн'!BF37</f>
        <v>15489.479600000002</v>
      </c>
      <c r="Q43" s="262">
        <f>'2012 полн'!BG37</f>
        <v>7787.169999999998</v>
      </c>
    </row>
    <row r="44" spans="1:19" s="20" customFormat="1" ht="13.5" thickBot="1">
      <c r="A44" s="34" t="s">
        <v>5</v>
      </c>
      <c r="B44" s="35"/>
      <c r="C44" s="76">
        <f aca="true" t="shared" si="2" ref="C44:P44">SUM(C32:C43)</f>
        <v>392619.32940000005</v>
      </c>
      <c r="D44" s="76">
        <f t="shared" si="2"/>
        <v>751.494</v>
      </c>
      <c r="E44" s="76">
        <f t="shared" si="2"/>
        <v>404325.8600000001</v>
      </c>
      <c r="F44" s="76">
        <f t="shared" si="2"/>
        <v>0</v>
      </c>
      <c r="G44" s="76">
        <f t="shared" si="2"/>
        <v>395839.0900000001</v>
      </c>
      <c r="H44" s="76">
        <f t="shared" si="2"/>
        <v>396590.58400000003</v>
      </c>
      <c r="I44" s="76">
        <f t="shared" si="2"/>
        <v>34678.096</v>
      </c>
      <c r="J44" s="76">
        <f t="shared" si="2"/>
        <v>30870.403800000007</v>
      </c>
      <c r="K44" s="76">
        <f t="shared" si="2"/>
        <v>8695.876</v>
      </c>
      <c r="L44" s="76">
        <f t="shared" si="2"/>
        <v>291550.3045000001</v>
      </c>
      <c r="M44" s="76">
        <f t="shared" si="2"/>
        <v>27639.47</v>
      </c>
      <c r="N44" s="76">
        <f t="shared" si="2"/>
        <v>21259.736000000004</v>
      </c>
      <c r="O44" s="76">
        <f t="shared" si="2"/>
        <v>380015.79030000005</v>
      </c>
      <c r="P44" s="76">
        <f t="shared" si="2"/>
        <v>51252.8897</v>
      </c>
      <c r="Q44" s="76">
        <f>SUM(Q32:Q43)</f>
        <v>-8486.769999999979</v>
      </c>
      <c r="R44" s="72"/>
      <c r="S44" s="72"/>
    </row>
    <row r="45" spans="1:17" ht="13.5" thickBot="1">
      <c r="A45" s="274" t="s">
        <v>70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38"/>
      <c r="P45" s="239"/>
      <c r="Q45" s="239"/>
    </row>
    <row r="46" spans="1:19" s="20" customFormat="1" ht="13.5" thickBot="1">
      <c r="A46" s="81" t="s">
        <v>54</v>
      </c>
      <c r="B46" s="38"/>
      <c r="C46" s="39">
        <f aca="true" t="shared" si="3" ref="C46:Q46">C44+C30</f>
        <v>768107.1333999999</v>
      </c>
      <c r="D46" s="39">
        <f t="shared" si="3"/>
        <v>130316.34080755002</v>
      </c>
      <c r="E46" s="39">
        <f t="shared" si="3"/>
        <v>1431178.05</v>
      </c>
      <c r="F46" s="39">
        <f t="shared" si="3"/>
        <v>100023.34</v>
      </c>
      <c r="G46" s="39">
        <f t="shared" si="3"/>
        <v>1385946.7400000002</v>
      </c>
      <c r="H46" s="39">
        <f t="shared" si="3"/>
        <v>1616286.42080755</v>
      </c>
      <c r="I46" s="39">
        <f t="shared" si="3"/>
        <v>65596.72068</v>
      </c>
      <c r="J46" s="39">
        <f t="shared" si="3"/>
        <v>117828.77940000003</v>
      </c>
      <c r="K46" s="39">
        <f t="shared" si="3"/>
        <v>36768.25848799999</v>
      </c>
      <c r="L46" s="39">
        <f t="shared" si="3"/>
        <v>1071073.3926507332</v>
      </c>
      <c r="M46" s="39">
        <f t="shared" si="3"/>
        <v>391735.16320000007</v>
      </c>
      <c r="N46" s="39">
        <f t="shared" si="3"/>
        <v>30653.554608077407</v>
      </c>
      <c r="O46" s="39">
        <f t="shared" si="3"/>
        <v>1648059.1483468106</v>
      </c>
      <c r="P46" s="39">
        <f aca="true" t="shared" si="4" ref="K46:Y46">P44+P30</f>
        <v>33823.99314073955</v>
      </c>
      <c r="Q46" s="39">
        <f t="shared" si="4"/>
        <v>-45231.30999999998</v>
      </c>
      <c r="R46" s="73"/>
      <c r="S46" s="72"/>
    </row>
    <row r="48" spans="1:4" ht="12.75">
      <c r="A48" s="20" t="s">
        <v>71</v>
      </c>
      <c r="D48" s="85" t="s">
        <v>122</v>
      </c>
    </row>
    <row r="49" spans="1:4" ht="12.75">
      <c r="A49" s="158" t="s">
        <v>72</v>
      </c>
      <c r="B49" s="158" t="s">
        <v>73</v>
      </c>
      <c r="C49" s="440" t="s">
        <v>74</v>
      </c>
      <c r="D49" s="441"/>
    </row>
    <row r="50" spans="1:4" ht="12.75">
      <c r="A50" s="124">
        <v>443892.73</v>
      </c>
      <c r="B50" s="264">
        <v>296942.34</v>
      </c>
      <c r="C50" s="442">
        <f>A50-B50</f>
        <v>146950.38999999996</v>
      </c>
      <c r="D50" s="443"/>
    </row>
    <row r="51" ht="12.75">
      <c r="A51" s="46"/>
    </row>
    <row r="52" spans="1:7" ht="12.75">
      <c r="A52" s="149" t="s">
        <v>77</v>
      </c>
      <c r="G52" s="149" t="s">
        <v>78</v>
      </c>
    </row>
    <row r="53" ht="12.75">
      <c r="A53" s="148"/>
    </row>
    <row r="54" ht="12.75">
      <c r="A54" s="148"/>
    </row>
    <row r="55" ht="12.75">
      <c r="A55" s="149" t="s">
        <v>123</v>
      </c>
    </row>
    <row r="56" ht="12.75">
      <c r="A56" s="149" t="s">
        <v>79</v>
      </c>
    </row>
  </sheetData>
  <sheetProtection/>
  <mergeCells count="29">
    <mergeCell ref="A13:N13"/>
    <mergeCell ref="A29:N29"/>
    <mergeCell ref="C49:D49"/>
    <mergeCell ref="C50:D50"/>
    <mergeCell ref="I8:I11"/>
    <mergeCell ref="J8:O9"/>
    <mergeCell ref="A8:A11"/>
    <mergeCell ref="B8:B11"/>
    <mergeCell ref="A45:N45"/>
    <mergeCell ref="P8:P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2012-10-19T08:41:37Z</cp:lastPrinted>
  <dcterms:created xsi:type="dcterms:W3CDTF">2010-04-02T05:03:24Z</dcterms:created>
  <dcterms:modified xsi:type="dcterms:W3CDTF">2013-05-14T02:07:46Z</dcterms:modified>
  <cp:category/>
  <cp:version/>
  <cp:contentType/>
  <cp:contentStatus/>
</cp:coreProperties>
</file>