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5"/>
  </bookViews>
  <sheets>
    <sheet name="2011 печать" sheetId="1" r:id="rId1"/>
    <sheet name="Лист1" sheetId="2" r:id="rId2"/>
    <sheet name="Лист2" sheetId="3" r:id="rId3"/>
    <sheet name="для жителей" sheetId="4" r:id="rId4"/>
    <sheet name="2012 полн" sheetId="5" r:id="rId5"/>
    <sheet name="2012 для жителей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/>
  <calcPr fullCalcOnLoad="1" refMode="R1C1"/>
</workbook>
</file>

<file path=xl/sharedStrings.xml><?xml version="1.0" encoding="utf-8"?>
<sst xmlns="http://schemas.openxmlformats.org/spreadsheetml/2006/main" count="494" uniqueCount="128">
  <si>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</si>
  <si>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</si>
  <si>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</si>
  <si>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</si>
  <si>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</si>
  <si>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</si>
  <si>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</si>
  <si>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</si>
  <si>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</si>
  <si>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</si>
  <si>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</si>
  <si>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</si>
  <si>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</si>
  <si>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</si>
  <si>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</si>
  <si>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</si>
  <si>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</si>
  <si>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</si>
  <si>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</si>
  <si>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</si>
  <si>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</si>
  <si>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</si>
  <si>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</si>
  <si>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</si>
  <si>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</si>
  <si>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</si>
  <si>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</si>
  <si>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</si>
  <si>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</si>
  <si>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</si>
  <si>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</si>
  <si>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</si>
  <si>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</si>
  <si>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</si>
  <si>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</si>
  <si>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</si>
  <si>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</si>
  <si>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</si>
  <si>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</si>
  <si>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</si>
  <si>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</si>
  <si>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</si>
  <si>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</si>
  <si>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</si>
  <si>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</si>
  <si>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</si>
  <si>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</si>
  <si>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</si>
  <si>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</si>
  <si>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</si>
  <si>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</si>
  <si>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</si>
  <si>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</si>
  <si>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</si>
  <si>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</si>
  <si>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</si>
  <si>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</si>
  <si>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</si>
  <si>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</si>
  <si>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</si>
  <si>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</si>
  <si>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</si>
  <si>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</si>
  <si>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</si>
  <si>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</si>
  <si>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</si>
  <si>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</si>
  <si>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</si>
  <si>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</si>
  <si>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</si>
  <si>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</si>
  <si>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</si>
  <si>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</si>
  <si>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</si>
  <si>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</si>
  <si>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</si>
  <si>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>Доходы по нежил.помещениям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</si>
  <si>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</si>
  <si>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</si>
  <si>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</si>
  <si>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</si>
  <si>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</si>
  <si>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</si>
  <si>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</si>
  <si>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</si>
  <si>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Расходы по нежил. помещениям</t>
  </si>
  <si>
    <t>*по состоянию на 01.01.2011 г.</t>
  </si>
  <si>
    <t>Исп. Ю.С. Дмитриева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</si>
  <si>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</si>
  <si>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</si>
  <si>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</si>
  <si>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</si>
  <si>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</si>
  <si>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</si>
  <si>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</si>
  <si>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</si>
  <si>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</si>
  <si>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</si>
  <si>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</si>
  <si>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</si>
  <si>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</si>
  <si>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</si>
  <si>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</si>
  <si>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</si>
  <si>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</si>
  <si>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</si>
  <si>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</si>
  <si>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</si>
  <si>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</si>
  <si>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</si>
  <si>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</si>
  <si>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Собрано квартплаты от населения</t>
  </si>
  <si>
    <t>Услуга начисления</t>
  </si>
  <si>
    <t>Расходы по нежилым помещениям</t>
  </si>
  <si>
    <t>Собрано по содержанию и тек.рем.</t>
  </si>
  <si>
    <t>на начало отчетного периода</t>
  </si>
  <si>
    <t>Исп. В.В. Колмогорова</t>
  </si>
  <si>
    <t>Доходы по нежилым помещениям</t>
  </si>
  <si>
    <t>Выписка по лицевому счету по адресу г. Таштагол ул. Макаренко, д.6</t>
  </si>
  <si>
    <t>на 01.01.2011 г.</t>
  </si>
  <si>
    <t>Дотация, целевое финансирование</t>
  </si>
  <si>
    <t>Лицевой счет по адресу г. Таштагол, ул. Макаренко, д.6</t>
  </si>
  <si>
    <t>на 01.11.2011 г.</t>
  </si>
  <si>
    <t>*по состоянию на 01.11.2011 г.</t>
  </si>
  <si>
    <t>2012 год</t>
  </si>
  <si>
    <t>*по состоянию на 01.10.2012 г.</t>
  </si>
  <si>
    <t>Тариф по содержанию и тек.ремонту 100 % (8,55руб.*площадь)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</si>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</sst>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" fontId="2" fillId="0" borderId="11" xfId="34" applyNumberFormat="1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2" fillId="0" borderId="23" xfId="34" applyNumberFormat="1" applyFont="1" applyFill="1" applyBorder="1" applyAlignment="1">
      <alignment horizontal="right" vertical="center" wrapText="1"/>
      <protection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8" xfId="34" applyNumberFormat="1" applyFont="1" applyFill="1" applyBorder="1" applyAlignment="1">
      <alignment horizontal="right" vertical="center" wrapText="1"/>
      <protection/>
    </xf>
    <xf numFmtId="0" fontId="1" fillId="0" borderId="19" xfId="0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27" xfId="0" applyNumberFormat="1" applyFont="1" applyFill="1" applyBorder="1" applyAlignment="1">
      <alignment horizontal="right" wrapText="1"/>
    </xf>
    <xf numFmtId="0" fontId="1" fillId="0" borderId="28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 vertical="center" wrapText="1"/>
    </xf>
    <xf numFmtId="4" fontId="2" fillId="0" borderId="30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5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1" xfId="34" applyNumberFormat="1" applyFont="1" applyFill="1" applyBorder="1" applyAlignment="1">
      <alignment horizontal="center" vertical="center" wrapText="1"/>
      <protection/>
    </xf>
    <xf numFmtId="4" fontId="7" fillId="0" borderId="23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2" fontId="1" fillId="33" borderId="32" xfId="0" applyNumberFormat="1" applyFont="1" applyFill="1" applyBorder="1" applyAlignment="1">
      <alignment horizontal="center" vertical="center" wrapText="1"/>
    </xf>
    <xf numFmtId="2" fontId="1" fillId="33" borderId="2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2" fillId="34" borderId="23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37" borderId="23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38" xfId="0" applyNumberFormat="1" applyFont="1" applyFill="1" applyBorder="1" applyAlignment="1">
      <alignment horizontal="center"/>
    </xf>
    <xf numFmtId="4" fontId="0" fillId="35" borderId="36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35" borderId="36" xfId="0" applyFont="1" applyFill="1" applyBorder="1" applyAlignment="1">
      <alignment horizontal="center"/>
    </xf>
    <xf numFmtId="0" fontId="2" fillId="0" borderId="3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2" fontId="7" fillId="34" borderId="13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0" borderId="41" xfId="0" applyFont="1" applyFill="1" applyBorder="1" applyAlignment="1">
      <alignment horizontal="right"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4" fontId="1" fillId="0" borderId="42" xfId="0" applyNumberFormat="1" applyFont="1" applyFill="1" applyBorder="1" applyAlignment="1">
      <alignment/>
    </xf>
    <xf numFmtId="4" fontId="1" fillId="0" borderId="44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textRotation="90" wrapText="1"/>
    </xf>
    <xf numFmtId="0" fontId="1" fillId="0" borderId="46" xfId="0" applyFont="1" applyFill="1" applyBorder="1" applyAlignment="1">
      <alignment horizontal="center" textRotation="90"/>
    </xf>
    <xf numFmtId="2" fontId="1" fillId="0" borderId="41" xfId="0" applyNumberFormat="1" applyFont="1" applyFill="1" applyBorder="1" applyAlignment="1">
      <alignment horizontal="center" vertical="center" textRotation="90" wrapText="1"/>
    </xf>
    <xf numFmtId="4" fontId="0" fillId="0" borderId="47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1" fillId="0" borderId="27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 vertical="center" wrapText="1"/>
    </xf>
    <xf numFmtId="4" fontId="1" fillId="0" borderId="42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3" fontId="0" fillId="37" borderId="11" xfId="0" applyNumberFormat="1" applyFont="1" applyFill="1" applyBorder="1" applyAlignment="1">
      <alignment horizontal="center"/>
    </xf>
    <xf numFmtId="4" fontId="0" fillId="0" borderId="48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4" fontId="0" fillId="0" borderId="37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4" fontId="0" fillId="34" borderId="36" xfId="0" applyNumberFormat="1" applyFont="1" applyFill="1" applyBorder="1" applyAlignment="1">
      <alignment/>
    </xf>
    <xf numFmtId="4" fontId="0" fillId="34" borderId="3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34" borderId="23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0" fontId="0" fillId="33" borderId="11" xfId="0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/>
    </xf>
    <xf numFmtId="4" fontId="0" fillId="33" borderId="33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4" fontId="0" fillId="0" borderId="48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2" fillId="35" borderId="36" xfId="0" applyFont="1" applyFill="1" applyBorder="1" applyAlignment="1">
      <alignment/>
    </xf>
    <xf numFmtId="0" fontId="2" fillId="0" borderId="49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2" fillId="38" borderId="11" xfId="34" applyNumberFormat="1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1" fillId="39" borderId="0" xfId="0" applyNumberFormat="1" applyFont="1" applyFill="1" applyBorder="1" applyAlignment="1">
      <alignment horizontal="right"/>
    </xf>
    <xf numFmtId="4" fontId="0" fillId="39" borderId="0" xfId="0" applyNumberFormat="1" applyFont="1" applyFill="1" applyBorder="1" applyAlignment="1">
      <alignment/>
    </xf>
    <xf numFmtId="4" fontId="1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23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2" fontId="0" fillId="0" borderId="46" xfId="0" applyNumberFormat="1" applyBorder="1" applyAlignment="1">
      <alignment horizontal="center"/>
    </xf>
    <xf numFmtId="4" fontId="2" fillId="0" borderId="41" xfId="34" applyNumberFormat="1" applyFont="1" applyFill="1" applyBorder="1" applyAlignment="1">
      <alignment horizontal="right" vertical="center" wrapText="1"/>
      <protection/>
    </xf>
    <xf numFmtId="4" fontId="0" fillId="0" borderId="33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/>
    </xf>
    <xf numFmtId="4" fontId="0" fillId="37" borderId="15" xfId="0" applyNumberFormat="1" applyFont="1" applyFill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4" fontId="1" fillId="0" borderId="18" xfId="0" applyNumberFormat="1" applyFont="1" applyFill="1" applyBorder="1" applyAlignment="1">
      <alignment/>
    </xf>
    <xf numFmtId="0" fontId="0" fillId="0" borderId="23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2" fontId="0" fillId="0" borderId="23" xfId="0" applyNumberFormat="1" applyFont="1" applyFill="1" applyBorder="1" applyAlignment="1">
      <alignment horizontal="left"/>
    </xf>
    <xf numFmtId="2" fontId="0" fillId="0" borderId="31" xfId="0" applyNumberFormat="1" applyFont="1" applyFill="1" applyBorder="1" applyAlignment="1">
      <alignment horizontal="left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2" fontId="1" fillId="0" borderId="42" xfId="0" applyNumberFormat="1" applyFont="1" applyFill="1" applyBorder="1" applyAlignment="1">
      <alignment horizontal="center" vertical="center" textRotation="90" wrapText="1"/>
    </xf>
    <xf numFmtId="2" fontId="1" fillId="0" borderId="46" xfId="0" applyNumberFormat="1" applyFont="1" applyFill="1" applyBorder="1" applyAlignment="1">
      <alignment horizontal="center" vertical="center" textRotation="90" wrapText="1"/>
    </xf>
    <xf numFmtId="2" fontId="1" fillId="0" borderId="44" xfId="0" applyNumberFormat="1" applyFont="1" applyFill="1" applyBorder="1" applyAlignment="1">
      <alignment horizontal="center" vertical="center" textRotation="90" wrapText="1"/>
    </xf>
    <xf numFmtId="0" fontId="1" fillId="0" borderId="50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left"/>
    </xf>
    <xf numFmtId="2" fontId="1" fillId="0" borderId="47" xfId="0" applyNumberFormat="1" applyFont="1" applyFill="1" applyBorder="1" applyAlignment="1">
      <alignment horizontal="center" vertical="center" textRotation="90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53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4" fontId="1" fillId="0" borderId="24" xfId="0" applyNumberFormat="1" applyFont="1" applyFill="1" applyBorder="1" applyAlignment="1">
      <alignment horizontal="center" vertical="center" textRotation="90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41" xfId="0" applyNumberFormat="1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4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50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32" xfId="0" applyNumberFormat="1" applyFont="1" applyFill="1" applyBorder="1" applyAlignment="1">
      <alignment horizontal="center" vertical="center" wrapText="1"/>
    </xf>
    <xf numFmtId="2" fontId="1" fillId="33" borderId="29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36" borderId="33" xfId="0" applyNumberFormat="1" applyFont="1" applyFill="1" applyBorder="1" applyAlignment="1">
      <alignment horizontal="center" vertical="center" wrapText="1"/>
    </xf>
    <xf numFmtId="2" fontId="1" fillId="36" borderId="42" xfId="0" applyNumberFormat="1" applyFont="1" applyFill="1" applyBorder="1" applyAlignment="1">
      <alignment horizontal="center" vertical="center" wrapText="1"/>
    </xf>
    <xf numFmtId="2" fontId="1" fillId="36" borderId="32" xfId="0" applyNumberFormat="1" applyFont="1" applyFill="1" applyBorder="1" applyAlignment="1">
      <alignment horizontal="center" vertical="center" wrapText="1"/>
    </xf>
    <xf numFmtId="2" fontId="1" fillId="36" borderId="29" xfId="0" applyNumberFormat="1" applyFont="1" applyFill="1" applyBorder="1" applyAlignment="1">
      <alignment horizontal="center" vertical="center" wrapText="1"/>
    </xf>
    <xf numFmtId="2" fontId="1" fillId="33" borderId="61" xfId="0" applyNumberFormat="1" applyFont="1" applyFill="1" applyBorder="1" applyAlignment="1">
      <alignment horizontal="center" vertical="center" wrapText="1"/>
    </xf>
    <xf numFmtId="2" fontId="1" fillId="33" borderId="62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2" xfId="0" applyNumberFormat="1" applyFont="1" applyFill="1" applyBorder="1" applyAlignment="1">
      <alignment horizontal="center" vertical="center" wrapText="1"/>
    </xf>
    <xf numFmtId="2" fontId="1" fillId="34" borderId="56" xfId="0" applyNumberFormat="1" applyFont="1" applyFill="1" applyBorder="1" applyAlignment="1">
      <alignment horizontal="center" vertical="center" wrapText="1"/>
    </xf>
    <xf numFmtId="2" fontId="1" fillId="34" borderId="29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66" xfId="0" applyNumberFormat="1" applyFont="1" applyFill="1" applyBorder="1" applyAlignment="1">
      <alignment horizontal="center" vertical="center" wrapText="1"/>
    </xf>
    <xf numFmtId="2" fontId="8" fillId="34" borderId="32" xfId="0" applyNumberFormat="1" applyFont="1" applyFill="1" applyBorder="1" applyAlignment="1">
      <alignment horizontal="center" vertical="center" wrapText="1"/>
    </xf>
    <xf numFmtId="2" fontId="8" fillId="34" borderId="56" xfId="0" applyNumberFormat="1" applyFont="1" applyFill="1" applyBorder="1" applyAlignment="1">
      <alignment horizontal="center" vertical="center" wrapText="1"/>
    </xf>
    <xf numFmtId="2" fontId="8" fillId="34" borderId="2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1" fillId="0" borderId="55" xfId="0" applyNumberFormat="1" applyFont="1" applyFill="1" applyBorder="1" applyAlignment="1">
      <alignment horizontal="center" textRotation="90" wrapText="1"/>
    </xf>
    <xf numFmtId="0" fontId="1" fillId="0" borderId="57" xfId="0" applyFont="1" applyFill="1" applyBorder="1" applyAlignment="1">
      <alignment horizontal="center" textRotation="90" wrapText="1"/>
    </xf>
    <xf numFmtId="0" fontId="1" fillId="0" borderId="66" xfId="0" applyFont="1" applyFill="1" applyBorder="1" applyAlignment="1">
      <alignment horizontal="center" textRotation="90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9" fillId="0" borderId="32" xfId="0" applyNumberFormat="1" applyFont="1" applyFill="1" applyBorder="1" applyAlignment="1">
      <alignment horizontal="center" vertical="center" wrapText="1"/>
    </xf>
    <xf numFmtId="2" fontId="9" fillId="0" borderId="29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37" borderId="32" xfId="0" applyNumberFormat="1" applyFont="1" applyFill="1" applyBorder="1" applyAlignment="1">
      <alignment horizontal="center" vertical="center" wrapText="1"/>
    </xf>
    <xf numFmtId="2" fontId="1" fillId="37" borderId="29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70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34" borderId="71" xfId="0" applyNumberFormat="1" applyFont="1" applyFill="1" applyBorder="1" applyAlignment="1">
      <alignment horizontal="center" vertical="center" wrapText="1"/>
    </xf>
    <xf numFmtId="2" fontId="1" fillId="34" borderId="61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0" fontId="1" fillId="40" borderId="51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0" borderId="45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textRotation="90"/>
    </xf>
    <xf numFmtId="0" fontId="1" fillId="0" borderId="29" xfId="0" applyFont="1" applyFill="1" applyBorder="1" applyAlignment="1">
      <alignment horizontal="center" textRotation="90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56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0" fontId="1" fillId="40" borderId="50" xfId="0" applyFont="1" applyFill="1" applyBorder="1" applyAlignment="1">
      <alignment horizontal="center" vertical="center" wrapText="1"/>
    </xf>
    <xf numFmtId="0" fontId="1" fillId="40" borderId="58" xfId="0" applyFont="1" applyFill="1" applyBorder="1" applyAlignment="1">
      <alignment horizontal="center" vertical="center" wrapText="1"/>
    </xf>
    <xf numFmtId="0" fontId="1" fillId="40" borderId="70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textRotation="90"/>
    </xf>
    <xf numFmtId="0" fontId="1" fillId="35" borderId="29" xfId="0" applyFont="1" applyFill="1" applyBorder="1" applyAlignment="1">
      <alignment horizontal="center" textRotation="90"/>
    </xf>
    <xf numFmtId="0" fontId="1" fillId="0" borderId="58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34" borderId="32" xfId="0" applyNumberFormat="1" applyFont="1" applyFill="1" applyBorder="1" applyAlignment="1">
      <alignment horizontal="center" vertical="center" wrapText="1"/>
    </xf>
    <xf numFmtId="4" fontId="1" fillId="34" borderId="5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34" borderId="39" xfId="0" applyNumberFormat="1" applyFont="1" applyFill="1" applyBorder="1" applyAlignment="1">
      <alignment horizontal="right" wrapText="1"/>
    </xf>
    <xf numFmtId="4" fontId="2" fillId="35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41" borderId="15" xfId="0" applyNumberFormat="1" applyFont="1" applyFill="1" applyBorder="1" applyAlignment="1">
      <alignment horizontal="center" wrapText="1"/>
    </xf>
    <xf numFmtId="4" fontId="0" fillId="40" borderId="1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52;&#1072;&#1082;&#1072;&#1088;&#1077;&#1085;&#1082;&#1086;,%206%20&#1089;%202010%20&#1075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62">
          <cell r="I62">
            <v>330.67258000000004</v>
          </cell>
        </row>
        <row r="83">
          <cell r="I83">
            <v>1892.8952599999998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  <sheetName val="сентябрь"/>
      <sheetName val="сентябрь Шалым"/>
      <sheetName val="октябрь Шалым "/>
      <sheetName val="собств. нужды ООО &quot;Форум&quot;"/>
      <sheetName val="ноябрь Шалым "/>
    </sheetNames>
    <sheetDataSet>
      <sheetData sheetId="2">
        <row r="37">
          <cell r="F37">
            <v>81</v>
          </cell>
        </row>
        <row r="45">
          <cell r="F45">
            <v>14</v>
          </cell>
        </row>
        <row r="54">
          <cell r="F54">
            <v>22</v>
          </cell>
        </row>
        <row r="57">
          <cell r="F57">
            <v>0</v>
          </cell>
        </row>
        <row r="178">
          <cell r="F178">
            <v>800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62">
          <cell r="J62">
            <v>330.49800000000005</v>
          </cell>
        </row>
        <row r="86">
          <cell r="J86">
            <v>1891.1859999999997</v>
          </cell>
        </row>
        <row r="173">
          <cell r="J173">
            <v>114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F3" t="str">
            <v>Доходы по нежил.помещениям</v>
          </cell>
        </row>
        <row r="9">
          <cell r="B9">
            <v>3597.5</v>
          </cell>
          <cell r="D9">
            <v>7495.79417</v>
          </cell>
          <cell r="S9">
            <v>23175.559999999998</v>
          </cell>
          <cell r="T9">
            <v>4709.57</v>
          </cell>
          <cell r="AB9">
            <v>189.31</v>
          </cell>
          <cell r="AC9">
            <v>12394.67417</v>
          </cell>
          <cell r="AD9">
            <v>0</v>
          </cell>
          <cell r="AG9">
            <v>2158.5</v>
          </cell>
          <cell r="AH9">
            <v>761.41807</v>
          </cell>
          <cell r="AI9">
            <v>3064.3405</v>
          </cell>
          <cell r="AJ9">
            <v>551.58129</v>
          </cell>
          <cell r="AK9">
            <v>3565.92834</v>
          </cell>
          <cell r="AL9">
            <v>641.8671012</v>
          </cell>
          <cell r="AM9">
            <v>6548.964547499999</v>
          </cell>
          <cell r="AN9">
            <v>1178.8136185499998</v>
          </cell>
          <cell r="AP9">
            <v>0</v>
          </cell>
          <cell r="AS9">
            <v>21654.29</v>
          </cell>
          <cell r="AU9">
            <v>3897.7722</v>
          </cell>
          <cell r="AX9">
            <v>0</v>
          </cell>
          <cell r="BB9">
            <v>44023.47566725</v>
          </cell>
          <cell r="BC9">
            <v>0</v>
          </cell>
          <cell r="BD9">
            <v>-31628.801497250002</v>
          </cell>
          <cell r="BE9">
            <v>-22986.249999999996</v>
          </cell>
        </row>
        <row r="10">
          <cell r="B10">
            <v>3597.5</v>
          </cell>
          <cell r="D10">
            <v>7495.79417</v>
          </cell>
          <cell r="S10">
            <v>20374.95</v>
          </cell>
          <cell r="T10">
            <v>3757.82</v>
          </cell>
          <cell r="AB10">
            <v>15689.43</v>
          </cell>
          <cell r="AC10">
            <v>26943.04417</v>
          </cell>
          <cell r="AD10">
            <v>0</v>
          </cell>
          <cell r="AG10">
            <v>2158.5</v>
          </cell>
          <cell r="AH10">
            <v>723.0975000000001</v>
          </cell>
          <cell r="AI10">
            <v>3064.3405</v>
          </cell>
          <cell r="AJ10">
            <v>551.58129</v>
          </cell>
          <cell r="AK10">
            <v>3565.92834</v>
          </cell>
          <cell r="AL10">
            <v>641.8671012</v>
          </cell>
          <cell r="AM10">
            <v>6548.964547499999</v>
          </cell>
          <cell r="AN10">
            <v>1178.8136185499998</v>
          </cell>
          <cell r="AP10">
            <v>0</v>
          </cell>
          <cell r="AS10">
            <v>9475</v>
          </cell>
          <cell r="AU10">
            <v>1705.5</v>
          </cell>
          <cell r="AX10">
            <v>0</v>
          </cell>
          <cell r="BB10">
            <v>29613.59289725</v>
          </cell>
          <cell r="BC10">
            <v>0</v>
          </cell>
          <cell r="BD10">
            <v>-2670.5487272499995</v>
          </cell>
          <cell r="BE10">
            <v>-4685.52</v>
          </cell>
        </row>
        <row r="11">
          <cell r="B11">
            <v>3597.5</v>
          </cell>
          <cell r="D11">
            <v>7479.30143125</v>
          </cell>
          <cell r="S11">
            <v>21272.440000000002</v>
          </cell>
          <cell r="T11">
            <v>3847.9500000000003</v>
          </cell>
          <cell r="AB11">
            <v>24690.17</v>
          </cell>
          <cell r="AC11">
            <v>36017.42143125</v>
          </cell>
          <cell r="AD11">
            <v>0</v>
          </cell>
          <cell r="AG11">
            <v>2158.5</v>
          </cell>
          <cell r="AH11">
            <v>737.66018</v>
          </cell>
          <cell r="AI11">
            <v>3055.4287</v>
          </cell>
          <cell r="AJ11">
            <v>549.977166</v>
          </cell>
          <cell r="AK11">
            <v>3555.564662</v>
          </cell>
          <cell r="AL11">
            <v>640.00163916</v>
          </cell>
          <cell r="AM11">
            <v>6529.931254249999</v>
          </cell>
          <cell r="AN11">
            <v>1175.3876257649997</v>
          </cell>
          <cell r="AP11">
            <v>0</v>
          </cell>
          <cell r="AS11">
            <v>7997</v>
          </cell>
          <cell r="AU11">
            <v>1439.46</v>
          </cell>
          <cell r="AX11">
            <v>0</v>
          </cell>
          <cell r="BB11">
            <v>27838.911227175</v>
          </cell>
          <cell r="BC11">
            <v>0</v>
          </cell>
          <cell r="BD11">
            <v>8178.510204074999</v>
          </cell>
          <cell r="BE11">
            <v>3417.729999999996</v>
          </cell>
        </row>
        <row r="14">
          <cell r="B14">
            <v>3597.5</v>
          </cell>
          <cell r="D14">
            <v>3889.796875</v>
          </cell>
          <cell r="S14">
            <v>21209.23</v>
          </cell>
          <cell r="T14">
            <v>3847.9500000000003</v>
          </cell>
          <cell r="AB14">
            <v>13498.150000000001</v>
          </cell>
          <cell r="AC14">
            <v>21235.896875000002</v>
          </cell>
          <cell r="AG14">
            <v>1942.65</v>
          </cell>
          <cell r="AH14">
            <v>641.0745000000001</v>
          </cell>
          <cell r="AI14">
            <v>2651.157625</v>
          </cell>
          <cell r="AJ14">
            <v>477.20837249999994</v>
          </cell>
          <cell r="AK14">
            <v>2593.2758625</v>
          </cell>
          <cell r="AL14">
            <v>466.78965525</v>
          </cell>
          <cell r="AM14">
            <v>5968.346035</v>
          </cell>
          <cell r="AN14">
            <v>1074.3022862999999</v>
          </cell>
          <cell r="AP14">
            <v>0</v>
          </cell>
          <cell r="AR14">
            <v>0</v>
          </cell>
          <cell r="AS14">
            <v>1858</v>
          </cell>
          <cell r="AU14">
            <v>334.45</v>
          </cell>
          <cell r="AX14">
            <v>1897.8176</v>
          </cell>
          <cell r="BA14">
            <v>0</v>
          </cell>
          <cell r="BB14">
            <v>18007.254336550002</v>
          </cell>
          <cell r="BD14">
            <v>3228.64253845</v>
          </cell>
          <cell r="BE14">
            <v>-7711.079999999998</v>
          </cell>
        </row>
        <row r="15">
          <cell r="B15">
            <v>3597.1</v>
          </cell>
          <cell r="D15">
            <v>3889.364375</v>
          </cell>
          <cell r="S15">
            <v>21433.74</v>
          </cell>
          <cell r="T15">
            <v>3692.13</v>
          </cell>
          <cell r="AB15">
            <v>18453.600000000002</v>
          </cell>
          <cell r="AC15">
            <v>26035.094375</v>
          </cell>
          <cell r="AG15">
            <v>1942.4339999999997</v>
          </cell>
          <cell r="AH15">
            <v>658.485126</v>
          </cell>
          <cell r="AI15">
            <v>2650.8828449999996</v>
          </cell>
          <cell r="AJ15">
            <v>477.1589120999999</v>
          </cell>
          <cell r="AK15">
            <v>2592.6889611999995</v>
          </cell>
          <cell r="AL15">
            <v>466.6840130159999</v>
          </cell>
          <cell r="AM15">
            <v>5966.308332399999</v>
          </cell>
          <cell r="AN15">
            <v>1073.9354998319998</v>
          </cell>
          <cell r="AP15">
            <v>0</v>
          </cell>
          <cell r="AR15">
            <v>0</v>
          </cell>
          <cell r="AU15">
            <v>0</v>
          </cell>
          <cell r="AX15">
            <v>1817.2000000000003</v>
          </cell>
          <cell r="BA15">
            <v>0</v>
          </cell>
          <cell r="BB15">
            <v>15828.577689547996</v>
          </cell>
          <cell r="BD15">
            <v>10206.516685452005</v>
          </cell>
          <cell r="BE15">
            <v>-2980.1399999999994</v>
          </cell>
        </row>
        <row r="16">
          <cell r="B16">
            <v>3597.1</v>
          </cell>
          <cell r="D16">
            <v>3889.364375</v>
          </cell>
          <cell r="S16">
            <v>20713.42</v>
          </cell>
          <cell r="T16">
            <v>3654.04</v>
          </cell>
          <cell r="AB16">
            <v>26415.690000000002</v>
          </cell>
          <cell r="AC16">
            <v>33959.094375</v>
          </cell>
          <cell r="AG16">
            <v>1942.4339999999997</v>
          </cell>
          <cell r="AH16">
            <v>653.377244</v>
          </cell>
          <cell r="AI16">
            <v>2652.4116125</v>
          </cell>
          <cell r="AJ16">
            <v>477.43409025</v>
          </cell>
          <cell r="AK16">
            <v>2501.9269339999996</v>
          </cell>
          <cell r="AL16">
            <v>450.3468481199999</v>
          </cell>
          <cell r="AM16">
            <v>5758.133364099999</v>
          </cell>
          <cell r="AN16">
            <v>1036.4640055379998</v>
          </cell>
          <cell r="AP16">
            <v>0</v>
          </cell>
          <cell r="AR16">
            <v>0</v>
          </cell>
          <cell r="AS16">
            <v>5524</v>
          </cell>
          <cell r="AU16">
            <v>994.3199999999999</v>
          </cell>
          <cell r="AX16">
            <v>1534.3776</v>
          </cell>
          <cell r="BA16">
            <v>0</v>
          </cell>
          <cell r="BB16">
            <v>21990.848098508</v>
          </cell>
          <cell r="BD16">
            <v>11968.246276492002</v>
          </cell>
          <cell r="BE16">
            <v>5702.270000000004</v>
          </cell>
        </row>
        <row r="17">
          <cell r="B17">
            <v>3597.1</v>
          </cell>
          <cell r="D17">
            <v>3889.364375</v>
          </cell>
          <cell r="S17">
            <v>21400.780000000002</v>
          </cell>
          <cell r="T17">
            <v>3648.9999999999995</v>
          </cell>
          <cell r="AB17">
            <v>19350.370000000003</v>
          </cell>
          <cell r="AC17">
            <v>26888.734375</v>
          </cell>
          <cell r="AG17">
            <v>1942.4339999999997</v>
          </cell>
          <cell r="AH17">
            <v>664.3124280000001</v>
          </cell>
          <cell r="AI17">
            <v>2731.601769</v>
          </cell>
          <cell r="AJ17">
            <v>491.68831842</v>
          </cell>
          <cell r="AK17">
            <v>2537.1569314</v>
          </cell>
          <cell r="AL17">
            <v>456.688247652</v>
          </cell>
          <cell r="AM17">
            <v>5838.517757799999</v>
          </cell>
          <cell r="AN17">
            <v>1050.9331964039998</v>
          </cell>
          <cell r="AP17">
            <v>0</v>
          </cell>
          <cell r="AR17">
            <v>0</v>
          </cell>
          <cell r="AS17">
            <v>4037.15</v>
          </cell>
          <cell r="AU17">
            <v>726.687</v>
          </cell>
          <cell r="AX17">
            <v>1275.344</v>
          </cell>
          <cell r="BA17">
            <v>0</v>
          </cell>
          <cell r="BB17">
            <v>27001.908848676</v>
          </cell>
          <cell r="BD17">
            <v>-113.17447367600107</v>
          </cell>
          <cell r="BE17">
            <v>-2050.41</v>
          </cell>
        </row>
        <row r="18">
          <cell r="B18">
            <v>3597.1</v>
          </cell>
          <cell r="D18">
            <v>3109.6849999999995</v>
          </cell>
          <cell r="S18">
            <v>23225.590000000004</v>
          </cell>
          <cell r="T18">
            <v>4779.64</v>
          </cell>
          <cell r="AB18">
            <v>18408.249999999996</v>
          </cell>
          <cell r="AC18">
            <v>26297.574999999997</v>
          </cell>
          <cell r="AG18">
            <v>2158.2599999999998</v>
          </cell>
          <cell r="AH18">
            <v>726.6142000000001</v>
          </cell>
          <cell r="AI18">
            <v>3057.535</v>
          </cell>
          <cell r="AJ18">
            <v>550.3562999999999</v>
          </cell>
          <cell r="AK18">
            <v>2985.593</v>
          </cell>
          <cell r="AL18">
            <v>537.4067399999999</v>
          </cell>
          <cell r="AM18">
            <v>6870.460999999999</v>
          </cell>
          <cell r="AN18">
            <v>1236.6829799999998</v>
          </cell>
          <cell r="AP18">
            <v>0</v>
          </cell>
          <cell r="AR18">
            <v>0</v>
          </cell>
          <cell r="AS18">
            <v>74.6</v>
          </cell>
          <cell r="AU18">
            <v>13.427999999999999</v>
          </cell>
          <cell r="AX18">
            <v>915.8688000000001</v>
          </cell>
          <cell r="BA18">
            <v>0</v>
          </cell>
          <cell r="BB18">
            <v>19126.806019999996</v>
          </cell>
          <cell r="BD18">
            <v>7170.768980000001</v>
          </cell>
          <cell r="BE18">
            <v>-4817.340000000007</v>
          </cell>
        </row>
        <row r="19">
          <cell r="B19">
            <v>3597.1</v>
          </cell>
          <cell r="D19">
            <v>3216.2149999999997</v>
          </cell>
          <cell r="S19">
            <v>23341.79</v>
          </cell>
          <cell r="T19">
            <v>4556.91</v>
          </cell>
          <cell r="AB19">
            <v>22748.01</v>
          </cell>
          <cell r="AC19">
            <v>30521.135</v>
          </cell>
          <cell r="AG19">
            <v>2158.2599999999998</v>
          </cell>
          <cell r="AH19">
            <v>726.9379390000001</v>
          </cell>
          <cell r="AI19">
            <v>3057.535</v>
          </cell>
          <cell r="AJ19">
            <v>550.3562999999999</v>
          </cell>
          <cell r="AK19">
            <v>2985.593</v>
          </cell>
          <cell r="AL19">
            <v>537.4067399999999</v>
          </cell>
          <cell r="AM19">
            <v>6870.460999999999</v>
          </cell>
          <cell r="AN19">
            <v>1236.6829799999998</v>
          </cell>
          <cell r="AP19">
            <v>0</v>
          </cell>
          <cell r="AR19">
            <v>0</v>
          </cell>
          <cell r="AS19">
            <v>150.14</v>
          </cell>
          <cell r="AU19">
            <v>27.025199999999998</v>
          </cell>
          <cell r="AX19">
            <v>927.7632000000001</v>
          </cell>
          <cell r="BA19">
            <v>0</v>
          </cell>
          <cell r="BB19">
            <v>19228.161358999998</v>
          </cell>
          <cell r="BD19">
            <v>11292.973641</v>
          </cell>
          <cell r="BE19">
            <v>-593.7800000000025</v>
          </cell>
        </row>
        <row r="20">
          <cell r="B20">
            <v>3596.3</v>
          </cell>
          <cell r="D20">
            <v>3271.6450000000054</v>
          </cell>
          <cell r="S20">
            <v>23310.489999999998</v>
          </cell>
          <cell r="T20">
            <v>4525.860000000001</v>
          </cell>
          <cell r="AB20">
            <v>22429.920000000002</v>
          </cell>
          <cell r="AC20">
            <v>30227.42500000001</v>
          </cell>
          <cell r="AF20">
            <v>2223.5678399999997</v>
          </cell>
          <cell r="AG20">
            <v>2157.78</v>
          </cell>
          <cell r="AH20">
            <v>715.1314476000001</v>
          </cell>
          <cell r="AI20">
            <v>3013.1419735</v>
          </cell>
          <cell r="AJ20">
            <v>542.3655552299999</v>
          </cell>
          <cell r="AK20">
            <v>2956.5721745</v>
          </cell>
          <cell r="AL20">
            <v>532.18299141</v>
          </cell>
          <cell r="AM20">
            <v>6802.991243199999</v>
          </cell>
          <cell r="AN20">
            <v>1224.5384237759997</v>
          </cell>
          <cell r="AP20">
            <v>0</v>
          </cell>
          <cell r="AR20">
            <v>0</v>
          </cell>
          <cell r="AS20">
            <v>38498.85</v>
          </cell>
          <cell r="AT20">
            <v>1924.59</v>
          </cell>
          <cell r="AU20">
            <v>7276.219199999999</v>
          </cell>
          <cell r="AX20">
            <v>835.2512</v>
          </cell>
          <cell r="BA20">
            <v>0</v>
          </cell>
          <cell r="BB20">
            <v>66479.61420921599</v>
          </cell>
          <cell r="BC20">
            <v>912.65560908</v>
          </cell>
          <cell r="BD20">
            <v>-34941.27697829598</v>
          </cell>
          <cell r="BE20">
            <v>-880.5699999999961</v>
          </cell>
        </row>
        <row r="21">
          <cell r="B21">
            <v>3596.3</v>
          </cell>
          <cell r="D21">
            <v>3215.245000000001</v>
          </cell>
          <cell r="S21">
            <v>23338.78</v>
          </cell>
          <cell r="T21">
            <v>4553.97</v>
          </cell>
          <cell r="AB21">
            <v>24644.89</v>
          </cell>
          <cell r="AC21">
            <v>32414.105</v>
          </cell>
          <cell r="AF21">
            <v>2223.5678399999997</v>
          </cell>
          <cell r="AG21">
            <v>2157.78</v>
          </cell>
          <cell r="AH21">
            <v>718.3609250000002</v>
          </cell>
          <cell r="AI21">
            <v>3011.7969573</v>
          </cell>
          <cell r="AJ21">
            <v>542.123452314</v>
          </cell>
          <cell r="AK21">
            <v>2955.07971</v>
          </cell>
          <cell r="AL21">
            <v>531.9143478</v>
          </cell>
          <cell r="AM21">
            <v>6800.24367</v>
          </cell>
          <cell r="AN21">
            <v>1224.0438606</v>
          </cell>
          <cell r="AP21">
            <v>0</v>
          </cell>
          <cell r="AQ21">
            <v>1050.54</v>
          </cell>
          <cell r="AR21">
            <v>189.0972</v>
          </cell>
          <cell r="AS21">
            <v>10798</v>
          </cell>
          <cell r="AU21">
            <v>1943.6399999999999</v>
          </cell>
          <cell r="AX21">
            <v>782.3872</v>
          </cell>
          <cell r="BA21">
            <v>0</v>
          </cell>
          <cell r="BB21">
            <v>32705.007323013997</v>
          </cell>
          <cell r="BC21">
            <v>912.2409285239999</v>
          </cell>
          <cell r="BD21">
            <v>1020.4245884620025</v>
          </cell>
          <cell r="BE21">
            <v>1306.1100000000006</v>
          </cell>
        </row>
        <row r="22">
          <cell r="B22">
            <v>3596.3</v>
          </cell>
          <cell r="D22">
            <v>3221.335000000001</v>
          </cell>
          <cell r="S22">
            <v>23177.1</v>
          </cell>
          <cell r="T22">
            <v>4709.56</v>
          </cell>
          <cell r="AB22">
            <v>20370.530000000002</v>
          </cell>
          <cell r="AC22">
            <v>28301.425000000003</v>
          </cell>
          <cell r="AF22">
            <v>2223.5678399999997</v>
          </cell>
          <cell r="AG22">
            <v>2157.78</v>
          </cell>
          <cell r="AH22">
            <v>719.0442220000001</v>
          </cell>
          <cell r="AI22">
            <v>3011.2772919500003</v>
          </cell>
          <cell r="AJ22">
            <v>542.029912551</v>
          </cell>
          <cell r="AK22">
            <v>2954.51257349</v>
          </cell>
          <cell r="AL22">
            <v>531.8122632282</v>
          </cell>
          <cell r="AM22">
            <v>6798.8698834</v>
          </cell>
          <cell r="AN22">
            <v>1223.796579012</v>
          </cell>
          <cell r="AP22">
            <v>0</v>
          </cell>
          <cell r="AR22">
            <v>0</v>
          </cell>
          <cell r="AS22">
            <v>463.56</v>
          </cell>
          <cell r="AU22">
            <v>83.4408</v>
          </cell>
          <cell r="AX22">
            <v>950.2304</v>
          </cell>
          <cell r="BA22">
            <v>0</v>
          </cell>
          <cell r="BB22">
            <v>19436.3539256312</v>
          </cell>
          <cell r="BC22">
            <v>912.1029575196</v>
          </cell>
          <cell r="BD22">
            <v>10176.535956849202</v>
          </cell>
          <cell r="BE22">
            <v>-2806.569999999996</v>
          </cell>
        </row>
        <row r="23">
          <cell r="B23">
            <v>3596.3</v>
          </cell>
          <cell r="D23">
            <v>3222.8649999999993</v>
          </cell>
          <cell r="S23">
            <v>23175.559999999998</v>
          </cell>
          <cell r="T23">
            <v>4709.57</v>
          </cell>
          <cell r="AB23">
            <v>25351.72</v>
          </cell>
          <cell r="AC23">
            <v>33284.155</v>
          </cell>
          <cell r="AF23">
            <v>2223.5678399999997</v>
          </cell>
          <cell r="AG23">
            <v>2157.78</v>
          </cell>
          <cell r="AH23">
            <v>719.2600000000001</v>
          </cell>
          <cell r="AI23">
            <v>3046.0661</v>
          </cell>
          <cell r="AJ23">
            <v>548.291898</v>
          </cell>
          <cell r="AK23">
            <v>2984.929</v>
          </cell>
          <cell r="AL23">
            <v>537.28722</v>
          </cell>
          <cell r="AM23">
            <v>6857.3516949152545</v>
          </cell>
          <cell r="AN23">
            <v>1234.3233050847457</v>
          </cell>
          <cell r="AP23">
            <v>0</v>
          </cell>
          <cell r="AR23">
            <v>0</v>
          </cell>
          <cell r="AS23">
            <v>21009.23</v>
          </cell>
          <cell r="AT23">
            <v>983</v>
          </cell>
          <cell r="AU23">
            <v>3958.6013999999996</v>
          </cell>
          <cell r="AX23">
            <v>992.5216</v>
          </cell>
          <cell r="BA23">
            <v>0</v>
          </cell>
          <cell r="BB23">
            <v>45028.642218</v>
          </cell>
          <cell r="BC23">
            <v>919.221068</v>
          </cell>
          <cell r="BD23">
            <v>-10440.140446</v>
          </cell>
          <cell r="BE23">
            <v>2176.1600000000035</v>
          </cell>
        </row>
        <row r="24">
          <cell r="B24">
            <v>3597.5</v>
          </cell>
          <cell r="D24">
            <v>3223.884999999998</v>
          </cell>
          <cell r="S24">
            <v>23183.38</v>
          </cell>
          <cell r="T24">
            <v>4711.110000000001</v>
          </cell>
          <cell r="AB24">
            <v>24607.079999999998</v>
          </cell>
          <cell r="AC24">
            <v>32542.074999999997</v>
          </cell>
          <cell r="AF24">
            <v>2223.5678399999997</v>
          </cell>
          <cell r="AG24">
            <v>2158.5</v>
          </cell>
          <cell r="AH24">
            <v>719.5</v>
          </cell>
          <cell r="AI24">
            <v>3057.875</v>
          </cell>
          <cell r="AJ24">
            <v>550.4175</v>
          </cell>
          <cell r="AK24">
            <v>2985.9249999999997</v>
          </cell>
          <cell r="AL24">
            <v>537.4664999999999</v>
          </cell>
          <cell r="AM24">
            <v>6871.224999999999</v>
          </cell>
          <cell r="AN24">
            <v>1236.8204999999998</v>
          </cell>
          <cell r="AP24">
            <v>0</v>
          </cell>
          <cell r="AR24">
            <v>0</v>
          </cell>
          <cell r="AS24">
            <v>444</v>
          </cell>
          <cell r="AT24">
            <v>375</v>
          </cell>
          <cell r="AU24">
            <v>147.42</v>
          </cell>
          <cell r="AX24">
            <v>923.7984000000001</v>
          </cell>
          <cell r="BA24">
            <v>0</v>
          </cell>
          <cell r="BB24">
            <v>20007.9479</v>
          </cell>
          <cell r="BC24">
            <v>920.52396</v>
          </cell>
          <cell r="BD24">
            <v>13837.17098</v>
          </cell>
          <cell r="BE24">
            <v>1423.699999999997</v>
          </cell>
        </row>
        <row r="25">
          <cell r="B25">
            <v>3597.4</v>
          </cell>
          <cell r="D25">
            <v>3222.06</v>
          </cell>
          <cell r="S25">
            <v>23184.71</v>
          </cell>
          <cell r="T25">
            <v>4710.740000000001</v>
          </cell>
          <cell r="AB25">
            <v>28276.81</v>
          </cell>
          <cell r="AC25">
            <v>36209.61</v>
          </cell>
          <cell r="AF25">
            <v>2223.5678399999997</v>
          </cell>
          <cell r="AG25">
            <v>2158.44</v>
          </cell>
          <cell r="AH25">
            <v>719.48</v>
          </cell>
          <cell r="AI25">
            <v>3057.79</v>
          </cell>
          <cell r="AJ25">
            <v>550.4022</v>
          </cell>
          <cell r="AK25">
            <v>2985.842</v>
          </cell>
          <cell r="AL25">
            <v>537.45156</v>
          </cell>
          <cell r="AM25">
            <v>6871.034</v>
          </cell>
          <cell r="AN25">
            <v>1236.78612</v>
          </cell>
          <cell r="AP25">
            <v>0</v>
          </cell>
          <cell r="AR25">
            <v>0</v>
          </cell>
          <cell r="AS25">
            <v>97916</v>
          </cell>
          <cell r="AT25">
            <v>463.56</v>
          </cell>
          <cell r="AU25">
            <v>17708.320799999998</v>
          </cell>
          <cell r="AX25">
            <v>1118.0736</v>
          </cell>
          <cell r="BA25">
            <v>0</v>
          </cell>
          <cell r="BB25">
            <v>135323.18028</v>
          </cell>
          <cell r="BC25">
            <v>920.52396</v>
          </cell>
          <cell r="BD25">
            <v>-97810.5264</v>
          </cell>
          <cell r="BE25">
            <v>5092.100000000002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64">
          <cell r="I64">
            <v>330.67258000000004</v>
          </cell>
          <cell r="M64">
            <v>157.423</v>
          </cell>
        </row>
        <row r="90">
          <cell r="I90">
            <v>1892.8952599999998</v>
          </cell>
          <cell r="M90">
            <v>762.011</v>
          </cell>
        </row>
      </sheetData>
      <sheetData sheetId="5">
        <row r="62">
          <cell r="M62">
            <v>157.423</v>
          </cell>
        </row>
        <row r="88">
          <cell r="M88">
            <v>762.011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62">
          <cell r="J62">
            <v>330.49800000000005</v>
          </cell>
        </row>
        <row r="84">
          <cell r="J84">
            <v>1891.1859999999997</v>
          </cell>
        </row>
        <row r="179">
          <cell r="J179">
            <v>114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40">
          <cell r="J40">
            <v>422.90500000000003</v>
          </cell>
          <cell r="S40">
            <v>238.091</v>
          </cell>
        </row>
        <row r="59">
          <cell r="J59">
            <v>2338.485</v>
          </cell>
          <cell r="S59">
            <v>1152.4869999999999</v>
          </cell>
        </row>
        <row r="201">
          <cell r="J201">
            <v>114</v>
          </cell>
          <cell r="S201">
            <v>28.5</v>
          </cell>
        </row>
      </sheetData>
      <sheetData sheetId="4">
        <row r="38">
          <cell r="J38">
            <v>422.90500000000003</v>
          </cell>
          <cell r="S38">
            <v>238.091</v>
          </cell>
        </row>
        <row r="56">
          <cell r="J56">
            <v>2338.485</v>
          </cell>
          <cell r="S56">
            <v>1152.4869999999999</v>
          </cell>
        </row>
        <row r="208">
          <cell r="J208">
            <v>114</v>
          </cell>
          <cell r="S208">
            <v>28.5</v>
          </cell>
        </row>
      </sheetData>
      <sheetData sheetId="5">
        <row r="38">
          <cell r="J38">
            <v>422.90500000000003</v>
          </cell>
          <cell r="S38">
            <v>238.091</v>
          </cell>
        </row>
        <row r="56">
          <cell r="J56">
            <v>2338.485</v>
          </cell>
          <cell r="S56">
            <v>1152.4869999999999</v>
          </cell>
        </row>
        <row r="169">
          <cell r="J169">
            <v>100</v>
          </cell>
          <cell r="S169">
            <v>25</v>
          </cell>
        </row>
        <row r="239">
          <cell r="J239">
            <v>114</v>
          </cell>
          <cell r="S239">
            <v>28.5</v>
          </cell>
        </row>
      </sheetData>
      <sheetData sheetId="6">
        <row r="38">
          <cell r="J38">
            <v>422.90500000000003</v>
          </cell>
          <cell r="S38">
            <v>238.091</v>
          </cell>
        </row>
        <row r="56">
          <cell r="J56">
            <v>2338.485</v>
          </cell>
          <cell r="S56">
            <v>1152.4869999999999</v>
          </cell>
        </row>
        <row r="171">
          <cell r="J171">
            <v>100</v>
          </cell>
          <cell r="S171">
            <v>25</v>
          </cell>
        </row>
        <row r="241">
          <cell r="J241">
            <v>114</v>
          </cell>
          <cell r="S241">
            <v>28.5</v>
          </cell>
        </row>
      </sheetData>
      <sheetData sheetId="7">
        <row r="38">
          <cell r="J38">
            <v>422.90500000000003</v>
          </cell>
          <cell r="S38">
            <v>238.091</v>
          </cell>
        </row>
        <row r="56">
          <cell r="J56">
            <v>2338.485</v>
          </cell>
          <cell r="S56">
            <v>1152.4869999999999</v>
          </cell>
        </row>
        <row r="171">
          <cell r="J171">
            <v>100</v>
          </cell>
          <cell r="S171">
            <v>25</v>
          </cell>
        </row>
        <row r="241">
          <cell r="J241">
            <v>114</v>
          </cell>
          <cell r="S241">
            <v>28.5</v>
          </cell>
        </row>
        <row r="310">
          <cell r="J310">
            <v>1800</v>
          </cell>
          <cell r="S310">
            <v>450</v>
          </cell>
        </row>
      </sheetData>
      <sheetData sheetId="8">
        <row r="38">
          <cell r="J38">
            <v>422.90500000000003</v>
          </cell>
          <cell r="S38">
            <v>238.091</v>
          </cell>
        </row>
        <row r="56">
          <cell r="J56">
            <v>2338.485</v>
          </cell>
          <cell r="S56">
            <v>1152.4869999999999</v>
          </cell>
        </row>
        <row r="174">
          <cell r="J174">
            <v>100</v>
          </cell>
          <cell r="S174">
            <v>25</v>
          </cell>
        </row>
        <row r="241">
          <cell r="J241">
            <v>114</v>
          </cell>
          <cell r="S241">
            <v>28.5</v>
          </cell>
        </row>
        <row r="310">
          <cell r="J310">
            <v>600</v>
          </cell>
          <cell r="S310">
            <v>150</v>
          </cell>
        </row>
      </sheetData>
      <sheetData sheetId="9">
        <row r="38">
          <cell r="J38">
            <v>422.90500000000003</v>
          </cell>
          <cell r="S38">
            <v>238.091</v>
          </cell>
        </row>
        <row r="56">
          <cell r="J56">
            <v>2338.485</v>
          </cell>
          <cell r="S56">
            <v>1152.4869999999999</v>
          </cell>
        </row>
        <row r="173">
          <cell r="J173">
            <v>100</v>
          </cell>
          <cell r="S173">
            <v>25</v>
          </cell>
        </row>
        <row r="240">
          <cell r="J240">
            <v>114</v>
          </cell>
          <cell r="S240">
            <v>28.5</v>
          </cell>
        </row>
        <row r="309">
          <cell r="J309">
            <v>600</v>
          </cell>
          <cell r="S309">
            <v>150</v>
          </cell>
        </row>
      </sheetData>
      <sheetData sheetId="10">
        <row r="38">
          <cell r="J38">
            <v>422.90500000000003</v>
          </cell>
          <cell r="S38">
            <v>238.091</v>
          </cell>
        </row>
        <row r="56">
          <cell r="J56">
            <v>2338.485</v>
          </cell>
          <cell r="S56">
            <v>1152.4869999999999</v>
          </cell>
        </row>
        <row r="175">
          <cell r="J175">
            <v>100</v>
          </cell>
          <cell r="S175">
            <v>25</v>
          </cell>
        </row>
        <row r="242">
          <cell r="J242">
            <v>114</v>
          </cell>
          <cell r="S242">
            <v>28.5</v>
          </cell>
        </row>
        <row r="311">
          <cell r="J311">
            <v>600</v>
          </cell>
          <cell r="S311">
            <v>150</v>
          </cell>
        </row>
      </sheetData>
      <sheetData sheetId="11">
        <row r="38">
          <cell r="J38">
            <v>422.90500000000003</v>
          </cell>
          <cell r="S38">
            <v>238.091</v>
          </cell>
        </row>
        <row r="56">
          <cell r="J56">
            <v>2338.485</v>
          </cell>
          <cell r="S56">
            <v>1152.4869999999999</v>
          </cell>
        </row>
        <row r="178">
          <cell r="J178">
            <v>100</v>
          </cell>
          <cell r="S178">
            <v>25</v>
          </cell>
        </row>
        <row r="245">
          <cell r="J245">
            <v>114</v>
          </cell>
          <cell r="S245">
            <v>28.5</v>
          </cell>
        </row>
        <row r="314">
          <cell r="J314">
            <v>600</v>
          </cell>
          <cell r="S314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62">
          <cell r="O62">
            <v>156.26242226000002</v>
          </cell>
        </row>
        <row r="83">
          <cell r="O83">
            <v>756.39318682</v>
          </cell>
        </row>
      </sheetData>
      <sheetData sheetId="7">
        <row r="63">
          <cell r="O63">
            <v>156.191421778</v>
          </cell>
        </row>
        <row r="84">
          <cell r="O84">
            <v>756.0495067459999</v>
          </cell>
        </row>
      </sheetData>
      <sheetData sheetId="8">
        <row r="63">
          <cell r="O63">
            <v>156.16779875620003</v>
          </cell>
        </row>
        <row r="84">
          <cell r="O84">
            <v>755.9351587634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65">
          <cell r="I65">
            <v>330.67258000000004</v>
          </cell>
        </row>
        <row r="91">
          <cell r="I91">
            <v>1892.8952599999998</v>
          </cell>
        </row>
      </sheetData>
      <sheetData sheetId="1">
        <row r="65">
          <cell r="I65">
            <v>330.67258000000004</v>
          </cell>
          <cell r="O65">
            <v>157.60962</v>
          </cell>
        </row>
        <row r="91">
          <cell r="I91">
            <v>1892.8952599999998</v>
          </cell>
          <cell r="O91">
            <v>762.91434</v>
          </cell>
        </row>
      </sheetData>
      <sheetData sheetId="2">
        <row r="66">
          <cell r="I66">
            <v>330.67258000000004</v>
          </cell>
          <cell r="O66">
            <v>157.60962</v>
          </cell>
        </row>
        <row r="92">
          <cell r="I92">
            <v>1892.8952599999998</v>
          </cell>
          <cell r="O92">
            <v>762.91434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65">
          <cell r="O65">
            <v>157.37134600000002</v>
          </cell>
        </row>
        <row r="91">
          <cell r="O91">
            <v>761.8497219999999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63">
          <cell r="I63">
            <v>330.67258000000004</v>
          </cell>
        </row>
        <row r="89">
          <cell r="I89">
            <v>1892.8952599999998</v>
          </cell>
        </row>
      </sheetData>
      <sheetData sheetId="2">
        <row r="64">
          <cell r="M64">
            <v>157.423</v>
          </cell>
        </row>
        <row r="90">
          <cell r="M90">
            <v>762.011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5">
        <row r="62">
          <cell r="I62">
            <v>330.67258000000004</v>
          </cell>
        </row>
        <row r="88">
          <cell r="I88">
            <v>1892.8952599999998</v>
          </cell>
        </row>
      </sheetData>
      <sheetData sheetId="6">
        <row r="62">
          <cell r="I62">
            <v>330.67258000000004</v>
          </cell>
        </row>
        <row r="87">
          <cell r="I87">
            <v>1892.8952599999998</v>
          </cell>
        </row>
      </sheetData>
      <sheetData sheetId="9">
        <row r="62">
          <cell r="I62">
            <v>330.67258000000004</v>
          </cell>
          <cell r="M62">
            <v>157.423</v>
          </cell>
        </row>
        <row r="87">
          <cell r="I87">
            <v>1892.8952599999998</v>
          </cell>
          <cell r="M87">
            <v>762.011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E4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62">
          <cell r="I62">
            <v>330.49800000000005</v>
          </cell>
          <cell r="R62">
            <v>238.091</v>
          </cell>
        </row>
        <row r="85">
          <cell r="I85">
            <v>1891.1859999999997</v>
          </cell>
          <cell r="R85">
            <v>1152.4869999999999</v>
          </cell>
        </row>
        <row r="169">
          <cell r="I169">
            <v>114</v>
          </cell>
          <cell r="R169">
            <v>28.5</v>
          </cell>
        </row>
      </sheetData>
      <sheetData sheetId="1">
        <row r="62">
          <cell r="J62">
            <v>330.49800000000005</v>
          </cell>
          <cell r="S62">
            <v>238.091</v>
          </cell>
        </row>
        <row r="85">
          <cell r="J85">
            <v>1891.1859999999997</v>
          </cell>
          <cell r="S85">
            <v>1152.4869999999999</v>
          </cell>
        </row>
        <row r="170">
          <cell r="S170">
            <v>28.5</v>
          </cell>
        </row>
        <row r="171">
          <cell r="J171">
            <v>114</v>
          </cell>
        </row>
      </sheetData>
      <sheetData sheetId="2">
        <row r="62">
          <cell r="J62">
            <v>330.49800000000005</v>
          </cell>
          <cell r="S62">
            <v>238.091</v>
          </cell>
        </row>
        <row r="85">
          <cell r="J85">
            <v>1891.1859999999997</v>
          </cell>
          <cell r="S85">
            <v>1152.4869999999999</v>
          </cell>
        </row>
        <row r="171">
          <cell r="J171">
            <v>114</v>
          </cell>
          <cell r="S171">
            <v>28.5</v>
          </cell>
        </row>
      </sheetData>
      <sheetData sheetId="3">
        <row r="62">
          <cell r="S62">
            <v>238.091</v>
          </cell>
        </row>
        <row r="86">
          <cell r="S86">
            <v>1152.4869999999999</v>
          </cell>
        </row>
        <row r="173">
          <cell r="S173">
            <v>28.5</v>
          </cell>
        </row>
      </sheetData>
      <sheetData sheetId="4">
        <row r="62">
          <cell r="J62">
            <v>330.49800000000005</v>
          </cell>
          <cell r="S62">
            <v>238.091</v>
          </cell>
        </row>
        <row r="84">
          <cell r="J84">
            <v>1891.1859999999997</v>
          </cell>
          <cell r="S84">
            <v>1152.4869999999999</v>
          </cell>
        </row>
        <row r="171">
          <cell r="J171">
            <v>114</v>
          </cell>
          <cell r="S171">
            <v>28.5</v>
          </cell>
        </row>
      </sheetData>
      <sheetData sheetId="5">
        <row r="62">
          <cell r="J62">
            <v>330.49800000000005</v>
          </cell>
          <cell r="S62">
            <v>238.091</v>
          </cell>
        </row>
        <row r="84">
          <cell r="J84">
            <v>1891.1859999999997</v>
          </cell>
          <cell r="S84">
            <v>1152.4869999999999</v>
          </cell>
        </row>
        <row r="171">
          <cell r="J171">
            <v>114</v>
          </cell>
          <cell r="S171">
            <v>28.5</v>
          </cell>
        </row>
      </sheetData>
      <sheetData sheetId="6">
        <row r="62">
          <cell r="J62">
            <v>330.49800000000005</v>
          </cell>
          <cell r="S62">
            <v>238.091</v>
          </cell>
        </row>
        <row r="84">
          <cell r="J84">
            <v>1891.1859999999997</v>
          </cell>
          <cell r="S84">
            <v>1152.4869999999999</v>
          </cell>
        </row>
        <row r="175">
          <cell r="J175">
            <v>114</v>
          </cell>
          <cell r="S175">
            <v>28.5</v>
          </cell>
        </row>
      </sheetData>
      <sheetData sheetId="7">
        <row r="62">
          <cell r="J62">
            <v>330.49800000000005</v>
          </cell>
          <cell r="S62">
            <v>238.091</v>
          </cell>
        </row>
        <row r="84">
          <cell r="J84">
            <v>1891.1859999999997</v>
          </cell>
          <cell r="S84">
            <v>1152.4869999999999</v>
          </cell>
        </row>
        <row r="179">
          <cell r="J179">
            <v>114</v>
          </cell>
          <cell r="S179">
            <v>28.5</v>
          </cell>
        </row>
      </sheetData>
      <sheetData sheetId="8">
        <row r="62">
          <cell r="J62">
            <v>330.49800000000005</v>
          </cell>
        </row>
        <row r="84">
          <cell r="J84">
            <v>1891.1859999999997</v>
          </cell>
        </row>
        <row r="179">
          <cell r="J179">
            <v>114</v>
          </cell>
        </row>
      </sheetData>
      <sheetData sheetId="9">
        <row r="62">
          <cell r="S62">
            <v>238.091</v>
          </cell>
        </row>
        <row r="84">
          <cell r="S84">
            <v>1152.4869999999999</v>
          </cell>
        </row>
        <row r="179">
          <cell r="S179">
            <v>28.5</v>
          </cell>
        </row>
      </sheetData>
      <sheetData sheetId="10">
        <row r="62">
          <cell r="J62">
            <v>330.49800000000005</v>
          </cell>
          <cell r="S62">
            <v>238.091</v>
          </cell>
        </row>
        <row r="84">
          <cell r="J84">
            <v>1891.1859999999997</v>
          </cell>
          <cell r="S84">
            <v>1152.4869999999999</v>
          </cell>
        </row>
        <row r="179">
          <cell r="J179">
            <v>114</v>
          </cell>
          <cell r="S179">
            <v>28.5</v>
          </cell>
        </row>
      </sheetData>
      <sheetData sheetId="11">
        <row r="62">
          <cell r="J62">
            <v>330.49800000000005</v>
          </cell>
          <cell r="S62">
            <v>238.091</v>
          </cell>
        </row>
        <row r="84">
          <cell r="J84">
            <v>1891.1859999999997</v>
          </cell>
          <cell r="S84">
            <v>1152.4869999999999</v>
          </cell>
        </row>
        <row r="199">
          <cell r="J199">
            <v>114</v>
          </cell>
          <cell r="S199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C7">
      <selection activeCell="M31" sqref="M31"/>
    </sheetView>
  </sheetViews>
  <sheetFormatPr defaultColWidth="9.00390625" defaultRowHeight="12.75"/>
  <cols>
    <col min="1" max="1" width="9.875" style="61" customWidth="1"/>
    <col min="2" max="2" width="10.25390625" style="61" customWidth="1"/>
    <col min="3" max="3" width="11.875" style="61" customWidth="1"/>
    <col min="4" max="4" width="10.375" style="61" customWidth="1"/>
    <col min="5" max="5" width="11.625" style="61" customWidth="1"/>
    <col min="6" max="6" width="9.375" style="61" customWidth="1"/>
    <col min="7" max="7" width="11.125" style="61" customWidth="1"/>
    <col min="8" max="8" width="11.375" style="61" customWidth="1"/>
    <col min="9" max="9" width="10.375" style="61" customWidth="1"/>
    <col min="10" max="10" width="9.25390625" style="61" customWidth="1"/>
    <col min="11" max="11" width="9.875" style="61" customWidth="1"/>
    <col min="12" max="12" width="10.875" style="61" customWidth="1"/>
    <col min="13" max="13" width="10.125" style="61" customWidth="1"/>
    <col min="14" max="14" width="9.375" style="61" customWidth="1"/>
    <col min="15" max="15" width="11.625" style="61" hidden="1" customWidth="1"/>
    <col min="16" max="16" width="11.375" style="61" customWidth="1"/>
    <col min="17" max="17" width="11.875" style="61" customWidth="1"/>
    <col min="18" max="18" width="9.875" style="61" customWidth="1"/>
    <col min="19" max="19" width="10.25390625" style="61" customWidth="1"/>
    <col min="20" max="16384" width="9.125" style="61" customWidth="1"/>
  </cols>
  <sheetData>
    <row r="1" spans="2:9" ht="20.25" customHeight="1">
      <c r="B1" s="270" t="s">
        <v>55</v>
      </c>
      <c r="C1" s="270"/>
      <c r="D1" s="270"/>
      <c r="E1" s="270"/>
      <c r="F1" s="270"/>
      <c r="G1" s="270"/>
      <c r="H1" s="270"/>
      <c r="I1" s="18"/>
    </row>
    <row r="2" spans="2:12" ht="21" customHeight="1">
      <c r="B2" s="270" t="s">
        <v>56</v>
      </c>
      <c r="C2" s="270"/>
      <c r="D2" s="270"/>
      <c r="E2" s="270"/>
      <c r="F2" s="270"/>
      <c r="G2" s="270"/>
      <c r="H2" s="270"/>
      <c r="I2" s="18"/>
      <c r="K2" s="60"/>
      <c r="L2" s="60"/>
    </row>
    <row r="5" spans="1:16" ht="12.75">
      <c r="A5" s="271" t="s">
        <v>118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</row>
    <row r="6" spans="1:16" ht="12.75">
      <c r="A6" s="272" t="s">
        <v>122</v>
      </c>
      <c r="B6" s="272"/>
      <c r="C6" s="272"/>
      <c r="D6" s="272"/>
      <c r="E6" s="272"/>
      <c r="F6" s="272"/>
      <c r="G6" s="272"/>
      <c r="H6" s="40"/>
      <c r="I6" s="40"/>
      <c r="J6" s="40"/>
      <c r="K6" s="40"/>
      <c r="L6" s="40"/>
      <c r="M6" s="40"/>
      <c r="N6" s="40"/>
      <c r="O6" s="40"/>
      <c r="P6" s="40"/>
    </row>
    <row r="7" spans="1:17" ht="13.5" thickBot="1">
      <c r="A7" s="273" t="s">
        <v>57</v>
      </c>
      <c r="B7" s="273"/>
      <c r="C7" s="273"/>
      <c r="D7" s="273"/>
      <c r="E7" s="273">
        <v>8.55</v>
      </c>
      <c r="F7" s="273"/>
      <c r="I7" s="128"/>
      <c r="J7" s="128"/>
      <c r="K7" s="128"/>
      <c r="L7" s="128"/>
      <c r="M7" s="128"/>
      <c r="N7" s="128"/>
      <c r="O7" s="128"/>
      <c r="P7" s="128"/>
      <c r="Q7" s="128"/>
    </row>
    <row r="8" spans="1:19" ht="12.75" customHeight="1">
      <c r="A8" s="241" t="s">
        <v>58</v>
      </c>
      <c r="B8" s="244" t="s">
        <v>1</v>
      </c>
      <c r="C8" s="247" t="s">
        <v>59</v>
      </c>
      <c r="D8" s="250" t="s">
        <v>3</v>
      </c>
      <c r="E8" s="253" t="s">
        <v>60</v>
      </c>
      <c r="F8" s="254"/>
      <c r="G8" s="266" t="s">
        <v>111</v>
      </c>
      <c r="H8" s="267"/>
      <c r="I8" s="162"/>
      <c r="J8" s="274" t="s">
        <v>10</v>
      </c>
      <c r="K8" s="275"/>
      <c r="L8" s="275"/>
      <c r="M8" s="275"/>
      <c r="N8" s="275"/>
      <c r="O8" s="275"/>
      <c r="P8" s="275"/>
      <c r="Q8" s="276"/>
      <c r="R8" s="257" t="s">
        <v>61</v>
      </c>
      <c r="S8" s="257" t="s">
        <v>12</v>
      </c>
    </row>
    <row r="9" spans="1:19" ht="12.75">
      <c r="A9" s="242"/>
      <c r="B9" s="245"/>
      <c r="C9" s="248"/>
      <c r="D9" s="251"/>
      <c r="E9" s="255"/>
      <c r="F9" s="256"/>
      <c r="G9" s="268"/>
      <c r="H9" s="269"/>
      <c r="I9" s="163"/>
      <c r="J9" s="277"/>
      <c r="K9" s="278"/>
      <c r="L9" s="278"/>
      <c r="M9" s="278"/>
      <c r="N9" s="278"/>
      <c r="O9" s="278"/>
      <c r="P9" s="278"/>
      <c r="Q9" s="279"/>
      <c r="R9" s="258"/>
      <c r="S9" s="258"/>
    </row>
    <row r="10" spans="1:19" ht="26.25" customHeight="1">
      <c r="A10" s="242"/>
      <c r="B10" s="245"/>
      <c r="C10" s="248"/>
      <c r="D10" s="251"/>
      <c r="E10" s="260" t="s">
        <v>62</v>
      </c>
      <c r="F10" s="261"/>
      <c r="G10" s="129" t="s">
        <v>63</v>
      </c>
      <c r="H10" s="262" t="s">
        <v>7</v>
      </c>
      <c r="I10" s="239" t="s">
        <v>117</v>
      </c>
      <c r="J10" s="263" t="s">
        <v>64</v>
      </c>
      <c r="K10" s="265" t="s">
        <v>112</v>
      </c>
      <c r="L10" s="265" t="s">
        <v>65</v>
      </c>
      <c r="M10" s="265" t="s">
        <v>37</v>
      </c>
      <c r="N10" s="265" t="s">
        <v>66</v>
      </c>
      <c r="O10" s="233" t="s">
        <v>38</v>
      </c>
      <c r="P10" s="233" t="s">
        <v>113</v>
      </c>
      <c r="Q10" s="235" t="s">
        <v>39</v>
      </c>
      <c r="R10" s="258"/>
      <c r="S10" s="258"/>
    </row>
    <row r="11" spans="1:19" ht="66.75" customHeight="1" thickBot="1">
      <c r="A11" s="243"/>
      <c r="B11" s="246"/>
      <c r="C11" s="249"/>
      <c r="D11" s="252"/>
      <c r="E11" s="130" t="s">
        <v>67</v>
      </c>
      <c r="F11" s="131" t="s">
        <v>21</v>
      </c>
      <c r="G11" s="132" t="s">
        <v>114</v>
      </c>
      <c r="H11" s="235"/>
      <c r="I11" s="240"/>
      <c r="J11" s="264"/>
      <c r="K11" s="233"/>
      <c r="L11" s="233"/>
      <c r="M11" s="233"/>
      <c r="N11" s="233"/>
      <c r="O11" s="234"/>
      <c r="P11" s="234"/>
      <c r="Q11" s="236"/>
      <c r="R11" s="259"/>
      <c r="S11" s="259"/>
    </row>
    <row r="12" spans="1:19" ht="13.5" thickBot="1">
      <c r="A12" s="20">
        <v>1</v>
      </c>
      <c r="B12" s="21">
        <v>2</v>
      </c>
      <c r="C12" s="20">
        <v>3</v>
      </c>
      <c r="D12" s="21">
        <v>4</v>
      </c>
      <c r="E12" s="20">
        <v>5</v>
      </c>
      <c r="F12" s="21">
        <v>6</v>
      </c>
      <c r="G12" s="20">
        <v>7</v>
      </c>
      <c r="H12" s="21">
        <v>8</v>
      </c>
      <c r="I12" s="20">
        <v>9</v>
      </c>
      <c r="J12" s="21">
        <v>10</v>
      </c>
      <c r="K12" s="20">
        <v>11</v>
      </c>
      <c r="L12" s="21">
        <v>12</v>
      </c>
      <c r="M12" s="20">
        <v>13</v>
      </c>
      <c r="N12" s="21">
        <v>14</v>
      </c>
      <c r="O12" s="20">
        <v>15</v>
      </c>
      <c r="P12" s="21">
        <v>16</v>
      </c>
      <c r="Q12" s="20">
        <v>17</v>
      </c>
      <c r="R12" s="21">
        <v>18</v>
      </c>
      <c r="S12" s="20">
        <v>19</v>
      </c>
    </row>
    <row r="13" spans="1:19" ht="13.5" thickBot="1">
      <c r="A13" s="237" t="s">
        <v>115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133"/>
      <c r="R13" s="134"/>
      <c r="S13" s="134"/>
    </row>
    <row r="14" spans="1:21" s="15" customFormat="1" ht="13.5" thickBot="1">
      <c r="A14" s="34" t="s">
        <v>54</v>
      </c>
      <c r="B14" s="35"/>
      <c r="C14" s="135">
        <f>'2012 полн'!C24</f>
        <v>1209373.17</v>
      </c>
      <c r="D14" s="135">
        <f>'2012 полн'!D24</f>
        <v>205045.83477125003</v>
      </c>
      <c r="E14" s="135">
        <f>'2012 полн'!U24</f>
        <v>1009939.67</v>
      </c>
      <c r="F14" s="135">
        <f>'2012 полн'!V24</f>
        <v>94734.06</v>
      </c>
      <c r="G14" s="135">
        <f>'2012 полн'!AF8</f>
        <v>600363.45</v>
      </c>
      <c r="H14" s="135">
        <f>'2012 полн'!AG8</f>
        <v>896930.3447712502</v>
      </c>
      <c r="I14" s="135">
        <f>'2012 полн'!AJ8</f>
        <v>40474.221119999995</v>
      </c>
      <c r="J14" s="135">
        <f>'2012 полн'!AK8</f>
        <v>57421.392</v>
      </c>
      <c r="K14" s="135">
        <f>'2012 полн'!AL8</f>
        <v>19240.8737816</v>
      </c>
      <c r="L14" s="135">
        <f>'2012 полн'!AM8+'2012 полн'!AO8+'2012 полн'!AP8+'2012 полн'!AT8+'2012 полн'!AX8</f>
        <v>409097.9760182182</v>
      </c>
      <c r="M14" s="135">
        <f>'2012 полн'!AU8+'2012 полн'!AV8+'2012 полн'!AW8</f>
        <v>373647.5366</v>
      </c>
      <c r="N14" s="135">
        <f>'2012 полн'!AY8</f>
        <v>36713.6336</v>
      </c>
      <c r="O14" s="135"/>
      <c r="P14" s="135">
        <f>'2012 полн'!BD8</f>
        <v>16642.9764831236</v>
      </c>
      <c r="Q14" s="135">
        <f>'2012 полн'!BE8</f>
        <v>912764.3884829418</v>
      </c>
      <c r="R14" s="135">
        <f>'2012 полн'!BF8</f>
        <v>-24859.802591691754</v>
      </c>
      <c r="S14" s="135">
        <f>'2012 полн'!BG8</f>
        <v>-39790.149999999994</v>
      </c>
      <c r="T14" s="36"/>
      <c r="U14" s="32"/>
    </row>
    <row r="15" spans="1:21" ht="12.75">
      <c r="A15" s="4" t="s">
        <v>110</v>
      </c>
      <c r="B15" s="136"/>
      <c r="C15" s="33"/>
      <c r="D15" s="137"/>
      <c r="E15" s="138"/>
      <c r="F15" s="139"/>
      <c r="G15" s="140"/>
      <c r="H15" s="139"/>
      <c r="I15" s="161"/>
      <c r="J15" s="140"/>
      <c r="K15" s="141"/>
      <c r="L15" s="141"/>
      <c r="M15" s="142"/>
      <c r="N15" s="143"/>
      <c r="O15" s="144"/>
      <c r="P15" s="144"/>
      <c r="Q15" s="145"/>
      <c r="R15" s="146"/>
      <c r="S15" s="146"/>
      <c r="T15" s="60"/>
      <c r="U15" s="60"/>
    </row>
    <row r="16" spans="1:21" ht="12.75">
      <c r="A16" s="72" t="s">
        <v>45</v>
      </c>
      <c r="B16" s="147">
        <f>'2012 полн'!B10</f>
        <v>3599.5</v>
      </c>
      <c r="C16" s="24">
        <f>'2012 полн'!C10</f>
        <v>30775.725000000002</v>
      </c>
      <c r="D16" s="148">
        <f>'2012 полн'!D10</f>
        <v>267.75</v>
      </c>
      <c r="E16" s="141">
        <f>'2012 полн'!U10</f>
        <v>30994.339999999997</v>
      </c>
      <c r="F16" s="141">
        <f>'2012 полн'!V10</f>
        <v>0</v>
      </c>
      <c r="G16" s="149">
        <f>'2012 полн'!AF10</f>
        <v>23045.08</v>
      </c>
      <c r="H16" s="149">
        <f>'2012 полн'!AG10</f>
        <v>23312.83</v>
      </c>
      <c r="I16" s="149">
        <f>'2012 полн'!AJ10</f>
        <v>2335.6839999999997</v>
      </c>
      <c r="J16" s="149">
        <f>'2012 полн'!AK10</f>
        <v>2411.665</v>
      </c>
      <c r="K16" s="141">
        <f>'2012 полн'!AL10</f>
        <v>719.9000000000001</v>
      </c>
      <c r="L16" s="141">
        <f>'2012 полн'!AM10+'2012 полн'!AN10+'2012 полн'!AO10+'2012 полн'!AP10+'2012 полн'!AQ10+'2012 полн'!AR10+'2012 полн'!AS10+'2012 полн'!AT10+'2012 полн'!AX10</f>
        <v>25347.585</v>
      </c>
      <c r="M16" s="142">
        <f>'2012 полн'!AU10+'2012 полн'!AV10+'2012 полн'!AW10</f>
        <v>0</v>
      </c>
      <c r="N16" s="142">
        <v>0</v>
      </c>
      <c r="O16" s="150"/>
      <c r="P16" s="150">
        <f>'2012 полн'!BE10</f>
        <v>29898.228</v>
      </c>
      <c r="Q16" s="145">
        <f>'2012 полн'!BF10</f>
        <v>-4249.713999999996</v>
      </c>
      <c r="R16" s="146">
        <f>'2012 полн'!BG10</f>
        <v>-7949.259999999995</v>
      </c>
      <c r="S16" s="146" t="e">
        <f>'2012 полн'!#REF!</f>
        <v>#REF!</v>
      </c>
      <c r="T16" s="60"/>
      <c r="U16" s="60"/>
    </row>
    <row r="17" spans="1:21" ht="12.75">
      <c r="A17" s="72" t="s">
        <v>46</v>
      </c>
      <c r="B17" s="147">
        <f>'2012 полн'!B11</f>
        <v>3597.3</v>
      </c>
      <c r="C17" s="24">
        <f>'2012 полн'!C11</f>
        <v>30756.915000000005</v>
      </c>
      <c r="D17" s="148">
        <f>'2012 полн'!D11</f>
        <v>267.75</v>
      </c>
      <c r="E17" s="141">
        <f>'2012 полн'!U11</f>
        <v>30231.94</v>
      </c>
      <c r="F17" s="141">
        <f>'2012 полн'!V11</f>
        <v>0</v>
      </c>
      <c r="G17" s="149">
        <f>'2012 полн'!AF11</f>
        <v>24544.06</v>
      </c>
      <c r="H17" s="149">
        <f>'2012 полн'!AG11</f>
        <v>24811.81</v>
      </c>
      <c r="I17" s="149">
        <f>'2012 полн'!AJ11</f>
        <v>2335.6839999999997</v>
      </c>
      <c r="J17" s="149">
        <f>'2012 полн'!AK11</f>
        <v>2410.1910000000003</v>
      </c>
      <c r="K17" s="141">
        <f>'2012 полн'!AL11</f>
        <v>719.46</v>
      </c>
      <c r="L17" s="141">
        <f>'2012 полн'!AM11+'2012 полн'!AN11+'2012 полн'!AO11+'2012 полн'!AP11+'2012 полн'!AQ11+'2012 полн'!AR11+'2012 полн'!AS11+'2012 полн'!AT11+'2012 полн'!AX11</f>
        <v>26114.343000000004</v>
      </c>
      <c r="M17" s="142">
        <f>'2012 полн'!AU11+'2012 полн'!AV11+'2012 полн'!AW11</f>
        <v>0</v>
      </c>
      <c r="N17" s="142">
        <v>0</v>
      </c>
      <c r="O17" s="150"/>
      <c r="P17" s="150">
        <f>'2012 полн'!BE11</f>
        <v>30663.072000000004</v>
      </c>
      <c r="Q17" s="145">
        <f>'2012 полн'!BF11</f>
        <v>-3515.5780000000013</v>
      </c>
      <c r="R17" s="146">
        <f>'2012 полн'!BG11</f>
        <v>-5687.879999999997</v>
      </c>
      <c r="S17" s="146" t="e">
        <f>'2012 полн'!#REF!</f>
        <v>#REF!</v>
      </c>
      <c r="T17" s="60"/>
      <c r="U17" s="60"/>
    </row>
    <row r="18" spans="1:21" ht="12.75">
      <c r="A18" s="72" t="s">
        <v>47</v>
      </c>
      <c r="B18" s="147">
        <f>'2012 полн'!B12</f>
        <v>3597.3</v>
      </c>
      <c r="C18" s="24">
        <f>'2012 полн'!C12</f>
        <v>30756.915000000005</v>
      </c>
      <c r="D18" s="148">
        <f>'2012 полн'!D12</f>
        <v>267.75</v>
      </c>
      <c r="E18" s="141">
        <f>'2012 полн'!U12</f>
        <v>30637.22</v>
      </c>
      <c r="F18" s="141">
        <f>'2012 полн'!V12</f>
        <v>0</v>
      </c>
      <c r="G18" s="149">
        <f>'2012 полн'!AF12</f>
        <v>35505.5</v>
      </c>
      <c r="H18" s="149">
        <f>'2012 полн'!AG12</f>
        <v>35773.25</v>
      </c>
      <c r="I18" s="149">
        <f>'2012 полн'!AJ12</f>
        <v>2335.6839999999997</v>
      </c>
      <c r="J18" s="149">
        <f>'2012 полн'!AK12</f>
        <v>2410.1910000000003</v>
      </c>
      <c r="K18" s="141">
        <f>'2012 полн'!AL12</f>
        <v>719.46</v>
      </c>
      <c r="L18" s="141">
        <f>'2012 полн'!AM12+'2012 полн'!AN12+'2012 полн'!AO12+'2012 полн'!AP12+'2012 полн'!AQ12+'2012 полн'!AR12+'2012 полн'!AS12+'2012 полн'!AT12+'2012 полн'!AX12</f>
        <v>26171.783000000003</v>
      </c>
      <c r="M18" s="142">
        <f>'2012 полн'!AU12+'2012 полн'!AV12+'2012 полн'!AW12</f>
        <v>2073</v>
      </c>
      <c r="N18" s="142">
        <v>0</v>
      </c>
      <c r="O18" s="150"/>
      <c r="P18" s="150">
        <f>'2012 полн'!BE12</f>
        <v>32793.512</v>
      </c>
      <c r="Q18" s="145">
        <f>'2012 полн'!BF12</f>
        <v>5315.421999999999</v>
      </c>
      <c r="R18" s="146">
        <f>'2012 полн'!BG12</f>
        <v>4868.279999999999</v>
      </c>
      <c r="S18" s="146" t="e">
        <f>'2012 полн'!#REF!</f>
        <v>#REF!</v>
      </c>
      <c r="T18" s="60"/>
      <c r="U18" s="60"/>
    </row>
    <row r="19" spans="1:21" ht="12.75">
      <c r="A19" s="72" t="s">
        <v>48</v>
      </c>
      <c r="B19" s="147">
        <f>'2012 полн'!B13</f>
        <v>3597.3</v>
      </c>
      <c r="C19" s="24">
        <f>'2012 полн'!C13</f>
        <v>30756.915000000005</v>
      </c>
      <c r="D19" s="148">
        <f>'2012 полн'!D13</f>
        <v>267.75</v>
      </c>
      <c r="E19" s="141">
        <f>'2012 полн'!U13</f>
        <v>30613.24</v>
      </c>
      <c r="F19" s="141">
        <f>'2012 полн'!V13</f>
        <v>0</v>
      </c>
      <c r="G19" s="149">
        <f>'2012 полн'!AF13</f>
        <v>30623.920000000002</v>
      </c>
      <c r="H19" s="149">
        <f>'2012 полн'!AG13</f>
        <v>30891.670000000002</v>
      </c>
      <c r="I19" s="149">
        <f>'2012 полн'!AJ13</f>
        <v>2335.6839999999997</v>
      </c>
      <c r="J19" s="149">
        <f>'2012 полн'!AK13</f>
        <v>2410.1910000000003</v>
      </c>
      <c r="K19" s="141">
        <f>'2012 полн'!AL13</f>
        <v>719.46</v>
      </c>
      <c r="L19" s="141">
        <f>'2012 полн'!AM13+'2012 полн'!AN13+'2012 полн'!AO13+'2012 полн'!AP13+'2012 полн'!AQ13+'2012 полн'!AR13+'2012 полн'!AS13+'2012 полн'!AT13+'2012 полн'!AX13</f>
        <v>21473.888000000003</v>
      </c>
      <c r="M19" s="142">
        <f>'2012 полн'!AU13+'2012 полн'!AV13+'2012 полн'!AW13</f>
        <v>6450</v>
      </c>
      <c r="N19" s="142">
        <v>0</v>
      </c>
      <c r="O19" s="150"/>
      <c r="P19" s="150">
        <f>'2012 полн'!BE13</f>
        <v>32472.617000000002</v>
      </c>
      <c r="Q19" s="145">
        <f>'2012 полн'!BF13</f>
        <v>754.7369999999974</v>
      </c>
      <c r="R19" s="146">
        <f>'2012 полн'!BG13</f>
        <v>10.680000000000291</v>
      </c>
      <c r="S19" s="146" t="e">
        <f>'2012 полн'!#REF!</f>
        <v>#REF!</v>
      </c>
      <c r="T19" s="60"/>
      <c r="U19" s="60"/>
    </row>
    <row r="20" spans="1:21" ht="12.75">
      <c r="A20" s="72" t="s">
        <v>49</v>
      </c>
      <c r="B20" s="147">
        <f>'2012 полн'!B14</f>
        <v>3597.3</v>
      </c>
      <c r="C20" s="24">
        <f>'2012 полн'!C14</f>
        <v>30756.915000000005</v>
      </c>
      <c r="D20" s="148">
        <f>'2012 полн'!D14</f>
        <v>267.75</v>
      </c>
      <c r="E20" s="141">
        <f>'2012 полн'!U14</f>
        <v>30605.83</v>
      </c>
      <c r="F20" s="141">
        <f>'2012 полн'!V14</f>
        <v>0</v>
      </c>
      <c r="G20" s="149">
        <f>'2012 полн'!AF14</f>
        <v>33800.92</v>
      </c>
      <c r="H20" s="149">
        <f>'2012 полн'!AG14</f>
        <v>34068.67</v>
      </c>
      <c r="I20" s="149">
        <f>'2012 полн'!AJ14</f>
        <v>2335.6839999999997</v>
      </c>
      <c r="J20" s="149">
        <f>'2012 полн'!AK14</f>
        <v>2410.1910000000003</v>
      </c>
      <c r="K20" s="141">
        <f>'2012 полн'!AL14</f>
        <v>719.46</v>
      </c>
      <c r="L20" s="141">
        <f>'2012 полн'!AM14+'2012 полн'!AN14+'2012 полн'!AO14+'2012 полн'!AP14+'2012 полн'!AQ14+'2012 полн'!AR14+'2012 полн'!AS14+'2012 полн'!AT14+'2012 полн'!AX14</f>
        <v>21506.148</v>
      </c>
      <c r="M20" s="142">
        <f>'2012 полн'!AU14+'2012 полн'!AV14+'2012 полн'!AW14</f>
        <v>5496</v>
      </c>
      <c r="N20" s="142">
        <v>0</v>
      </c>
      <c r="O20" s="150"/>
      <c r="P20" s="150">
        <f>'2012 полн'!BE14</f>
        <v>31550.877</v>
      </c>
      <c r="Q20" s="145">
        <f>'2012 полн'!BF14</f>
        <v>4853.476999999999</v>
      </c>
      <c r="R20" s="146">
        <f>'2012 полн'!BG14</f>
        <v>3195.0899999999965</v>
      </c>
      <c r="S20" s="146" t="e">
        <f>'2012 полн'!#REF!</f>
        <v>#REF!</v>
      </c>
      <c r="T20" s="60"/>
      <c r="U20" s="60"/>
    </row>
    <row r="21" spans="1:21" ht="12.75">
      <c r="A21" s="72" t="s">
        <v>50</v>
      </c>
      <c r="B21" s="147">
        <f>'2012 полн'!B15</f>
        <v>3597.3</v>
      </c>
      <c r="C21" s="24">
        <f>'2012 полн'!C15</f>
        <v>30756.915000000005</v>
      </c>
      <c r="D21" s="148">
        <f>'2012 полн'!D15</f>
        <v>267.75</v>
      </c>
      <c r="E21" s="141">
        <f>'2012 полн'!U15</f>
        <v>30621.35</v>
      </c>
      <c r="F21" s="141">
        <f>'2012 полн'!V15</f>
        <v>0</v>
      </c>
      <c r="G21" s="149">
        <f>'2012 полн'!AF15</f>
        <v>27298.79</v>
      </c>
      <c r="H21" s="149">
        <f>'2012 полн'!AG15</f>
        <v>27566.54</v>
      </c>
      <c r="I21" s="149">
        <f>'2012 полн'!AJ15</f>
        <v>2335.6839999999997</v>
      </c>
      <c r="J21" s="149">
        <f>'2012 полн'!AK15</f>
        <v>2410.1910000000003</v>
      </c>
      <c r="K21" s="141">
        <f>'2012 полн'!AL15</f>
        <v>719.46</v>
      </c>
      <c r="L21" s="141">
        <f>'2012 полн'!AM15+'2012 полн'!AN15+'2012 полн'!AO15+'2012 полн'!AP15+'2012 полн'!AQ15+'2012 полн'!AR15+'2012 полн'!AS15+'2012 полн'!AT15+'2012 полн'!AX15</f>
        <v>21632.388000000003</v>
      </c>
      <c r="M21" s="142">
        <f>'2012 полн'!AU15+'2012 полн'!AV15+'2012 полн'!AW15</f>
        <v>864</v>
      </c>
      <c r="N21" s="142">
        <v>0</v>
      </c>
      <c r="O21" s="150"/>
      <c r="P21" s="150">
        <f>'2012 полн'!BE15</f>
        <v>27045.117000000002</v>
      </c>
      <c r="Q21" s="145">
        <f>'2012 полн'!BF15</f>
        <v>2857.107</v>
      </c>
      <c r="R21" s="146">
        <f>'2012 полн'!BG15</f>
        <v>-3322.5599999999977</v>
      </c>
      <c r="S21" s="146" t="e">
        <f>'2012 полн'!#REF!</f>
        <v>#REF!</v>
      </c>
      <c r="T21" s="60"/>
      <c r="U21" s="60"/>
    </row>
    <row r="22" spans="1:19" ht="12.75">
      <c r="A22" s="72" t="s">
        <v>51</v>
      </c>
      <c r="B22" s="147">
        <f>'2012 полн'!B16</f>
        <v>3597.3</v>
      </c>
      <c r="C22" s="24">
        <f>'2012 полн'!C16</f>
        <v>30756.915000000005</v>
      </c>
      <c r="D22" s="148">
        <f>'2012 полн'!D16</f>
        <v>267.75</v>
      </c>
      <c r="E22" s="141">
        <f>'2012 полн'!U16</f>
        <v>30609.660000000003</v>
      </c>
      <c r="F22" s="141">
        <f>'2012 полн'!V16</f>
        <v>0</v>
      </c>
      <c r="G22" s="149">
        <f>'2012 полн'!AF16</f>
        <v>29929.61</v>
      </c>
      <c r="H22" s="149">
        <f>'2012 полн'!AG16</f>
        <v>30197.36</v>
      </c>
      <c r="I22" s="149">
        <f>'2012 полн'!AJ16</f>
        <v>2335.6839999999997</v>
      </c>
      <c r="J22" s="149">
        <f>'2012 полн'!AK16</f>
        <v>2410.1910000000003</v>
      </c>
      <c r="K22" s="141">
        <f>'2012 полн'!AL16</f>
        <v>719.46</v>
      </c>
      <c r="L22" s="141">
        <f>'2012 полн'!AM16+'2012 полн'!AN16+'2012 полн'!AO16+'2012 полн'!AP16+'2012 полн'!AQ16+'2012 полн'!AR16+'2012 полн'!AS16+'2012 полн'!AT16+'2012 полн'!AX16</f>
        <v>21273.878000000004</v>
      </c>
      <c r="M22" s="142">
        <f>'2012 полн'!AU16+'2012 полн'!AV16+'2012 полн'!AW16</f>
        <v>0</v>
      </c>
      <c r="N22" s="142">
        <v>0</v>
      </c>
      <c r="O22" s="150"/>
      <c r="P22" s="150">
        <f>'2012 полн'!BE16</f>
        <v>25822.607000000004</v>
      </c>
      <c r="Q22" s="145">
        <f>'2012 полн'!BF16</f>
        <v>6710.436999999998</v>
      </c>
      <c r="R22" s="146">
        <f>'2012 полн'!BG16</f>
        <v>-680.0500000000029</v>
      </c>
      <c r="S22" s="146" t="e">
        <f>'2012 полн'!#REF!</f>
        <v>#REF!</v>
      </c>
    </row>
    <row r="23" spans="1:19" ht="12.75">
      <c r="A23" s="72" t="s">
        <v>52</v>
      </c>
      <c r="B23" s="147">
        <f>'2012 полн'!B17</f>
        <v>3597.3</v>
      </c>
      <c r="C23" s="24">
        <f>'2012 полн'!C17</f>
        <v>30756.915000000005</v>
      </c>
      <c r="D23" s="148">
        <f>'2012 полн'!D17</f>
        <v>267.75</v>
      </c>
      <c r="E23" s="141">
        <f>'2012 полн'!U17</f>
        <v>30605.34</v>
      </c>
      <c r="F23" s="141">
        <f>'2012 полн'!V17</f>
        <v>0</v>
      </c>
      <c r="G23" s="149">
        <f>'2012 полн'!AF17</f>
        <v>24302.989999999998</v>
      </c>
      <c r="H23" s="149">
        <f>'2012 полн'!AG17</f>
        <v>24570.739999999998</v>
      </c>
      <c r="I23" s="149">
        <f>'2012 полн'!AJ17</f>
        <v>2335.6839999999997</v>
      </c>
      <c r="J23" s="149">
        <f>'2012 полн'!AK17</f>
        <v>2410.1910000000003</v>
      </c>
      <c r="K23" s="141">
        <f>'2012 полн'!AL17</f>
        <v>719.46</v>
      </c>
      <c r="L23" s="141">
        <f>'2012 полн'!AM17+'2012 полн'!AN17+'2012 полн'!AO17+'2012 полн'!AP17+'2012 полн'!AQ17+'2012 полн'!AR17+'2012 полн'!AS17+'2012 полн'!AT17+'2012 полн'!AX17</f>
        <v>21133.488</v>
      </c>
      <c r="M23" s="142">
        <f>'2012 полн'!AU17+'2012 полн'!AV17+'2012 полн'!AW17</f>
        <v>0</v>
      </c>
      <c r="N23" s="142">
        <v>0</v>
      </c>
      <c r="O23" s="150"/>
      <c r="P23" s="150">
        <f>'2012 полн'!BE17</f>
        <v>25682.217</v>
      </c>
      <c r="Q23" s="145">
        <f>'2012 полн'!BF17</f>
        <v>1224.2069999999985</v>
      </c>
      <c r="R23" s="146">
        <f>'2012 полн'!BG17</f>
        <v>-6302.350000000002</v>
      </c>
      <c r="S23" s="146" t="e">
        <f>'2012 полн'!#REF!</f>
        <v>#REF!</v>
      </c>
    </row>
    <row r="24" spans="1:19" ht="12.75">
      <c r="A24" s="72" t="s">
        <v>53</v>
      </c>
      <c r="B24" s="147">
        <f>'2012 полн'!B18</f>
        <v>3597.3</v>
      </c>
      <c r="C24" s="24">
        <f>'2012 полн'!C18</f>
        <v>30756.915000000005</v>
      </c>
      <c r="D24" s="148">
        <f>'2012 полн'!D18</f>
        <v>267.75</v>
      </c>
      <c r="E24" s="141">
        <f>'2012 полн'!U18</f>
        <v>31211.47</v>
      </c>
      <c r="F24" s="141">
        <f>'2012 полн'!V18</f>
        <v>0</v>
      </c>
      <c r="G24" s="149">
        <f>'2012 полн'!AF18</f>
        <v>31962.549999999996</v>
      </c>
      <c r="H24" s="149">
        <f>'2012 полн'!AG18</f>
        <v>32230.299999999996</v>
      </c>
      <c r="I24" s="149">
        <f>'2012 полн'!AJ18</f>
        <v>2335.6839999999997</v>
      </c>
      <c r="J24" s="149">
        <f>'2012 полн'!AK18</f>
        <v>2410.1910000000003</v>
      </c>
      <c r="K24" s="141">
        <f>'2012 полн'!AL18</f>
        <v>719.46</v>
      </c>
      <c r="L24" s="141">
        <f>'2012 полн'!AM18+'2012 полн'!AN18+'2012 полн'!AO18+'2012 полн'!AP18+'2012 полн'!AQ18+'2012 полн'!AR18+'2012 полн'!AS18+'2012 полн'!AT18+'2012 полн'!AX18</f>
        <v>33828.008</v>
      </c>
      <c r="M24" s="142">
        <f>'2012 полн'!AU18+'2012 полн'!AV18+'2012 полн'!AW18</f>
        <v>16257</v>
      </c>
      <c r="N24" s="142">
        <v>0</v>
      </c>
      <c r="O24" s="150"/>
      <c r="P24" s="150">
        <f>'2012 полн'!BE18</f>
        <v>54633.73700000001</v>
      </c>
      <c r="Q24" s="145">
        <f>'2012 полн'!BF18</f>
        <v>-20067.75300000001</v>
      </c>
      <c r="R24" s="146">
        <f>'2012 полн'!BG18</f>
        <v>751.0799999999945</v>
      </c>
      <c r="S24" s="146" t="e">
        <f>'2012 полн'!#REF!</f>
        <v>#REF!</v>
      </c>
    </row>
    <row r="25" spans="1:19" ht="13.5" thickBot="1">
      <c r="A25" s="72" t="s">
        <v>41</v>
      </c>
      <c r="B25" s="147">
        <f>'2012 полн'!B19</f>
        <v>3597.3</v>
      </c>
      <c r="C25" s="24">
        <f>'2012 полн'!C19</f>
        <v>30756.915000000005</v>
      </c>
      <c r="D25" s="148">
        <f>'2012 полн'!D19</f>
        <v>267.75</v>
      </c>
      <c r="E25" s="141">
        <f>'2012 полн'!U19</f>
        <v>31214.32</v>
      </c>
      <c r="F25" s="141">
        <f>'2012 полн'!V19</f>
        <v>0</v>
      </c>
      <c r="G25" s="149">
        <f>'2012 полн'!AF19</f>
        <v>28788.87</v>
      </c>
      <c r="H25" s="149">
        <f>'2012 полн'!AG19</f>
        <v>29056.62</v>
      </c>
      <c r="I25" s="149">
        <f>'2012 полн'!AJ19</f>
        <v>2335.6839999999997</v>
      </c>
      <c r="J25" s="149">
        <f>'2012 полн'!AK19</f>
        <v>2410.1910000000003</v>
      </c>
      <c r="K25" s="141">
        <f>'2012 полн'!AL19</f>
        <v>719.46</v>
      </c>
      <c r="L25" s="141">
        <f>'2012 полн'!AM19+'2012 полн'!AN19+'2012 полн'!AO19+'2012 полн'!AP19+'2012 полн'!AQ19+'2012 полн'!AR19+'2012 полн'!AS19+'2012 полн'!AT19+'2012 полн'!AX19</f>
        <v>25467.553000000004</v>
      </c>
      <c r="M25" s="142">
        <f>'2012 полн'!AU19+'2012 полн'!AV19+'2012 полн'!AW19</f>
        <v>0</v>
      </c>
      <c r="N25" s="142">
        <v>0</v>
      </c>
      <c r="O25" s="150"/>
      <c r="P25" s="150">
        <f>'2012 полн'!BE19</f>
        <v>30016.282000000003</v>
      </c>
      <c r="Q25" s="145">
        <f>'2012 полн'!BF19</f>
        <v>1376.0219999999972</v>
      </c>
      <c r="R25" s="146">
        <f>'2012 полн'!BG19</f>
        <v>-2425.4500000000007</v>
      </c>
      <c r="S25" s="146" t="e">
        <f>'2012 полн'!#REF!</f>
        <v>#REF!</v>
      </c>
    </row>
    <row r="26" spans="1:21" s="15" customFormat="1" ht="13.5" thickBot="1">
      <c r="A26" s="26" t="s">
        <v>5</v>
      </c>
      <c r="B26" s="151"/>
      <c r="C26" s="152">
        <f aca="true" t="shared" si="0" ref="C26:R26">SUM(C16:C25)</f>
        <v>307587.96</v>
      </c>
      <c r="D26" s="152">
        <f t="shared" si="0"/>
        <v>2677.5</v>
      </c>
      <c r="E26" s="152">
        <f t="shared" si="0"/>
        <v>307344.71</v>
      </c>
      <c r="F26" s="152">
        <f t="shared" si="0"/>
        <v>0</v>
      </c>
      <c r="G26" s="152">
        <f t="shared" si="0"/>
        <v>289802.29</v>
      </c>
      <c r="H26" s="152">
        <f t="shared" si="0"/>
        <v>292479.79</v>
      </c>
      <c r="I26" s="152">
        <f t="shared" si="0"/>
        <v>23356.84</v>
      </c>
      <c r="J26" s="152">
        <f t="shared" si="0"/>
        <v>24103.384</v>
      </c>
      <c r="K26" s="152">
        <f t="shared" si="0"/>
        <v>7195.040000000001</v>
      </c>
      <c r="L26" s="152">
        <f t="shared" si="0"/>
        <v>243949.06200000003</v>
      </c>
      <c r="M26" s="152">
        <f t="shared" si="0"/>
        <v>31140</v>
      </c>
      <c r="N26" s="152">
        <f t="shared" si="0"/>
        <v>0</v>
      </c>
      <c r="O26" s="152">
        <f t="shared" si="0"/>
        <v>0</v>
      </c>
      <c r="P26" s="152">
        <f t="shared" si="0"/>
        <v>320578.26600000006</v>
      </c>
      <c r="Q26" s="152">
        <f t="shared" si="0"/>
        <v>-4741.63600000002</v>
      </c>
      <c r="R26" s="152">
        <f t="shared" si="0"/>
        <v>-17542.420000000006</v>
      </c>
      <c r="S26" s="152" t="e">
        <f>SUM(S16:S25)</f>
        <v>#REF!</v>
      </c>
      <c r="T26" s="32"/>
      <c r="U26" s="32"/>
    </row>
    <row r="27" spans="1:19" ht="13.5" thickBot="1">
      <c r="A27" s="237" t="s">
        <v>68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133"/>
      <c r="R27" s="134"/>
      <c r="S27" s="134"/>
    </row>
    <row r="28" spans="1:21" s="15" customFormat="1" ht="13.5" thickBot="1">
      <c r="A28" s="34" t="s">
        <v>54</v>
      </c>
      <c r="B28" s="35"/>
      <c r="C28" s="135">
        <f aca="true" t="shared" si="1" ref="C28:S28">C26+C14</f>
        <v>1516961.13</v>
      </c>
      <c r="D28" s="135">
        <f t="shared" si="1"/>
        <v>207723.33477125003</v>
      </c>
      <c r="E28" s="135">
        <f t="shared" si="1"/>
        <v>1317284.3800000001</v>
      </c>
      <c r="F28" s="135">
        <f t="shared" si="1"/>
        <v>94734.06</v>
      </c>
      <c r="G28" s="135">
        <f>G26+G14</f>
        <v>890165.74</v>
      </c>
      <c r="H28" s="135">
        <f t="shared" si="1"/>
        <v>1189410.1347712502</v>
      </c>
      <c r="I28" s="135">
        <f t="shared" si="1"/>
        <v>63831.06112</v>
      </c>
      <c r="J28" s="135">
        <f t="shared" si="1"/>
        <v>81524.776</v>
      </c>
      <c r="K28" s="135">
        <f t="shared" si="1"/>
        <v>26435.9137816</v>
      </c>
      <c r="L28" s="135">
        <f t="shared" si="1"/>
        <v>653047.0380182182</v>
      </c>
      <c r="M28" s="135">
        <f t="shared" si="1"/>
        <v>404787.5366</v>
      </c>
      <c r="N28" s="135">
        <f t="shared" si="1"/>
        <v>36713.6336</v>
      </c>
      <c r="O28" s="135">
        <f t="shared" si="1"/>
        <v>0</v>
      </c>
      <c r="P28" s="135">
        <f t="shared" si="1"/>
        <v>337221.2424831237</v>
      </c>
      <c r="Q28" s="135">
        <f t="shared" si="1"/>
        <v>908022.7524829417</v>
      </c>
      <c r="R28" s="135">
        <f t="shared" si="1"/>
        <v>-42402.22259169176</v>
      </c>
      <c r="S28" s="135" t="e">
        <f t="shared" si="1"/>
        <v>#REF!</v>
      </c>
      <c r="T28" s="36"/>
      <c r="U28" s="32"/>
    </row>
    <row r="31" spans="1:4" ht="12.75">
      <c r="A31" s="15" t="s">
        <v>69</v>
      </c>
      <c r="D31" s="153" t="s">
        <v>123</v>
      </c>
    </row>
    <row r="32" spans="1:4" ht="12.75">
      <c r="A32" s="70" t="s">
        <v>70</v>
      </c>
      <c r="B32" s="70" t="s">
        <v>71</v>
      </c>
      <c r="C32" s="229" t="s">
        <v>72</v>
      </c>
      <c r="D32" s="230"/>
    </row>
    <row r="33" spans="1:4" ht="12.75">
      <c r="A33" s="154">
        <v>297540.71</v>
      </c>
      <c r="B33" s="212">
        <v>288006.45</v>
      </c>
      <c r="C33" s="231">
        <f>A33-B33</f>
        <v>9534.26000000001</v>
      </c>
      <c r="D33" s="232"/>
    </row>
    <row r="34" ht="12.75">
      <c r="A34" s="37"/>
    </row>
    <row r="35" spans="1:7" ht="12.75">
      <c r="A35" s="61" t="s">
        <v>73</v>
      </c>
      <c r="G35" s="61" t="s">
        <v>74</v>
      </c>
    </row>
    <row r="36" ht="12.75">
      <c r="A36" s="60"/>
    </row>
    <row r="37" ht="12.75">
      <c r="A37" s="60"/>
    </row>
    <row r="38" ht="12.75">
      <c r="A38" s="61" t="s">
        <v>116</v>
      </c>
    </row>
    <row r="39" ht="12.75">
      <c r="A39" s="61" t="s">
        <v>75</v>
      </c>
    </row>
  </sheetData>
  <sheetProtection/>
  <mergeCells count="30">
    <mergeCell ref="N10:N11"/>
    <mergeCell ref="O10:O11"/>
    <mergeCell ref="G8:H9"/>
    <mergeCell ref="B1:H1"/>
    <mergeCell ref="B2:H2"/>
    <mergeCell ref="A5:P5"/>
    <mergeCell ref="A6:G6"/>
    <mergeCell ref="A7:D7"/>
    <mergeCell ref="E7:F7"/>
    <mergeCell ref="J8:Q9"/>
    <mergeCell ref="D8:D11"/>
    <mergeCell ref="E8:F9"/>
    <mergeCell ref="R8:R11"/>
    <mergeCell ref="S8:S11"/>
    <mergeCell ref="E10:F10"/>
    <mergeCell ref="H10:H11"/>
    <mergeCell ref="J10:J11"/>
    <mergeCell ref="K10:K11"/>
    <mergeCell ref="L10:L11"/>
    <mergeCell ref="M10:M11"/>
    <mergeCell ref="C32:D32"/>
    <mergeCell ref="C33:D33"/>
    <mergeCell ref="P10:P11"/>
    <mergeCell ref="Q10:Q11"/>
    <mergeCell ref="A13:P13"/>
    <mergeCell ref="A27:P27"/>
    <mergeCell ref="I10:I11"/>
    <mergeCell ref="A8:A11"/>
    <mergeCell ref="B8:B11"/>
    <mergeCell ref="C8:C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2" ySplit="7" topLeftCell="AM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U14" sqref="AU14"/>
    </sheetView>
  </sheetViews>
  <sheetFormatPr defaultColWidth="9.00390625" defaultRowHeight="12.75"/>
  <cols>
    <col min="1" max="1" width="8.75390625" style="61" bestFit="1" customWidth="1"/>
    <col min="2" max="2" width="9.125" style="61" customWidth="1"/>
    <col min="3" max="3" width="10.125" style="61" customWidth="1"/>
    <col min="4" max="4" width="10.375" style="61" customWidth="1"/>
    <col min="5" max="6" width="9.125" style="61" customWidth="1"/>
    <col min="7" max="7" width="10.25390625" style="61" customWidth="1"/>
    <col min="8" max="8" width="9.125" style="61" customWidth="1"/>
    <col min="9" max="9" width="9.875" style="61" customWidth="1"/>
    <col min="10" max="10" width="9.125" style="61" customWidth="1"/>
    <col min="11" max="11" width="10.375" style="61" customWidth="1"/>
    <col min="12" max="14" width="9.125" style="61" customWidth="1"/>
    <col min="15" max="15" width="10.125" style="61" bestFit="1" customWidth="1"/>
    <col min="16" max="18" width="9.125" style="61" customWidth="1"/>
    <col min="19" max="19" width="10.125" style="61" bestFit="1" customWidth="1"/>
    <col min="20" max="20" width="10.125" style="61" customWidth="1"/>
    <col min="21" max="22" width="9.125" style="61" customWidth="1"/>
    <col min="23" max="23" width="10.625" style="61" customWidth="1"/>
    <col min="24" max="24" width="10.125" style="61" customWidth="1"/>
    <col min="25" max="27" width="9.125" style="61" customWidth="1"/>
    <col min="28" max="28" width="10.125" style="61" bestFit="1" customWidth="1"/>
    <col min="29" max="30" width="11.375" style="61" customWidth="1"/>
    <col min="31" max="31" width="9.25390625" style="61" bestFit="1" customWidth="1"/>
    <col min="32" max="32" width="11.25390625" style="61" customWidth="1"/>
    <col min="33" max="33" width="10.25390625" style="61" customWidth="1"/>
    <col min="34" max="38" width="9.25390625" style="61" bestFit="1" customWidth="1"/>
    <col min="39" max="39" width="10.125" style="61" bestFit="1" customWidth="1"/>
    <col min="40" max="42" width="9.25390625" style="61" bestFit="1" customWidth="1"/>
    <col min="43" max="44" width="9.25390625" style="61" customWidth="1"/>
    <col min="45" max="45" width="10.125" style="61" bestFit="1" customWidth="1"/>
    <col min="46" max="46" width="10.125" style="61" customWidth="1"/>
    <col min="47" max="47" width="9.25390625" style="61" bestFit="1" customWidth="1"/>
    <col min="48" max="49" width="9.25390625" style="61" customWidth="1"/>
    <col min="50" max="50" width="10.625" style="61" customWidth="1"/>
    <col min="51" max="51" width="9.25390625" style="61" bestFit="1" customWidth="1"/>
    <col min="52" max="53" width="10.125" style="61" bestFit="1" customWidth="1"/>
    <col min="54" max="55" width="10.375" style="61" customWidth="1"/>
    <col min="56" max="56" width="10.75390625" style="61" customWidth="1"/>
    <col min="57" max="57" width="14.00390625" style="61" customWidth="1"/>
    <col min="58" max="16384" width="9.125" style="61" customWidth="1"/>
  </cols>
  <sheetData>
    <row r="1" spans="1:18" ht="21" customHeight="1">
      <c r="A1" s="320" t="s">
        <v>121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60"/>
      <c r="P1" s="60"/>
      <c r="Q1" s="60"/>
      <c r="R1" s="60"/>
    </row>
    <row r="2" spans="1:18" ht="13.5" thickBot="1">
      <c r="A2" s="60"/>
      <c r="B2" s="62"/>
      <c r="C2" s="63"/>
      <c r="D2" s="6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57" ht="13.5" customHeight="1">
      <c r="A3" s="241" t="s">
        <v>0</v>
      </c>
      <c r="B3" s="322" t="s">
        <v>1</v>
      </c>
      <c r="C3" s="322" t="s">
        <v>2</v>
      </c>
      <c r="D3" s="322" t="s">
        <v>3</v>
      </c>
      <c r="E3" s="325" t="s">
        <v>4</v>
      </c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08" t="s">
        <v>5</v>
      </c>
      <c r="T3" s="308"/>
      <c r="U3" s="309" t="s">
        <v>6</v>
      </c>
      <c r="V3" s="309"/>
      <c r="W3" s="309"/>
      <c r="X3" s="309"/>
      <c r="Y3" s="309"/>
      <c r="Z3" s="309"/>
      <c r="AA3" s="309"/>
      <c r="AB3" s="309"/>
      <c r="AC3" s="311" t="s">
        <v>94</v>
      </c>
      <c r="AD3" s="311" t="s">
        <v>8</v>
      </c>
      <c r="AE3" s="314" t="s">
        <v>9</v>
      </c>
      <c r="AF3" s="317" t="s">
        <v>76</v>
      </c>
      <c r="AG3" s="297" t="s">
        <v>10</v>
      </c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8" t="s">
        <v>85</v>
      </c>
      <c r="BD3" s="301" t="s">
        <v>11</v>
      </c>
      <c r="BE3" s="304" t="s">
        <v>12</v>
      </c>
    </row>
    <row r="4" spans="1:57" ht="36" customHeight="1" thickBot="1">
      <c r="A4" s="242"/>
      <c r="B4" s="323"/>
      <c r="C4" s="323"/>
      <c r="D4" s="323"/>
      <c r="E4" s="307" t="s">
        <v>13</v>
      </c>
      <c r="F4" s="307"/>
      <c r="G4" s="307" t="s">
        <v>14</v>
      </c>
      <c r="H4" s="307"/>
      <c r="I4" s="307" t="s">
        <v>15</v>
      </c>
      <c r="J4" s="307"/>
      <c r="K4" s="307" t="s">
        <v>16</v>
      </c>
      <c r="L4" s="307"/>
      <c r="M4" s="307" t="s">
        <v>17</v>
      </c>
      <c r="N4" s="307"/>
      <c r="O4" s="307" t="s">
        <v>18</v>
      </c>
      <c r="P4" s="307"/>
      <c r="Q4" s="307" t="s">
        <v>19</v>
      </c>
      <c r="R4" s="307"/>
      <c r="S4" s="307"/>
      <c r="T4" s="307"/>
      <c r="U4" s="310"/>
      <c r="V4" s="310"/>
      <c r="W4" s="310"/>
      <c r="X4" s="310"/>
      <c r="Y4" s="310"/>
      <c r="Z4" s="310"/>
      <c r="AA4" s="310"/>
      <c r="AB4" s="310"/>
      <c r="AC4" s="312"/>
      <c r="AD4" s="312"/>
      <c r="AE4" s="315"/>
      <c r="AF4" s="318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99"/>
      <c r="BD4" s="302"/>
      <c r="BE4" s="305"/>
    </row>
    <row r="5" spans="1:57" ht="29.25" customHeight="1" thickBot="1">
      <c r="A5" s="242"/>
      <c r="B5" s="323"/>
      <c r="C5" s="323"/>
      <c r="D5" s="323"/>
      <c r="E5" s="295" t="s">
        <v>20</v>
      </c>
      <c r="F5" s="295" t="s">
        <v>21</v>
      </c>
      <c r="G5" s="295" t="s">
        <v>20</v>
      </c>
      <c r="H5" s="295" t="s">
        <v>21</v>
      </c>
      <c r="I5" s="295" t="s">
        <v>20</v>
      </c>
      <c r="J5" s="295" t="s">
        <v>21</v>
      </c>
      <c r="K5" s="295" t="s">
        <v>20</v>
      </c>
      <c r="L5" s="295" t="s">
        <v>21</v>
      </c>
      <c r="M5" s="295" t="s">
        <v>20</v>
      </c>
      <c r="N5" s="295" t="s">
        <v>21</v>
      </c>
      <c r="O5" s="295" t="s">
        <v>20</v>
      </c>
      <c r="P5" s="295" t="s">
        <v>21</v>
      </c>
      <c r="Q5" s="295" t="s">
        <v>20</v>
      </c>
      <c r="R5" s="295" t="s">
        <v>21</v>
      </c>
      <c r="S5" s="295" t="s">
        <v>20</v>
      </c>
      <c r="T5" s="295" t="s">
        <v>21</v>
      </c>
      <c r="U5" s="293" t="s">
        <v>22</v>
      </c>
      <c r="V5" s="293" t="s">
        <v>23</v>
      </c>
      <c r="W5" s="293" t="s">
        <v>24</v>
      </c>
      <c r="X5" s="293" t="s">
        <v>25</v>
      </c>
      <c r="Y5" s="293" t="s">
        <v>26</v>
      </c>
      <c r="Z5" s="293" t="s">
        <v>27</v>
      </c>
      <c r="AA5" s="293" t="s">
        <v>28</v>
      </c>
      <c r="AB5" s="293" t="s">
        <v>29</v>
      </c>
      <c r="AC5" s="312"/>
      <c r="AD5" s="312"/>
      <c r="AE5" s="315"/>
      <c r="AF5" s="318"/>
      <c r="AG5" s="280" t="s">
        <v>30</v>
      </c>
      <c r="AH5" s="280" t="s">
        <v>31</v>
      </c>
      <c r="AI5" s="280" t="s">
        <v>32</v>
      </c>
      <c r="AJ5" s="280" t="s">
        <v>33</v>
      </c>
      <c r="AK5" s="280" t="s">
        <v>34</v>
      </c>
      <c r="AL5" s="280" t="s">
        <v>33</v>
      </c>
      <c r="AM5" s="280" t="s">
        <v>35</v>
      </c>
      <c r="AN5" s="280" t="s">
        <v>33</v>
      </c>
      <c r="AO5" s="280" t="s">
        <v>36</v>
      </c>
      <c r="AP5" s="280" t="s">
        <v>33</v>
      </c>
      <c r="AQ5" s="287" t="s">
        <v>77</v>
      </c>
      <c r="AR5" s="289" t="s">
        <v>33</v>
      </c>
      <c r="AS5" s="291" t="s">
        <v>78</v>
      </c>
      <c r="AT5" s="282" t="s">
        <v>79</v>
      </c>
      <c r="AU5" s="282" t="s">
        <v>33</v>
      </c>
      <c r="AV5" s="284" t="s">
        <v>80</v>
      </c>
      <c r="AW5" s="285"/>
      <c r="AX5" s="286"/>
      <c r="AY5" s="280" t="s">
        <v>19</v>
      </c>
      <c r="AZ5" s="280" t="s">
        <v>38</v>
      </c>
      <c r="BA5" s="280" t="s">
        <v>33</v>
      </c>
      <c r="BB5" s="280" t="s">
        <v>39</v>
      </c>
      <c r="BC5" s="299"/>
      <c r="BD5" s="302"/>
      <c r="BE5" s="305"/>
    </row>
    <row r="6" spans="1:57" ht="54" customHeight="1" thickBot="1">
      <c r="A6" s="321"/>
      <c r="B6" s="324"/>
      <c r="C6" s="324"/>
      <c r="D6" s="324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4"/>
      <c r="V6" s="294"/>
      <c r="W6" s="294"/>
      <c r="X6" s="294"/>
      <c r="Y6" s="294"/>
      <c r="Z6" s="294"/>
      <c r="AA6" s="294"/>
      <c r="AB6" s="294"/>
      <c r="AC6" s="313"/>
      <c r="AD6" s="313"/>
      <c r="AE6" s="316"/>
      <c r="AF6" s="319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8"/>
      <c r="AR6" s="290"/>
      <c r="AS6" s="292"/>
      <c r="AT6" s="283"/>
      <c r="AU6" s="283"/>
      <c r="AV6" s="46" t="s">
        <v>81</v>
      </c>
      <c r="AW6" s="46" t="s">
        <v>82</v>
      </c>
      <c r="AX6" s="46" t="s">
        <v>83</v>
      </c>
      <c r="AY6" s="281"/>
      <c r="AZ6" s="281"/>
      <c r="BA6" s="281"/>
      <c r="BB6" s="281"/>
      <c r="BC6" s="300"/>
      <c r="BD6" s="303"/>
      <c r="BE6" s="306"/>
    </row>
    <row r="7" spans="1:57" ht="12.75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  <c r="L7" s="5">
        <v>12</v>
      </c>
      <c r="M7" s="4">
        <v>13</v>
      </c>
      <c r="N7" s="5">
        <v>14</v>
      </c>
      <c r="O7" s="4">
        <v>15</v>
      </c>
      <c r="P7" s="5">
        <v>16</v>
      </c>
      <c r="Q7" s="4">
        <v>17</v>
      </c>
      <c r="R7" s="5">
        <v>18</v>
      </c>
      <c r="S7" s="4">
        <v>19</v>
      </c>
      <c r="T7" s="5">
        <v>20</v>
      </c>
      <c r="U7" s="4">
        <v>21</v>
      </c>
      <c r="V7" s="5">
        <v>22</v>
      </c>
      <c r="W7" s="4">
        <v>23</v>
      </c>
      <c r="X7" s="5">
        <v>24</v>
      </c>
      <c r="Y7" s="4">
        <v>25</v>
      </c>
      <c r="Z7" s="5">
        <v>26</v>
      </c>
      <c r="AA7" s="4">
        <v>27</v>
      </c>
      <c r="AB7" s="5">
        <v>28</v>
      </c>
      <c r="AC7" s="4">
        <v>29</v>
      </c>
      <c r="AD7" s="5">
        <v>30</v>
      </c>
      <c r="AE7" s="4">
        <v>31</v>
      </c>
      <c r="AF7" s="5">
        <v>32</v>
      </c>
      <c r="AG7" s="4">
        <v>33</v>
      </c>
      <c r="AH7" s="5">
        <v>34</v>
      </c>
      <c r="AI7" s="4">
        <v>35</v>
      </c>
      <c r="AJ7" s="5">
        <v>36</v>
      </c>
      <c r="AK7" s="4">
        <v>37</v>
      </c>
      <c r="AL7" s="5">
        <v>38</v>
      </c>
      <c r="AM7" s="4">
        <v>39</v>
      </c>
      <c r="AN7" s="5">
        <v>40</v>
      </c>
      <c r="AO7" s="4">
        <v>41</v>
      </c>
      <c r="AP7" s="5">
        <v>42</v>
      </c>
      <c r="AQ7" s="4">
        <v>43</v>
      </c>
      <c r="AR7" s="5">
        <v>44</v>
      </c>
      <c r="AS7" s="4">
        <v>45</v>
      </c>
      <c r="AT7" s="5">
        <v>46</v>
      </c>
      <c r="AU7" s="4">
        <v>47</v>
      </c>
      <c r="AV7" s="5">
        <v>48</v>
      </c>
      <c r="AW7" s="4">
        <v>49</v>
      </c>
      <c r="AX7" s="5">
        <v>50</v>
      </c>
      <c r="AY7" s="4">
        <v>51</v>
      </c>
      <c r="AZ7" s="5">
        <v>52</v>
      </c>
      <c r="BA7" s="4">
        <v>53</v>
      </c>
      <c r="BB7" s="5">
        <v>54</v>
      </c>
      <c r="BC7" s="4">
        <v>55</v>
      </c>
      <c r="BD7" s="5">
        <v>56</v>
      </c>
      <c r="BE7" s="4">
        <v>57</v>
      </c>
    </row>
    <row r="8" spans="1:57" ht="12.75">
      <c r="A8" s="1" t="s">
        <v>40</v>
      </c>
      <c r="B8" s="3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2"/>
      <c r="AT8" s="2"/>
      <c r="AU8" s="2"/>
      <c r="AV8" s="2"/>
      <c r="AW8" s="2"/>
      <c r="AX8" s="3"/>
      <c r="AY8" s="3"/>
      <c r="AZ8" s="3"/>
      <c r="BA8" s="3"/>
      <c r="BB8" s="3"/>
      <c r="BC8" s="3"/>
      <c r="BD8" s="3"/>
      <c r="BE8" s="164"/>
    </row>
    <row r="9" spans="1:57" ht="12.75">
      <c r="A9" s="72" t="s">
        <v>41</v>
      </c>
      <c r="B9" s="73">
        <v>3597.5</v>
      </c>
      <c r="C9" s="47">
        <f>B9*8.65</f>
        <v>31118.375</v>
      </c>
      <c r="D9" s="48">
        <f>C9*0.24088</f>
        <v>7495.79417</v>
      </c>
      <c r="E9" s="74">
        <v>2674.97</v>
      </c>
      <c r="F9" s="74">
        <v>543.41</v>
      </c>
      <c r="G9" s="74">
        <v>3623.67</v>
      </c>
      <c r="H9" s="74">
        <v>736.59</v>
      </c>
      <c r="I9" s="74">
        <v>8706</v>
      </c>
      <c r="J9" s="74">
        <v>1769.11</v>
      </c>
      <c r="K9" s="74">
        <v>6031.03</v>
      </c>
      <c r="L9" s="74">
        <v>1225.71</v>
      </c>
      <c r="M9" s="74">
        <v>2139.89</v>
      </c>
      <c r="N9" s="74">
        <v>434.75</v>
      </c>
      <c r="O9" s="80">
        <v>0</v>
      </c>
      <c r="P9" s="80">
        <v>0</v>
      </c>
      <c r="Q9" s="80">
        <v>0</v>
      </c>
      <c r="R9" s="80">
        <v>0</v>
      </c>
      <c r="S9" s="80">
        <f>E9+G9+I9+K9+M9+O9+Q9</f>
        <v>23175.559999999998</v>
      </c>
      <c r="T9" s="93">
        <f>P9+N9+L9+J9+H9+F9+R9</f>
        <v>4709.57</v>
      </c>
      <c r="U9" s="80">
        <v>21.89</v>
      </c>
      <c r="V9" s="80">
        <v>29.54</v>
      </c>
      <c r="W9" s="80">
        <v>71.13</v>
      </c>
      <c r="X9" s="80">
        <v>49.24</v>
      </c>
      <c r="Y9" s="80">
        <v>17.51</v>
      </c>
      <c r="Z9" s="81">
        <v>0</v>
      </c>
      <c r="AA9" s="81">
        <v>0</v>
      </c>
      <c r="AB9" s="81">
        <f>SUM(U9:AA9)</f>
        <v>189.31</v>
      </c>
      <c r="AC9" s="165">
        <f>D9+T9+AB9</f>
        <v>12394.67417</v>
      </c>
      <c r="AD9" s="166">
        <f>P9+Z9</f>
        <v>0</v>
      </c>
      <c r="AE9" s="85">
        <f>R9+AA9</f>
        <v>0</v>
      </c>
      <c r="AF9" s="85"/>
      <c r="AG9" s="86">
        <f>0.6*B9</f>
        <v>2158.5</v>
      </c>
      <c r="AH9" s="86">
        <f>B9*0.2*1.05826</f>
        <v>761.41807</v>
      </c>
      <c r="AI9" s="86">
        <f>0.8518*B9-0.01</f>
        <v>3064.3405</v>
      </c>
      <c r="AJ9" s="86">
        <f>AI9*0.18</f>
        <v>551.58129</v>
      </c>
      <c r="AK9" s="86">
        <f>1.04*B9*0.9531</f>
        <v>3565.92834</v>
      </c>
      <c r="AL9" s="86">
        <f>AK9*0.18</f>
        <v>641.8671012</v>
      </c>
      <c r="AM9" s="86">
        <f>(1.91)*B9*0.9531</f>
        <v>6548.964547499999</v>
      </c>
      <c r="AN9" s="86">
        <f>AM9*0.18</f>
        <v>1178.8136185499998</v>
      </c>
      <c r="AO9" s="86"/>
      <c r="AP9" s="86">
        <f>AO9*0.18</f>
        <v>0</v>
      </c>
      <c r="AQ9" s="86"/>
      <c r="AR9" s="86"/>
      <c r="AS9" s="87">
        <v>21654.29</v>
      </c>
      <c r="AT9" s="87"/>
      <c r="AU9" s="186">
        <f>AS9*0.18</f>
        <v>3897.7722</v>
      </c>
      <c r="AV9" s="186"/>
      <c r="AW9" s="186"/>
      <c r="AX9" s="142">
        <v>0</v>
      </c>
      <c r="AY9" s="142">
        <v>0</v>
      </c>
      <c r="AZ9" s="142">
        <v>0</v>
      </c>
      <c r="BA9" s="141">
        <f>AZ9*0.18</f>
        <v>0</v>
      </c>
      <c r="BB9" s="141">
        <f>SUM(AG9:BA9)</f>
        <v>44023.47566725</v>
      </c>
      <c r="BC9" s="141">
        <v>0</v>
      </c>
      <c r="BD9" s="141">
        <f>AC9-BB9</f>
        <v>-31628.801497250002</v>
      </c>
      <c r="BE9" s="145">
        <f>AB9-S9</f>
        <v>-22986.249999999996</v>
      </c>
    </row>
    <row r="10" spans="1:57" ht="12.75">
      <c r="A10" s="72" t="s">
        <v>42</v>
      </c>
      <c r="B10" s="73">
        <v>3597.5</v>
      </c>
      <c r="C10" s="47">
        <f>B10*8.65</f>
        <v>31118.375</v>
      </c>
      <c r="D10" s="48">
        <f>C10*0.24088</f>
        <v>7495.79417</v>
      </c>
      <c r="E10" s="74">
        <v>2355.51</v>
      </c>
      <c r="F10" s="74">
        <v>434.42</v>
      </c>
      <c r="G10" s="74">
        <v>3179.94</v>
      </c>
      <c r="H10" s="74">
        <v>586.5</v>
      </c>
      <c r="I10" s="74">
        <v>7655.31</v>
      </c>
      <c r="J10" s="74">
        <v>1411.88</v>
      </c>
      <c r="K10" s="74">
        <v>5299.8</v>
      </c>
      <c r="L10" s="74">
        <v>977.48</v>
      </c>
      <c r="M10" s="74">
        <v>1884.39</v>
      </c>
      <c r="N10" s="74">
        <v>347.54</v>
      </c>
      <c r="O10" s="80">
        <v>0</v>
      </c>
      <c r="P10" s="80">
        <v>0</v>
      </c>
      <c r="Q10" s="80">
        <v>0</v>
      </c>
      <c r="R10" s="80">
        <v>0</v>
      </c>
      <c r="S10" s="80">
        <f>E10+G10+I10+K10+M10+O10+Q10</f>
        <v>20374.95</v>
      </c>
      <c r="T10" s="93">
        <f>P10+N10+L10+J10+H10+F10+R10</f>
        <v>3757.82</v>
      </c>
      <c r="U10" s="80">
        <v>1813.71</v>
      </c>
      <c r="V10" s="80">
        <v>2448.62</v>
      </c>
      <c r="W10" s="80">
        <v>5895.17</v>
      </c>
      <c r="X10" s="80">
        <v>4080.93</v>
      </c>
      <c r="Y10" s="80">
        <v>1451</v>
      </c>
      <c r="Z10" s="80">
        <v>0</v>
      </c>
      <c r="AA10" s="81">
        <v>0</v>
      </c>
      <c r="AB10" s="96">
        <f>SUM(U10:AA10)</f>
        <v>15689.43</v>
      </c>
      <c r="AC10" s="169">
        <f>D10+T10+AB10</f>
        <v>26943.04417</v>
      </c>
      <c r="AD10" s="85">
        <f>P10+Z10</f>
        <v>0</v>
      </c>
      <c r="AE10" s="85">
        <f>R10+AA10</f>
        <v>0</v>
      </c>
      <c r="AF10" s="85"/>
      <c r="AG10" s="86">
        <f>0.6*B10</f>
        <v>2158.5</v>
      </c>
      <c r="AH10" s="86">
        <f>B10*0.201</f>
        <v>723.0975000000001</v>
      </c>
      <c r="AI10" s="86">
        <f>0.8518*B10-0.01</f>
        <v>3064.3405</v>
      </c>
      <c r="AJ10" s="86">
        <f>AI10*0.18</f>
        <v>551.58129</v>
      </c>
      <c r="AK10" s="86">
        <f>1.04*B10*0.9531</f>
        <v>3565.92834</v>
      </c>
      <c r="AL10" s="86">
        <f>AK10*0.18</f>
        <v>641.8671012</v>
      </c>
      <c r="AM10" s="86">
        <f>(1.91)*B10*0.9531</f>
        <v>6548.964547499999</v>
      </c>
      <c r="AN10" s="86">
        <f>AM10*0.18</f>
        <v>1178.8136185499998</v>
      </c>
      <c r="AO10" s="86"/>
      <c r="AP10" s="86">
        <f>AO10*0.18</f>
        <v>0</v>
      </c>
      <c r="AQ10" s="86"/>
      <c r="AR10" s="86"/>
      <c r="AS10" s="87">
        <v>9475</v>
      </c>
      <c r="AT10" s="87"/>
      <c r="AU10" s="186">
        <f>AS10*0.18</f>
        <v>1705.5</v>
      </c>
      <c r="AV10" s="186"/>
      <c r="AW10" s="186"/>
      <c r="AX10" s="142">
        <v>0</v>
      </c>
      <c r="AY10" s="142">
        <v>0</v>
      </c>
      <c r="AZ10" s="142">
        <v>0</v>
      </c>
      <c r="BA10" s="141">
        <f>AZ10*0.18</f>
        <v>0</v>
      </c>
      <c r="BB10" s="141">
        <f>SUM(AG10:BA10)</f>
        <v>29613.59289725</v>
      </c>
      <c r="BC10" s="141">
        <v>0</v>
      </c>
      <c r="BD10" s="141">
        <f>AC10-BB10</f>
        <v>-2670.5487272499995</v>
      </c>
      <c r="BE10" s="145">
        <f>AB10-S10</f>
        <v>-4685.52</v>
      </c>
    </row>
    <row r="11" spans="1:57" ht="12.75">
      <c r="A11" s="72" t="s">
        <v>43</v>
      </c>
      <c r="B11" s="73">
        <v>3597.5</v>
      </c>
      <c r="C11" s="47">
        <f>B11*8.65</f>
        <v>31118.375</v>
      </c>
      <c r="D11" s="48">
        <f>C11*0.24035</f>
        <v>7479.30143125</v>
      </c>
      <c r="E11" s="74">
        <v>2459.24</v>
      </c>
      <c r="F11" s="74">
        <v>444.85</v>
      </c>
      <c r="G11" s="74">
        <v>3320.02</v>
      </c>
      <c r="H11" s="74">
        <v>600.55</v>
      </c>
      <c r="I11" s="74">
        <v>7992.52</v>
      </c>
      <c r="J11" s="74">
        <v>1445.76</v>
      </c>
      <c r="K11" s="74">
        <v>5533.27</v>
      </c>
      <c r="L11" s="74">
        <v>1000.92</v>
      </c>
      <c r="M11" s="74">
        <v>1967.39</v>
      </c>
      <c r="N11" s="75">
        <v>355.87</v>
      </c>
      <c r="O11" s="81">
        <v>0</v>
      </c>
      <c r="P11" s="81">
        <v>0</v>
      </c>
      <c r="Q11" s="81">
        <v>0</v>
      </c>
      <c r="R11" s="81">
        <v>0</v>
      </c>
      <c r="S11" s="80">
        <f>E11+G11+I11+K11+M11+O11+Q11</f>
        <v>21272.440000000002</v>
      </c>
      <c r="T11" s="93">
        <f>P11+N11+L11+J11+H11+F11+R11</f>
        <v>3847.9500000000003</v>
      </c>
      <c r="U11" s="80">
        <v>2850</v>
      </c>
      <c r="V11" s="80">
        <v>3847.61</v>
      </c>
      <c r="W11" s="80">
        <v>9299.99</v>
      </c>
      <c r="X11" s="80">
        <v>6412.56</v>
      </c>
      <c r="Y11" s="80">
        <v>2280.01</v>
      </c>
      <c r="Z11" s="80">
        <v>0</v>
      </c>
      <c r="AA11" s="81">
        <v>0</v>
      </c>
      <c r="AB11" s="96">
        <f>SUM(U11:AA11)</f>
        <v>24690.17</v>
      </c>
      <c r="AC11" s="169">
        <f>D11+T11+AB11</f>
        <v>36017.42143125</v>
      </c>
      <c r="AD11" s="85">
        <f>P11+Z11</f>
        <v>0</v>
      </c>
      <c r="AE11" s="85">
        <f>R11+AA11</f>
        <v>0</v>
      </c>
      <c r="AF11" s="85"/>
      <c r="AG11" s="86">
        <f>0.6*B11</f>
        <v>2158.5</v>
      </c>
      <c r="AH11" s="86">
        <f>B11*0.2*1.02524</f>
        <v>737.66018</v>
      </c>
      <c r="AI11" s="86">
        <f>0.84932*B11</f>
        <v>3055.4287</v>
      </c>
      <c r="AJ11" s="86">
        <f>AI11*0.18</f>
        <v>549.977166</v>
      </c>
      <c r="AK11" s="86">
        <f>1.04*B11*0.95033</f>
        <v>3555.564662</v>
      </c>
      <c r="AL11" s="86">
        <f>AK11*0.18</f>
        <v>640.00163916</v>
      </c>
      <c r="AM11" s="86">
        <f>(1.91)*B11*0.95033</f>
        <v>6529.931254249999</v>
      </c>
      <c r="AN11" s="86">
        <f>AM11*0.18</f>
        <v>1175.3876257649997</v>
      </c>
      <c r="AO11" s="86"/>
      <c r="AP11" s="86">
        <f>AO11*0.18</f>
        <v>0</v>
      </c>
      <c r="AQ11" s="86"/>
      <c r="AR11" s="86"/>
      <c r="AS11" s="87">
        <v>7997</v>
      </c>
      <c r="AT11" s="87"/>
      <c r="AU11" s="186">
        <f>AS11*0.18</f>
        <v>1439.46</v>
      </c>
      <c r="AV11" s="186"/>
      <c r="AW11" s="186"/>
      <c r="AX11" s="142">
        <v>0</v>
      </c>
      <c r="AY11" s="142">
        <v>0</v>
      </c>
      <c r="AZ11" s="142">
        <v>0</v>
      </c>
      <c r="BA11" s="141">
        <f>AZ11*0.18</f>
        <v>0</v>
      </c>
      <c r="BB11" s="141">
        <f>SUM(AG11:BA11)</f>
        <v>27838.911227175</v>
      </c>
      <c r="BC11" s="141">
        <v>0</v>
      </c>
      <c r="BD11" s="141">
        <f>AC11-BB11</f>
        <v>8178.510204074999</v>
      </c>
      <c r="BE11" s="145">
        <f>AB11-S11</f>
        <v>3417.729999999996</v>
      </c>
    </row>
    <row r="12" spans="1:57" s="15" customFormat="1" ht="15" customHeight="1">
      <c r="A12" s="9" t="s">
        <v>5</v>
      </c>
      <c r="B12" s="10"/>
      <c r="C12" s="10">
        <f aca="true" t="shared" si="0" ref="C12:BE12">SUM(C9:C11)</f>
        <v>93355.125</v>
      </c>
      <c r="D12" s="10">
        <f t="shared" si="0"/>
        <v>22470.88977125</v>
      </c>
      <c r="E12" s="11">
        <f>SUM(E9:E11)</f>
        <v>7489.719999999999</v>
      </c>
      <c r="F12" s="11">
        <f t="shared" si="0"/>
        <v>1422.6799999999998</v>
      </c>
      <c r="G12" s="11">
        <f t="shared" si="0"/>
        <v>10123.630000000001</v>
      </c>
      <c r="H12" s="11">
        <f t="shared" si="0"/>
        <v>1923.64</v>
      </c>
      <c r="I12" s="11">
        <f t="shared" si="0"/>
        <v>24353.83</v>
      </c>
      <c r="J12" s="11">
        <f t="shared" si="0"/>
        <v>4626.75</v>
      </c>
      <c r="K12" s="11">
        <f t="shared" si="0"/>
        <v>16864.1</v>
      </c>
      <c r="L12" s="11">
        <f t="shared" si="0"/>
        <v>3204.11</v>
      </c>
      <c r="M12" s="11">
        <f t="shared" si="0"/>
        <v>5991.67</v>
      </c>
      <c r="N12" s="11">
        <f t="shared" si="0"/>
        <v>1138.1599999999999</v>
      </c>
      <c r="O12" s="11">
        <f t="shared" si="0"/>
        <v>0</v>
      </c>
      <c r="P12" s="11">
        <f t="shared" si="0"/>
        <v>0</v>
      </c>
      <c r="Q12" s="11">
        <f t="shared" si="0"/>
        <v>0</v>
      </c>
      <c r="R12" s="11">
        <f t="shared" si="0"/>
        <v>0</v>
      </c>
      <c r="S12" s="11">
        <f t="shared" si="0"/>
        <v>64822.95</v>
      </c>
      <c r="T12" s="11">
        <f t="shared" si="0"/>
        <v>12315.34</v>
      </c>
      <c r="U12" s="12">
        <f t="shared" si="0"/>
        <v>4685.6</v>
      </c>
      <c r="V12" s="12">
        <f t="shared" si="0"/>
        <v>6325.77</v>
      </c>
      <c r="W12" s="12">
        <f t="shared" si="0"/>
        <v>15266.29</v>
      </c>
      <c r="X12" s="12">
        <f t="shared" si="0"/>
        <v>10542.73</v>
      </c>
      <c r="Y12" s="12">
        <f t="shared" si="0"/>
        <v>3748.5200000000004</v>
      </c>
      <c r="Z12" s="12">
        <f t="shared" si="0"/>
        <v>0</v>
      </c>
      <c r="AA12" s="12">
        <f t="shared" si="0"/>
        <v>0</v>
      </c>
      <c r="AB12" s="12">
        <f t="shared" si="0"/>
        <v>40568.909999999996</v>
      </c>
      <c r="AC12" s="12">
        <f t="shared" si="0"/>
        <v>75355.13977124999</v>
      </c>
      <c r="AD12" s="12">
        <f>SUM(AD9:AD11)</f>
        <v>0</v>
      </c>
      <c r="AE12" s="44">
        <f t="shared" si="0"/>
        <v>0</v>
      </c>
      <c r="AF12" s="44">
        <f t="shared" si="0"/>
        <v>0</v>
      </c>
      <c r="AG12" s="13">
        <f t="shared" si="0"/>
        <v>6475.5</v>
      </c>
      <c r="AH12" s="13">
        <f t="shared" si="0"/>
        <v>2222.17575</v>
      </c>
      <c r="AI12" s="13">
        <f t="shared" si="0"/>
        <v>9184.109699999999</v>
      </c>
      <c r="AJ12" s="13">
        <f t="shared" si="0"/>
        <v>1653.1397459999998</v>
      </c>
      <c r="AK12" s="13">
        <f t="shared" si="0"/>
        <v>10687.421342</v>
      </c>
      <c r="AL12" s="13">
        <f t="shared" si="0"/>
        <v>1923.73584156</v>
      </c>
      <c r="AM12" s="13">
        <f>SUM(AM9:AM11)</f>
        <v>19627.860349249997</v>
      </c>
      <c r="AN12" s="13">
        <f>SUM(AN9:AN11)</f>
        <v>3533.0148628649995</v>
      </c>
      <c r="AO12" s="13">
        <f t="shared" si="0"/>
        <v>0</v>
      </c>
      <c r="AP12" s="13">
        <f t="shared" si="0"/>
        <v>0</v>
      </c>
      <c r="AQ12" s="13">
        <f>SUM(AQ9:AQ11)</f>
        <v>0</v>
      </c>
      <c r="AR12" s="13">
        <f>SUM(AR9:AR11)</f>
        <v>0</v>
      </c>
      <c r="AS12" s="13">
        <f>SUM(AS9:AS11)</f>
        <v>39126.29</v>
      </c>
      <c r="AT12" s="13">
        <f>SUM(AT9:AT11)</f>
        <v>0</v>
      </c>
      <c r="AU12" s="13">
        <f>SUM(AU9:AU11)</f>
        <v>7042.7321999999995</v>
      </c>
      <c r="AV12" s="13"/>
      <c r="AW12" s="13"/>
      <c r="AX12" s="13">
        <f t="shared" si="0"/>
        <v>0</v>
      </c>
      <c r="AY12" s="13">
        <f t="shared" si="0"/>
        <v>0</v>
      </c>
      <c r="AZ12" s="13">
        <f t="shared" si="0"/>
        <v>0</v>
      </c>
      <c r="BA12" s="13">
        <f t="shared" si="0"/>
        <v>0</v>
      </c>
      <c r="BB12" s="13">
        <f t="shared" si="0"/>
        <v>101475.979791675</v>
      </c>
      <c r="BC12" s="13">
        <f t="shared" si="0"/>
        <v>0</v>
      </c>
      <c r="BD12" s="13">
        <f t="shared" si="0"/>
        <v>-26120.840020425</v>
      </c>
      <c r="BE12" s="14">
        <f t="shared" si="0"/>
        <v>-24254.04</v>
      </c>
    </row>
    <row r="13" spans="1:57" ht="15" customHeight="1">
      <c r="A13" s="1" t="s">
        <v>44</v>
      </c>
      <c r="B13" s="38"/>
      <c r="C13" s="8"/>
      <c r="D13" s="8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1"/>
      <c r="R13" s="171"/>
      <c r="S13" s="171"/>
      <c r="T13" s="171"/>
      <c r="U13" s="172"/>
      <c r="V13" s="172"/>
      <c r="W13" s="172"/>
      <c r="X13" s="172"/>
      <c r="Y13" s="172"/>
      <c r="Z13" s="172"/>
      <c r="AA13" s="173"/>
      <c r="AB13" s="173"/>
      <c r="AC13" s="43"/>
      <c r="AD13" s="43"/>
      <c r="AE13" s="174"/>
      <c r="AF13" s="174"/>
      <c r="AG13" s="141"/>
      <c r="AH13" s="141"/>
      <c r="AI13" s="141"/>
      <c r="AJ13" s="141"/>
      <c r="AK13" s="141"/>
      <c r="AL13" s="141"/>
      <c r="AM13" s="141"/>
      <c r="AN13" s="141"/>
      <c r="AO13" s="142"/>
      <c r="AP13" s="142"/>
      <c r="AQ13" s="142"/>
      <c r="AR13" s="142"/>
      <c r="AS13" s="200"/>
      <c r="AT13" s="200"/>
      <c r="AU13" s="186"/>
      <c r="AV13" s="186"/>
      <c r="AW13" s="186"/>
      <c r="AX13" s="142"/>
      <c r="AY13" s="142"/>
      <c r="AZ13" s="142"/>
      <c r="BA13" s="141"/>
      <c r="BB13" s="141"/>
      <c r="BC13" s="141"/>
      <c r="BD13" s="141"/>
      <c r="BE13" s="145"/>
    </row>
    <row r="14" spans="1:57" ht="12.75">
      <c r="A14" s="72" t="s">
        <v>45</v>
      </c>
      <c r="B14" s="175">
        <v>3597.5</v>
      </c>
      <c r="C14" s="47">
        <f aca="true" t="shared" si="1" ref="C14:C25">B14*8.65</f>
        <v>31118.375</v>
      </c>
      <c r="D14" s="48">
        <f>C14*0.125</f>
        <v>3889.796875</v>
      </c>
      <c r="E14" s="74">
        <v>2451.92</v>
      </c>
      <c r="F14" s="74">
        <v>444.85</v>
      </c>
      <c r="G14" s="74">
        <v>3310.18</v>
      </c>
      <c r="H14" s="74">
        <v>600.55</v>
      </c>
      <c r="I14" s="74">
        <v>7968.75</v>
      </c>
      <c r="J14" s="74">
        <v>1445.76</v>
      </c>
      <c r="K14" s="74">
        <v>5516.83</v>
      </c>
      <c r="L14" s="74">
        <v>1000.92</v>
      </c>
      <c r="M14" s="74">
        <v>1961.55</v>
      </c>
      <c r="N14" s="75">
        <v>355.87</v>
      </c>
      <c r="O14" s="81">
        <v>0</v>
      </c>
      <c r="P14" s="81">
        <v>0</v>
      </c>
      <c r="Q14" s="81">
        <v>0</v>
      </c>
      <c r="R14" s="81">
        <v>0</v>
      </c>
      <c r="S14" s="80">
        <f>E14+G14+I14+K14+M14+O14+Q14</f>
        <v>21209.23</v>
      </c>
      <c r="T14" s="93">
        <f>P14+N14+L14+J14+H14+F14+R14</f>
        <v>3847.9500000000003</v>
      </c>
      <c r="U14" s="80">
        <v>1563.55</v>
      </c>
      <c r="V14" s="80">
        <v>2110.82</v>
      </c>
      <c r="W14" s="80">
        <v>5055.04</v>
      </c>
      <c r="X14" s="80">
        <v>3517.95</v>
      </c>
      <c r="Y14" s="80">
        <v>1250.79</v>
      </c>
      <c r="Z14" s="80">
        <v>0</v>
      </c>
      <c r="AA14" s="81">
        <v>0</v>
      </c>
      <c r="AB14" s="49">
        <f aca="true" t="shared" si="2" ref="AB14:AB22">SUM(U14:AA14)</f>
        <v>13498.150000000001</v>
      </c>
      <c r="AC14" s="169">
        <f>D14+T14+AB14</f>
        <v>21235.896875000002</v>
      </c>
      <c r="AD14" s="85">
        <f>P14+Z14</f>
        <v>0</v>
      </c>
      <c r="AE14" s="85">
        <f>R14+AA14</f>
        <v>0</v>
      </c>
      <c r="AF14" s="85"/>
      <c r="AG14" s="86">
        <f>0.6*B14*0.9</f>
        <v>1942.65</v>
      </c>
      <c r="AH14" s="86">
        <f>B14*0.2*0.891</f>
        <v>641.0745000000001</v>
      </c>
      <c r="AI14" s="86">
        <f>0.85*B14*0.867-0.02</f>
        <v>2651.157625</v>
      </c>
      <c r="AJ14" s="86">
        <f>AI14*0.18</f>
        <v>477.20837249999994</v>
      </c>
      <c r="AK14" s="86">
        <f>0.83*B14*0.8685</f>
        <v>2593.2758625</v>
      </c>
      <c r="AL14" s="86">
        <f>AK14*0.18</f>
        <v>466.78965525</v>
      </c>
      <c r="AM14" s="86">
        <f>1.91*B14*0.8686</f>
        <v>5968.346035</v>
      </c>
      <c r="AN14" s="86">
        <f>AM14*0.18</f>
        <v>1074.3022862999999</v>
      </c>
      <c r="AO14" s="86"/>
      <c r="AP14" s="86">
        <f aca="true" t="shared" si="3" ref="AP14:AR25">AO14*0.18</f>
        <v>0</v>
      </c>
      <c r="AQ14" s="88"/>
      <c r="AR14" s="88">
        <f>AQ14*0.18</f>
        <v>0</v>
      </c>
      <c r="AS14" s="87">
        <v>1858</v>
      </c>
      <c r="AT14" s="87"/>
      <c r="AU14" s="87">
        <f>(AS14+AT14)*0.18+0.01</f>
        <v>334.45</v>
      </c>
      <c r="AV14" s="167"/>
      <c r="AW14" s="168">
        <v>1436</v>
      </c>
      <c r="AX14" s="86">
        <f aca="true" t="shared" si="4" ref="AX14:AX25">AW14*1.12*1.18</f>
        <v>1897.8176</v>
      </c>
      <c r="AY14" s="50"/>
      <c r="AZ14" s="89"/>
      <c r="BA14" s="89">
        <f>AZ14*0.18</f>
        <v>0</v>
      </c>
      <c r="BB14" s="89">
        <f>SUM(AG14:AU14)</f>
        <v>18007.254336550002</v>
      </c>
      <c r="BC14" s="90"/>
      <c r="BD14" s="141">
        <f aca="true" t="shared" si="5" ref="BD14:BD25">AC14+AF14-BB14-BC14</f>
        <v>3228.64253845</v>
      </c>
      <c r="BE14" s="145">
        <f>AB14-S14</f>
        <v>-7711.079999999998</v>
      </c>
    </row>
    <row r="15" spans="1:57" ht="12.75">
      <c r="A15" s="72" t="s">
        <v>46</v>
      </c>
      <c r="B15" s="175">
        <v>3597.1</v>
      </c>
      <c r="C15" s="47">
        <f t="shared" si="1"/>
        <v>31114.915</v>
      </c>
      <c r="D15" s="48">
        <f>C15*0.125</f>
        <v>3889.364375</v>
      </c>
      <c r="E15" s="74">
        <v>2477.88</v>
      </c>
      <c r="F15" s="74">
        <v>426.84</v>
      </c>
      <c r="G15" s="74">
        <v>3345.21</v>
      </c>
      <c r="H15" s="74">
        <v>576.23</v>
      </c>
      <c r="I15" s="74">
        <v>8053.11</v>
      </c>
      <c r="J15" s="74">
        <v>1387.21</v>
      </c>
      <c r="K15" s="74">
        <v>5575.23</v>
      </c>
      <c r="L15" s="74">
        <v>960.39</v>
      </c>
      <c r="M15" s="74">
        <v>1982.31</v>
      </c>
      <c r="N15" s="75">
        <v>341.46</v>
      </c>
      <c r="O15" s="81">
        <v>0</v>
      </c>
      <c r="P15" s="81">
        <v>0</v>
      </c>
      <c r="Q15" s="81">
        <v>0</v>
      </c>
      <c r="R15" s="81">
        <v>0</v>
      </c>
      <c r="S15" s="80">
        <f>E15+G15+I15+K15+M15+O15+Q15</f>
        <v>21433.74</v>
      </c>
      <c r="T15" s="93">
        <f>P15+N15+L15+J15+H15+F15+R15</f>
        <v>3692.13</v>
      </c>
      <c r="U15" s="80">
        <v>2134.04</v>
      </c>
      <c r="V15" s="80">
        <v>2880.8</v>
      </c>
      <c r="W15" s="80">
        <v>6930.76</v>
      </c>
      <c r="X15" s="80">
        <v>4801.12</v>
      </c>
      <c r="Y15" s="80">
        <v>1706.88</v>
      </c>
      <c r="Z15" s="80">
        <v>0</v>
      </c>
      <c r="AA15" s="81">
        <v>0</v>
      </c>
      <c r="AB15" s="96">
        <f t="shared" si="2"/>
        <v>18453.600000000002</v>
      </c>
      <c r="AC15" s="169">
        <f>D15+T15+AB15</f>
        <v>26035.094375</v>
      </c>
      <c r="AD15" s="85">
        <f>P15+Z15</f>
        <v>0</v>
      </c>
      <c r="AE15" s="85">
        <f>R15+AA15</f>
        <v>0</v>
      </c>
      <c r="AF15" s="85"/>
      <c r="AG15" s="86">
        <f>0.6*B15*0.9</f>
        <v>1942.4339999999997</v>
      </c>
      <c r="AH15" s="86">
        <f>B15*0.2*0.9153</f>
        <v>658.485126</v>
      </c>
      <c r="AI15" s="86">
        <f>0.85*B15*0.867</f>
        <v>2650.8828449999996</v>
      </c>
      <c r="AJ15" s="86">
        <f>AI15*0.18</f>
        <v>477.1589120999999</v>
      </c>
      <c r="AK15" s="86">
        <f>0.83*B15*0.8684</f>
        <v>2592.6889611999995</v>
      </c>
      <c r="AL15" s="86">
        <f>AK15*0.18</f>
        <v>466.6840130159999</v>
      </c>
      <c r="AM15" s="86">
        <f>(1.91)*B15*0.8684</f>
        <v>5966.308332399999</v>
      </c>
      <c r="AN15" s="86">
        <f>AM15*0.18</f>
        <v>1073.9354998319998</v>
      </c>
      <c r="AO15" s="86"/>
      <c r="AP15" s="86">
        <f t="shared" si="3"/>
        <v>0</v>
      </c>
      <c r="AQ15" s="88"/>
      <c r="AR15" s="88">
        <f>AQ15*0.18</f>
        <v>0</v>
      </c>
      <c r="AS15" s="87"/>
      <c r="AT15" s="87"/>
      <c r="AU15" s="87">
        <f aca="true" t="shared" si="6" ref="AU15:AU25">(AS15+AT15)*0.18</f>
        <v>0</v>
      </c>
      <c r="AV15" s="167"/>
      <c r="AW15" s="168">
        <v>1375</v>
      </c>
      <c r="AX15" s="86">
        <f t="shared" si="4"/>
        <v>1817.2000000000003</v>
      </c>
      <c r="AY15" s="50"/>
      <c r="AZ15" s="89"/>
      <c r="BA15" s="89">
        <f>AZ15*0.18</f>
        <v>0</v>
      </c>
      <c r="BB15" s="89">
        <f>SUM(AG15:AU15)+AY15</f>
        <v>15828.577689547996</v>
      </c>
      <c r="BC15" s="176"/>
      <c r="BD15" s="141">
        <f t="shared" si="5"/>
        <v>10206.516685452005</v>
      </c>
      <c r="BE15" s="145">
        <f aca="true" t="shared" si="7" ref="BE15:BE24">AB15-S15</f>
        <v>-2980.1399999999994</v>
      </c>
    </row>
    <row r="16" spans="1:57" ht="12.75">
      <c r="A16" s="72" t="s">
        <v>47</v>
      </c>
      <c r="B16" s="201">
        <v>3597.1</v>
      </c>
      <c r="C16" s="47">
        <f t="shared" si="1"/>
        <v>31114.915</v>
      </c>
      <c r="D16" s="48">
        <f>C16*0.125</f>
        <v>3889.364375</v>
      </c>
      <c r="E16" s="178">
        <v>2394.58</v>
      </c>
      <c r="F16" s="178">
        <v>422.43</v>
      </c>
      <c r="G16" s="178">
        <v>3232.82</v>
      </c>
      <c r="H16" s="178">
        <v>570.29</v>
      </c>
      <c r="I16" s="178">
        <v>7782.48</v>
      </c>
      <c r="J16" s="178">
        <v>1372.9</v>
      </c>
      <c r="K16" s="178">
        <v>5387.9</v>
      </c>
      <c r="L16" s="178">
        <v>950.48</v>
      </c>
      <c r="M16" s="178">
        <v>1915.64</v>
      </c>
      <c r="N16" s="202">
        <v>337.94</v>
      </c>
      <c r="O16" s="81">
        <v>0</v>
      </c>
      <c r="P16" s="81">
        <v>0</v>
      </c>
      <c r="Q16" s="81">
        <v>0</v>
      </c>
      <c r="R16" s="81">
        <v>0</v>
      </c>
      <c r="S16" s="80">
        <f>E16+G16+I16+K16+M16+O16+Q16</f>
        <v>20713.42</v>
      </c>
      <c r="T16" s="93">
        <f>P16+N16+L16+J16+H16+F16+R16</f>
        <v>3654.04</v>
      </c>
      <c r="U16" s="39">
        <v>3054.74</v>
      </c>
      <c r="V16" s="39">
        <v>4124.07</v>
      </c>
      <c r="W16" s="39">
        <v>9919.7</v>
      </c>
      <c r="X16" s="39">
        <v>6873.32</v>
      </c>
      <c r="Y16" s="39">
        <v>2443.86</v>
      </c>
      <c r="Z16" s="39">
        <v>0</v>
      </c>
      <c r="AA16" s="51">
        <v>0</v>
      </c>
      <c r="AB16" s="49">
        <f t="shared" si="2"/>
        <v>26415.690000000002</v>
      </c>
      <c r="AC16" s="169">
        <f>D16+T16+AB16</f>
        <v>33959.094375</v>
      </c>
      <c r="AD16" s="85">
        <f>P16+Z16</f>
        <v>0</v>
      </c>
      <c r="AE16" s="85">
        <f>R16+AA16</f>
        <v>0</v>
      </c>
      <c r="AF16" s="85"/>
      <c r="AG16" s="86">
        <f>0.6*B16*0.9</f>
        <v>1942.4339999999997</v>
      </c>
      <c r="AH16" s="52">
        <f>B16*0.2*0.9082</f>
        <v>653.377244</v>
      </c>
      <c r="AI16" s="86">
        <f>0.85*B16*0.8675</f>
        <v>2652.4116125</v>
      </c>
      <c r="AJ16" s="86">
        <f>AI16*0.18</f>
        <v>477.43409025</v>
      </c>
      <c r="AK16" s="52">
        <f>0.83*B16*0.838</f>
        <v>2501.9269339999996</v>
      </c>
      <c r="AL16" s="86">
        <f>AK16*0.18</f>
        <v>450.3468481199999</v>
      </c>
      <c r="AM16" s="86">
        <f>1.91*B16*0.8381</f>
        <v>5758.133364099999</v>
      </c>
      <c r="AN16" s="86">
        <f>AM16*0.18</f>
        <v>1036.4640055379998</v>
      </c>
      <c r="AO16" s="86"/>
      <c r="AP16" s="86">
        <f t="shared" si="3"/>
        <v>0</v>
      </c>
      <c r="AQ16" s="88"/>
      <c r="AR16" s="88">
        <f>AQ16*0.18</f>
        <v>0</v>
      </c>
      <c r="AS16" s="87">
        <v>5524</v>
      </c>
      <c r="AT16" s="87"/>
      <c r="AU16" s="87">
        <f t="shared" si="6"/>
        <v>994.3199999999999</v>
      </c>
      <c r="AV16" s="167"/>
      <c r="AW16" s="168">
        <v>1161</v>
      </c>
      <c r="AX16" s="86">
        <f t="shared" si="4"/>
        <v>1534.3776</v>
      </c>
      <c r="AY16" s="50"/>
      <c r="AZ16" s="89"/>
      <c r="BA16" s="89">
        <f>AZ16*0.18</f>
        <v>0</v>
      </c>
      <c r="BB16" s="89">
        <f>SUM(AG16:AU16)</f>
        <v>21990.848098508</v>
      </c>
      <c r="BC16" s="176"/>
      <c r="BD16" s="141">
        <f t="shared" si="5"/>
        <v>11968.246276492002</v>
      </c>
      <c r="BE16" s="145">
        <f t="shared" si="7"/>
        <v>5702.270000000004</v>
      </c>
    </row>
    <row r="17" spans="1:57" ht="12.75">
      <c r="A17" s="72" t="s">
        <v>48</v>
      </c>
      <c r="B17" s="179">
        <v>3597.1</v>
      </c>
      <c r="C17" s="47">
        <f t="shared" si="1"/>
        <v>31114.915</v>
      </c>
      <c r="D17" s="48">
        <f>C17*0.125</f>
        <v>3889.364375</v>
      </c>
      <c r="E17" s="178">
        <v>2474.08</v>
      </c>
      <c r="F17" s="178">
        <v>421.85</v>
      </c>
      <c r="G17" s="178">
        <v>3340.07</v>
      </c>
      <c r="H17" s="178">
        <v>569.5</v>
      </c>
      <c r="I17" s="178">
        <v>8040.73</v>
      </c>
      <c r="J17" s="178">
        <v>1371.01</v>
      </c>
      <c r="K17" s="178">
        <v>5566.66</v>
      </c>
      <c r="L17" s="178">
        <v>949.17</v>
      </c>
      <c r="M17" s="178">
        <v>1979.24</v>
      </c>
      <c r="N17" s="202">
        <v>337.47</v>
      </c>
      <c r="O17" s="51">
        <v>0</v>
      </c>
      <c r="P17" s="51">
        <v>0</v>
      </c>
      <c r="Q17" s="51">
        <v>0</v>
      </c>
      <c r="R17" s="51">
        <v>0</v>
      </c>
      <c r="S17" s="80">
        <f aca="true" t="shared" si="8" ref="S17:S25">E17+G17+I17+K17+M17+O17+Q17</f>
        <v>21400.780000000002</v>
      </c>
      <c r="T17" s="93">
        <f aca="true" t="shared" si="9" ref="T17:T25">P17+N17+L17+J17+H17+F17+R17</f>
        <v>3648.9999999999995</v>
      </c>
      <c r="U17" s="80">
        <v>2236.89</v>
      </c>
      <c r="V17" s="80">
        <v>3020.09</v>
      </c>
      <c r="W17" s="80">
        <v>7270.27</v>
      </c>
      <c r="X17" s="80">
        <v>5033.38</v>
      </c>
      <c r="Y17" s="80">
        <v>1789.74</v>
      </c>
      <c r="Z17" s="80">
        <v>0</v>
      </c>
      <c r="AA17" s="80">
        <v>0</v>
      </c>
      <c r="AB17" s="49">
        <f t="shared" si="2"/>
        <v>19350.370000000003</v>
      </c>
      <c r="AC17" s="169">
        <f aca="true" t="shared" si="10" ref="AC17:AC22">D17+T17+AB17</f>
        <v>26888.734375</v>
      </c>
      <c r="AD17" s="85">
        <f aca="true" t="shared" si="11" ref="AD17:AD25">P17+Z17</f>
        <v>0</v>
      </c>
      <c r="AE17" s="85">
        <f aca="true" t="shared" si="12" ref="AE17:AE25">R17+AA17</f>
        <v>0</v>
      </c>
      <c r="AF17" s="85"/>
      <c r="AG17" s="86">
        <f>0.6*B17*0.9</f>
        <v>1942.4339999999997</v>
      </c>
      <c r="AH17" s="52">
        <f>B17*0.2*0.9234</f>
        <v>664.3124280000001</v>
      </c>
      <c r="AI17" s="86">
        <f>0.85*B17*0.8934</f>
        <v>2731.601769</v>
      </c>
      <c r="AJ17" s="86">
        <f aca="true" t="shared" si="13" ref="AJ17:AJ25">AI17*0.18</f>
        <v>491.68831842</v>
      </c>
      <c r="AK17" s="86">
        <f>0.83*B17*0.8498</f>
        <v>2537.1569314</v>
      </c>
      <c r="AL17" s="86">
        <f aca="true" t="shared" si="14" ref="AL17:AL25">AK17*0.18</f>
        <v>456.688247652</v>
      </c>
      <c r="AM17" s="86">
        <f>(1.91)*B17*0.8498</f>
        <v>5838.517757799999</v>
      </c>
      <c r="AN17" s="86">
        <f aca="true" t="shared" si="15" ref="AN17:AN25">AM17*0.18</f>
        <v>1050.9331964039998</v>
      </c>
      <c r="AO17" s="86"/>
      <c r="AP17" s="86">
        <f t="shared" si="3"/>
        <v>0</v>
      </c>
      <c r="AQ17" s="88"/>
      <c r="AR17" s="88">
        <f t="shared" si="3"/>
        <v>0</v>
      </c>
      <c r="AS17" s="87">
        <v>4037.15</v>
      </c>
      <c r="AT17" s="87"/>
      <c r="AU17" s="87">
        <f t="shared" si="6"/>
        <v>726.687</v>
      </c>
      <c r="AV17" s="167"/>
      <c r="AW17" s="180">
        <v>965</v>
      </c>
      <c r="AX17" s="86">
        <f t="shared" si="4"/>
        <v>1275.344</v>
      </c>
      <c r="AY17" s="181"/>
      <c r="AZ17" s="142"/>
      <c r="BA17" s="141">
        <f>AZ17*0.18</f>
        <v>0</v>
      </c>
      <c r="BB17" s="141">
        <f>SUM(AG17:BA17)-AV17-AW17+AX14+AX15+AX16</f>
        <v>27001.908848676</v>
      </c>
      <c r="BC17" s="176"/>
      <c r="BD17" s="141">
        <f t="shared" si="5"/>
        <v>-113.17447367600107</v>
      </c>
      <c r="BE17" s="145">
        <f t="shared" si="7"/>
        <v>-2050.41</v>
      </c>
    </row>
    <row r="18" spans="1:57" ht="12.75">
      <c r="A18" s="72" t="s">
        <v>49</v>
      </c>
      <c r="B18" s="177">
        <v>3597.1</v>
      </c>
      <c r="C18" s="47">
        <f t="shared" si="1"/>
        <v>31114.915</v>
      </c>
      <c r="D18" s="53">
        <f aca="true" t="shared" si="16" ref="D18:D25">C18-E18-F18-G18-H18-I18-J18-K18-L18-M18-N18</f>
        <v>3109.6849999999995</v>
      </c>
      <c r="E18" s="178">
        <v>2680.68</v>
      </c>
      <c r="F18" s="178">
        <v>551.59</v>
      </c>
      <c r="G18" s="178">
        <v>3631.53</v>
      </c>
      <c r="H18" s="178">
        <v>747.45</v>
      </c>
      <c r="I18" s="178">
        <v>8724.79</v>
      </c>
      <c r="J18" s="178">
        <v>1795.5</v>
      </c>
      <c r="K18" s="178">
        <v>6044.08</v>
      </c>
      <c r="L18" s="178">
        <v>1243.88</v>
      </c>
      <c r="M18" s="178">
        <v>2144.51</v>
      </c>
      <c r="N18" s="202">
        <v>441.22</v>
      </c>
      <c r="O18" s="51">
        <v>0</v>
      </c>
      <c r="P18" s="51">
        <v>0</v>
      </c>
      <c r="Q18" s="51">
        <v>0</v>
      </c>
      <c r="R18" s="51">
        <v>0</v>
      </c>
      <c r="S18" s="80">
        <f t="shared" si="8"/>
        <v>23225.590000000004</v>
      </c>
      <c r="T18" s="93">
        <f t="shared" si="9"/>
        <v>4779.64</v>
      </c>
      <c r="U18" s="39">
        <v>2128.13</v>
      </c>
      <c r="V18" s="39">
        <v>2873</v>
      </c>
      <c r="W18" s="39">
        <v>6916.36</v>
      </c>
      <c r="X18" s="39">
        <v>4788.25</v>
      </c>
      <c r="Y18" s="39">
        <v>1702.51</v>
      </c>
      <c r="Z18" s="39">
        <v>0</v>
      </c>
      <c r="AA18" s="51">
        <v>0</v>
      </c>
      <c r="AB18" s="49">
        <f t="shared" si="2"/>
        <v>18408.249999999996</v>
      </c>
      <c r="AC18" s="169">
        <f t="shared" si="10"/>
        <v>26297.574999999997</v>
      </c>
      <c r="AD18" s="85">
        <f t="shared" si="11"/>
        <v>0</v>
      </c>
      <c r="AE18" s="85">
        <f t="shared" si="12"/>
        <v>0</v>
      </c>
      <c r="AF18" s="85"/>
      <c r="AG18" s="86">
        <f aca="true" t="shared" si="17" ref="AG18:AG25">0.6*B18</f>
        <v>2158.2599999999998</v>
      </c>
      <c r="AH18" s="86">
        <f>B18*0.2*1.01</f>
        <v>726.6142000000001</v>
      </c>
      <c r="AI18" s="86">
        <f>0.85*B18</f>
        <v>3057.535</v>
      </c>
      <c r="AJ18" s="86">
        <f t="shared" si="13"/>
        <v>550.3562999999999</v>
      </c>
      <c r="AK18" s="86">
        <f>0.83*B18</f>
        <v>2985.593</v>
      </c>
      <c r="AL18" s="86">
        <f t="shared" si="14"/>
        <v>537.4067399999999</v>
      </c>
      <c r="AM18" s="86">
        <f>(1.91)*B18</f>
        <v>6870.460999999999</v>
      </c>
      <c r="AN18" s="86">
        <f t="shared" si="15"/>
        <v>1236.6829799999998</v>
      </c>
      <c r="AO18" s="86"/>
      <c r="AP18" s="86">
        <f t="shared" si="3"/>
        <v>0</v>
      </c>
      <c r="AQ18" s="88"/>
      <c r="AR18" s="88">
        <f t="shared" si="3"/>
        <v>0</v>
      </c>
      <c r="AS18" s="87">
        <v>74.6</v>
      </c>
      <c r="AT18" s="87"/>
      <c r="AU18" s="87">
        <f t="shared" si="6"/>
        <v>13.427999999999999</v>
      </c>
      <c r="AV18" s="167"/>
      <c r="AW18" s="180">
        <v>693</v>
      </c>
      <c r="AX18" s="86">
        <f t="shared" si="4"/>
        <v>915.8688000000001</v>
      </c>
      <c r="AY18" s="50"/>
      <c r="AZ18" s="89"/>
      <c r="BA18" s="89">
        <f aca="true" t="shared" si="18" ref="BA18:BA25">AZ18*0.18</f>
        <v>0</v>
      </c>
      <c r="BB18" s="89">
        <f>SUM(AG18:BA18)-AV18-AW18</f>
        <v>19126.806019999996</v>
      </c>
      <c r="BC18" s="176"/>
      <c r="BD18" s="141">
        <f t="shared" si="5"/>
        <v>7170.768980000001</v>
      </c>
      <c r="BE18" s="145">
        <f>AB18-S18</f>
        <v>-4817.340000000007</v>
      </c>
    </row>
    <row r="19" spans="1:57" ht="12.75">
      <c r="A19" s="72" t="s">
        <v>50</v>
      </c>
      <c r="B19" s="177">
        <v>3597.1</v>
      </c>
      <c r="C19" s="47">
        <f t="shared" si="1"/>
        <v>31114.915</v>
      </c>
      <c r="D19" s="53">
        <f t="shared" si="16"/>
        <v>3216.2149999999997</v>
      </c>
      <c r="E19" s="178">
        <v>2694.15</v>
      </c>
      <c r="F19" s="178">
        <v>525.8</v>
      </c>
      <c r="G19" s="178">
        <v>3649.64</v>
      </c>
      <c r="H19" s="178">
        <v>712.71</v>
      </c>
      <c r="I19" s="178">
        <v>8768.45</v>
      </c>
      <c r="J19" s="178">
        <v>1711.77</v>
      </c>
      <c r="K19" s="178">
        <v>6074.29</v>
      </c>
      <c r="L19" s="178">
        <v>1185.98</v>
      </c>
      <c r="M19" s="178">
        <v>2155.26</v>
      </c>
      <c r="N19" s="202">
        <v>420.65</v>
      </c>
      <c r="O19" s="51">
        <v>0</v>
      </c>
      <c r="P19" s="51">
        <v>0</v>
      </c>
      <c r="Q19" s="51">
        <v>0</v>
      </c>
      <c r="R19" s="51">
        <v>0</v>
      </c>
      <c r="S19" s="80">
        <f t="shared" si="8"/>
        <v>23341.79</v>
      </c>
      <c r="T19" s="93">
        <f t="shared" si="9"/>
        <v>4556.91</v>
      </c>
      <c r="U19" s="39">
        <v>2626.76</v>
      </c>
      <c r="V19" s="39">
        <v>3555.13</v>
      </c>
      <c r="W19" s="39">
        <v>8545.84</v>
      </c>
      <c r="X19" s="39">
        <v>5918.94</v>
      </c>
      <c r="Y19" s="39">
        <v>2101.34</v>
      </c>
      <c r="Z19" s="39">
        <v>0</v>
      </c>
      <c r="AA19" s="51">
        <v>0</v>
      </c>
      <c r="AB19" s="49">
        <f t="shared" si="2"/>
        <v>22748.01</v>
      </c>
      <c r="AC19" s="169">
        <f t="shared" si="10"/>
        <v>30521.135</v>
      </c>
      <c r="AD19" s="85">
        <f t="shared" si="11"/>
        <v>0</v>
      </c>
      <c r="AE19" s="85">
        <f t="shared" si="12"/>
        <v>0</v>
      </c>
      <c r="AF19" s="85"/>
      <c r="AG19" s="86">
        <f t="shared" si="17"/>
        <v>2158.2599999999998</v>
      </c>
      <c r="AH19" s="86">
        <f>B19*0.2*1.01045</f>
        <v>726.9379390000001</v>
      </c>
      <c r="AI19" s="86">
        <f>0.85*B19</f>
        <v>3057.535</v>
      </c>
      <c r="AJ19" s="86">
        <f t="shared" si="13"/>
        <v>550.3562999999999</v>
      </c>
      <c r="AK19" s="86">
        <f>0.83*B19</f>
        <v>2985.593</v>
      </c>
      <c r="AL19" s="86">
        <f t="shared" si="14"/>
        <v>537.4067399999999</v>
      </c>
      <c r="AM19" s="86">
        <f>(1.91)*B19</f>
        <v>6870.460999999999</v>
      </c>
      <c r="AN19" s="86">
        <f t="shared" si="15"/>
        <v>1236.6829799999998</v>
      </c>
      <c r="AO19" s="86"/>
      <c r="AP19" s="86">
        <f t="shared" si="3"/>
        <v>0</v>
      </c>
      <c r="AQ19" s="88"/>
      <c r="AR19" s="88">
        <f t="shared" si="3"/>
        <v>0</v>
      </c>
      <c r="AS19" s="87">
        <v>150.14</v>
      </c>
      <c r="AT19" s="87"/>
      <c r="AU19" s="87">
        <f t="shared" si="6"/>
        <v>27.025199999999998</v>
      </c>
      <c r="AV19" s="167"/>
      <c r="AW19" s="180">
        <v>702</v>
      </c>
      <c r="AX19" s="86">
        <f t="shared" si="4"/>
        <v>927.7632000000001</v>
      </c>
      <c r="AY19" s="50"/>
      <c r="AZ19" s="89"/>
      <c r="BA19" s="89">
        <f t="shared" si="18"/>
        <v>0</v>
      </c>
      <c r="BB19" s="89">
        <f>SUM(AG19:BA19)-AV19-AW19</f>
        <v>19228.161358999998</v>
      </c>
      <c r="BC19" s="176"/>
      <c r="BD19" s="141">
        <f t="shared" si="5"/>
        <v>11292.973641</v>
      </c>
      <c r="BE19" s="145">
        <f t="shared" si="7"/>
        <v>-593.7800000000025</v>
      </c>
    </row>
    <row r="20" spans="1:57" ht="12.75">
      <c r="A20" s="72" t="s">
        <v>51</v>
      </c>
      <c r="B20" s="175">
        <v>3596.3</v>
      </c>
      <c r="C20" s="47">
        <f t="shared" si="1"/>
        <v>31107.995000000003</v>
      </c>
      <c r="D20" s="53">
        <f t="shared" si="16"/>
        <v>3271.6450000000054</v>
      </c>
      <c r="E20" s="178">
        <v>2690.53</v>
      </c>
      <c r="F20" s="178">
        <v>522.23</v>
      </c>
      <c r="G20" s="178">
        <v>3644.78</v>
      </c>
      <c r="H20" s="178">
        <v>707.86</v>
      </c>
      <c r="I20" s="178">
        <v>8756.72</v>
      </c>
      <c r="J20" s="178">
        <v>1700.06</v>
      </c>
      <c r="K20" s="178">
        <v>6066.13</v>
      </c>
      <c r="L20" s="178">
        <v>1177.9</v>
      </c>
      <c r="M20" s="178">
        <v>2152.33</v>
      </c>
      <c r="N20" s="202">
        <v>417.81</v>
      </c>
      <c r="O20" s="51">
        <v>0</v>
      </c>
      <c r="P20" s="51">
        <v>0</v>
      </c>
      <c r="Q20" s="51">
        <v>0</v>
      </c>
      <c r="R20" s="51">
        <v>0</v>
      </c>
      <c r="S20" s="80">
        <f t="shared" si="8"/>
        <v>23310.489999999998</v>
      </c>
      <c r="T20" s="93">
        <f t="shared" si="9"/>
        <v>4525.860000000001</v>
      </c>
      <c r="U20" s="39">
        <v>2589.62</v>
      </c>
      <c r="V20" s="39">
        <v>3505.55</v>
      </c>
      <c r="W20" s="39">
        <v>8427.07</v>
      </c>
      <c r="X20" s="39">
        <v>5836.02</v>
      </c>
      <c r="Y20" s="39">
        <v>2071.66</v>
      </c>
      <c r="Z20" s="39">
        <v>0</v>
      </c>
      <c r="AA20" s="51">
        <v>0</v>
      </c>
      <c r="AB20" s="49">
        <f t="shared" si="2"/>
        <v>22429.920000000002</v>
      </c>
      <c r="AC20" s="169">
        <f t="shared" si="10"/>
        <v>30227.42500000001</v>
      </c>
      <c r="AD20" s="85">
        <f t="shared" si="11"/>
        <v>0</v>
      </c>
      <c r="AE20" s="85">
        <f t="shared" si="12"/>
        <v>0</v>
      </c>
      <c r="AF20" s="85">
        <f>'[1]Т07-09'!$I$62+'[1]Т07-09'!$I$83</f>
        <v>2223.5678399999997</v>
      </c>
      <c r="AG20" s="86">
        <f t="shared" si="17"/>
        <v>2157.78</v>
      </c>
      <c r="AH20" s="86">
        <f>B20*0.2*0.99426</f>
        <v>715.1314476000001</v>
      </c>
      <c r="AI20" s="86">
        <f>0.85*B20*0.9857</f>
        <v>3013.1419735</v>
      </c>
      <c r="AJ20" s="86">
        <f t="shared" si="13"/>
        <v>542.3655552299999</v>
      </c>
      <c r="AK20" s="86">
        <f>0.83*B20*0.9905</f>
        <v>2956.5721745</v>
      </c>
      <c r="AL20" s="86">
        <f t="shared" si="14"/>
        <v>532.18299141</v>
      </c>
      <c r="AM20" s="86">
        <f>(1.91)*B20*0.9904</f>
        <v>6802.991243199999</v>
      </c>
      <c r="AN20" s="86">
        <f t="shared" si="15"/>
        <v>1224.5384237759997</v>
      </c>
      <c r="AO20" s="86"/>
      <c r="AP20" s="86">
        <f t="shared" si="3"/>
        <v>0</v>
      </c>
      <c r="AQ20" s="88"/>
      <c r="AR20" s="88">
        <f t="shared" si="3"/>
        <v>0</v>
      </c>
      <c r="AS20" s="87">
        <f>38498.85</f>
        <v>38498.85</v>
      </c>
      <c r="AT20" s="87">
        <f>641.53*3</f>
        <v>1924.59</v>
      </c>
      <c r="AU20" s="87">
        <f t="shared" si="6"/>
        <v>7276.219199999999</v>
      </c>
      <c r="AV20" s="167"/>
      <c r="AW20" s="180">
        <v>632</v>
      </c>
      <c r="AX20" s="86">
        <f t="shared" si="4"/>
        <v>835.2512</v>
      </c>
      <c r="AY20" s="50"/>
      <c r="AZ20" s="89"/>
      <c r="BA20" s="89">
        <f t="shared" si="18"/>
        <v>0</v>
      </c>
      <c r="BB20" s="89">
        <f>SUM(AG20:BA20)-AV20-AW20</f>
        <v>66479.61420921599</v>
      </c>
      <c r="BC20" s="176">
        <f>'[2]Т07-09'!$O$62+'[2]Т07-09'!$O$83</f>
        <v>912.65560908</v>
      </c>
      <c r="BD20" s="141">
        <f t="shared" si="5"/>
        <v>-34941.27697829598</v>
      </c>
      <c r="BE20" s="145">
        <f t="shared" si="7"/>
        <v>-880.5699999999961</v>
      </c>
    </row>
    <row r="21" spans="1:57" ht="12.75">
      <c r="A21" s="72" t="s">
        <v>52</v>
      </c>
      <c r="B21" s="73">
        <v>3596.3</v>
      </c>
      <c r="C21" s="47">
        <f t="shared" si="1"/>
        <v>31107.995000000003</v>
      </c>
      <c r="D21" s="53">
        <f t="shared" si="16"/>
        <v>3215.245000000001</v>
      </c>
      <c r="E21" s="178">
        <v>2693.81</v>
      </c>
      <c r="F21" s="178">
        <v>525.46</v>
      </c>
      <c r="G21" s="178">
        <v>3649.17</v>
      </c>
      <c r="H21" s="178">
        <v>712.25</v>
      </c>
      <c r="I21" s="178">
        <v>8767.33</v>
      </c>
      <c r="J21" s="178">
        <v>1710.66</v>
      </c>
      <c r="K21" s="178">
        <v>6073.5</v>
      </c>
      <c r="L21" s="178">
        <v>1185.21</v>
      </c>
      <c r="M21" s="178">
        <v>2154.97</v>
      </c>
      <c r="N21" s="202">
        <v>420.39</v>
      </c>
      <c r="O21" s="51">
        <v>0</v>
      </c>
      <c r="P21" s="51">
        <v>0</v>
      </c>
      <c r="Q21" s="39">
        <v>0</v>
      </c>
      <c r="R21" s="39">
        <v>0</v>
      </c>
      <c r="S21" s="80">
        <f t="shared" si="8"/>
        <v>23338.78</v>
      </c>
      <c r="T21" s="93">
        <f t="shared" si="9"/>
        <v>4553.97</v>
      </c>
      <c r="U21" s="39">
        <v>2845.09</v>
      </c>
      <c r="V21" s="39">
        <v>3852.51</v>
      </c>
      <c r="W21" s="39">
        <v>9258.21</v>
      </c>
      <c r="X21" s="39">
        <v>6413</v>
      </c>
      <c r="Y21" s="39">
        <v>2276.08</v>
      </c>
      <c r="Z21" s="39">
        <v>0</v>
      </c>
      <c r="AA21" s="51">
        <v>0</v>
      </c>
      <c r="AB21" s="49">
        <f t="shared" si="2"/>
        <v>24644.89</v>
      </c>
      <c r="AC21" s="169">
        <f t="shared" si="10"/>
        <v>32414.105</v>
      </c>
      <c r="AD21" s="85">
        <f t="shared" si="11"/>
        <v>0</v>
      </c>
      <c r="AE21" s="85">
        <f t="shared" si="12"/>
        <v>0</v>
      </c>
      <c r="AF21" s="85">
        <f>'[1]Т07-09'!$I$62+'[1]Т07-09'!$I$83</f>
        <v>2223.5678399999997</v>
      </c>
      <c r="AG21" s="86">
        <f t="shared" si="17"/>
        <v>2157.78</v>
      </c>
      <c r="AH21" s="86">
        <f>B21*0.2*0.99875</f>
        <v>718.3609250000002</v>
      </c>
      <c r="AI21" s="86">
        <f>0.85*B21*0.98526</f>
        <v>3011.7969573</v>
      </c>
      <c r="AJ21" s="86">
        <f t="shared" si="13"/>
        <v>542.123452314</v>
      </c>
      <c r="AK21" s="86">
        <f>0.83*B21*0.99</f>
        <v>2955.07971</v>
      </c>
      <c r="AL21" s="86">
        <f t="shared" si="14"/>
        <v>531.9143478</v>
      </c>
      <c r="AM21" s="86">
        <f>(1.91)*B21*0.99</f>
        <v>6800.24367</v>
      </c>
      <c r="AN21" s="86">
        <f t="shared" si="15"/>
        <v>1224.0438606</v>
      </c>
      <c r="AO21" s="86"/>
      <c r="AP21" s="86">
        <f t="shared" si="3"/>
        <v>0</v>
      </c>
      <c r="AQ21" s="88">
        <v>1050.54</v>
      </c>
      <c r="AR21" s="88">
        <f t="shared" si="3"/>
        <v>189.0972</v>
      </c>
      <c r="AS21" s="87">
        <v>10798</v>
      </c>
      <c r="AT21" s="87"/>
      <c r="AU21" s="87">
        <f t="shared" si="6"/>
        <v>1943.6399999999999</v>
      </c>
      <c r="AV21" s="167"/>
      <c r="AW21" s="180">
        <v>592</v>
      </c>
      <c r="AX21" s="86">
        <f t="shared" si="4"/>
        <v>782.3872</v>
      </c>
      <c r="AY21" s="50"/>
      <c r="AZ21" s="89"/>
      <c r="BA21" s="89">
        <f t="shared" si="18"/>
        <v>0</v>
      </c>
      <c r="BB21" s="89">
        <f>SUM(AG21:BA21)-AV21-AW21</f>
        <v>32705.007323013997</v>
      </c>
      <c r="BC21" s="176">
        <f>'[2]Т08-09'!$O$63+'[2]Т08-09'!$O$84</f>
        <v>912.2409285239999</v>
      </c>
      <c r="BD21" s="141">
        <f t="shared" si="5"/>
        <v>1020.4245884620025</v>
      </c>
      <c r="BE21" s="145">
        <f t="shared" si="7"/>
        <v>1306.1100000000006</v>
      </c>
    </row>
    <row r="22" spans="1:57" ht="12.75">
      <c r="A22" s="72" t="s">
        <v>53</v>
      </c>
      <c r="B22" s="73">
        <v>3596.3</v>
      </c>
      <c r="C22" s="47">
        <f t="shared" si="1"/>
        <v>31107.995000000003</v>
      </c>
      <c r="D22" s="53">
        <f t="shared" si="16"/>
        <v>3221.335000000001</v>
      </c>
      <c r="E22" s="74">
        <v>2675.15</v>
      </c>
      <c r="F22" s="74">
        <v>543.41</v>
      </c>
      <c r="G22" s="74">
        <v>3623.9</v>
      </c>
      <c r="H22" s="74">
        <v>736.6</v>
      </c>
      <c r="I22" s="74">
        <v>8706.56</v>
      </c>
      <c r="J22" s="74">
        <v>1769.11</v>
      </c>
      <c r="K22" s="74">
        <v>6031.42</v>
      </c>
      <c r="L22" s="74">
        <v>1225.71</v>
      </c>
      <c r="M22" s="74">
        <v>2140.07</v>
      </c>
      <c r="N22" s="75">
        <v>434.73</v>
      </c>
      <c r="O22" s="81">
        <v>0</v>
      </c>
      <c r="P22" s="81">
        <v>0</v>
      </c>
      <c r="Q22" s="81">
        <v>0</v>
      </c>
      <c r="R22" s="81">
        <v>0</v>
      </c>
      <c r="S22" s="80">
        <f t="shared" si="8"/>
        <v>23177.1</v>
      </c>
      <c r="T22" s="93">
        <f t="shared" si="9"/>
        <v>4709.56</v>
      </c>
      <c r="U22" s="80">
        <v>2351.4</v>
      </c>
      <c r="V22" s="80">
        <v>3184.83</v>
      </c>
      <c r="W22" s="80">
        <v>7652.31</v>
      </c>
      <c r="X22" s="80">
        <v>5300.97</v>
      </c>
      <c r="Y22" s="80">
        <v>1881.02</v>
      </c>
      <c r="Z22" s="80">
        <v>0</v>
      </c>
      <c r="AA22" s="81">
        <v>0</v>
      </c>
      <c r="AB22" s="49">
        <f t="shared" si="2"/>
        <v>20370.530000000002</v>
      </c>
      <c r="AC22" s="169">
        <f t="shared" si="10"/>
        <v>28301.425000000003</v>
      </c>
      <c r="AD22" s="85">
        <f t="shared" si="11"/>
        <v>0</v>
      </c>
      <c r="AE22" s="85">
        <f t="shared" si="12"/>
        <v>0</v>
      </c>
      <c r="AF22" s="85">
        <f>'[1]Т07-09'!$I$62+'[1]Т07-09'!$I$83</f>
        <v>2223.5678399999997</v>
      </c>
      <c r="AG22" s="86">
        <f t="shared" si="17"/>
        <v>2157.78</v>
      </c>
      <c r="AH22" s="86">
        <f>B22*0.2*0.9997</f>
        <v>719.0442220000001</v>
      </c>
      <c r="AI22" s="86">
        <f>0.85*B22*0.98509</f>
        <v>3011.2772919500003</v>
      </c>
      <c r="AJ22" s="86">
        <f t="shared" si="13"/>
        <v>542.029912551</v>
      </c>
      <c r="AK22" s="86">
        <f>0.83*B22*0.98981</f>
        <v>2954.51257349</v>
      </c>
      <c r="AL22" s="86">
        <f t="shared" si="14"/>
        <v>531.8122632282</v>
      </c>
      <c r="AM22" s="86">
        <f>(1.91)*B22*0.9898</f>
        <v>6798.8698834</v>
      </c>
      <c r="AN22" s="86">
        <f t="shared" si="15"/>
        <v>1223.796579012</v>
      </c>
      <c r="AO22" s="86"/>
      <c r="AP22" s="86">
        <f t="shared" si="3"/>
        <v>0</v>
      </c>
      <c r="AQ22" s="88"/>
      <c r="AR22" s="88">
        <f t="shared" si="3"/>
        <v>0</v>
      </c>
      <c r="AS22" s="87">
        <v>463.56</v>
      </c>
      <c r="AT22" s="87"/>
      <c r="AU22" s="87">
        <f t="shared" si="6"/>
        <v>83.4408</v>
      </c>
      <c r="AV22" s="167"/>
      <c r="AW22" s="180">
        <v>719</v>
      </c>
      <c r="AX22" s="86">
        <f t="shared" si="4"/>
        <v>950.2304</v>
      </c>
      <c r="AY22" s="50"/>
      <c r="AZ22" s="89"/>
      <c r="BA22" s="89">
        <f t="shared" si="18"/>
        <v>0</v>
      </c>
      <c r="BB22" s="89">
        <f>SUM(AG22:BA22)-AV22-AW22</f>
        <v>19436.3539256312</v>
      </c>
      <c r="BC22" s="176">
        <f>'[2]Т09-09'!$O$63+'[2]Т09-09'!$O$84</f>
        <v>912.1029575196</v>
      </c>
      <c r="BD22" s="141">
        <f t="shared" si="5"/>
        <v>10176.535956849202</v>
      </c>
      <c r="BE22" s="145">
        <f>AB22-S22</f>
        <v>-2806.569999999996</v>
      </c>
    </row>
    <row r="23" spans="1:57" ht="12.75">
      <c r="A23" s="72" t="s">
        <v>41</v>
      </c>
      <c r="B23" s="73">
        <v>3596.3</v>
      </c>
      <c r="C23" s="54">
        <f t="shared" si="1"/>
        <v>31107.995000000003</v>
      </c>
      <c r="D23" s="53">
        <f t="shared" si="16"/>
        <v>3222.8649999999993</v>
      </c>
      <c r="E23" s="94">
        <v>2674.97</v>
      </c>
      <c r="F23" s="80">
        <v>543.41</v>
      </c>
      <c r="G23" s="80">
        <v>3623.67</v>
      </c>
      <c r="H23" s="80">
        <v>736.59</v>
      </c>
      <c r="I23" s="80">
        <v>8706</v>
      </c>
      <c r="J23" s="80">
        <v>1769.11</v>
      </c>
      <c r="K23" s="80">
        <v>6031.03</v>
      </c>
      <c r="L23" s="80">
        <v>1225.71</v>
      </c>
      <c r="M23" s="80">
        <v>2139.89</v>
      </c>
      <c r="N23" s="81">
        <v>434.75</v>
      </c>
      <c r="O23" s="81">
        <v>0</v>
      </c>
      <c r="P23" s="81">
        <v>0</v>
      </c>
      <c r="Q23" s="80">
        <v>0</v>
      </c>
      <c r="R23" s="80">
        <v>0</v>
      </c>
      <c r="S23" s="80">
        <f t="shared" si="8"/>
        <v>23175.559999999998</v>
      </c>
      <c r="T23" s="93">
        <f t="shared" si="9"/>
        <v>4709.57</v>
      </c>
      <c r="U23" s="182">
        <f>2336.29+590</f>
        <v>2926.29</v>
      </c>
      <c r="V23" s="80">
        <f>3164.42+799.21</f>
        <v>3963.63</v>
      </c>
      <c r="W23" s="80">
        <f>7603.33+1920.25</f>
        <v>9523.58</v>
      </c>
      <c r="X23" s="80">
        <f>5266.97+1330.17</f>
        <v>6597.14</v>
      </c>
      <c r="Y23" s="80">
        <f>1869.07+472.01</f>
        <v>2341.08</v>
      </c>
      <c r="Z23" s="81">
        <v>0</v>
      </c>
      <c r="AA23" s="81">
        <v>0</v>
      </c>
      <c r="AB23" s="81">
        <f>SUM(U23:AA23)</f>
        <v>25351.72</v>
      </c>
      <c r="AC23" s="169">
        <f>AB23+T23+D23</f>
        <v>33284.155</v>
      </c>
      <c r="AD23" s="85">
        <f t="shared" si="11"/>
        <v>0</v>
      </c>
      <c r="AE23" s="85">
        <f t="shared" si="12"/>
        <v>0</v>
      </c>
      <c r="AF23" s="85">
        <f>'[3]Т10'!$I$65+'[3]Т10'!$I$91</f>
        <v>2223.5678399999997</v>
      </c>
      <c r="AG23" s="86">
        <f t="shared" si="17"/>
        <v>2157.78</v>
      </c>
      <c r="AH23" s="86">
        <f>B23*0.2</f>
        <v>719.2600000000001</v>
      </c>
      <c r="AI23" s="86">
        <f>0.847*B23</f>
        <v>3046.0661</v>
      </c>
      <c r="AJ23" s="86">
        <f t="shared" si="13"/>
        <v>548.291898</v>
      </c>
      <c r="AK23" s="86">
        <f>0.83*B23</f>
        <v>2984.929</v>
      </c>
      <c r="AL23" s="86">
        <f t="shared" si="14"/>
        <v>537.28722</v>
      </c>
      <c r="AM23" s="86">
        <f>(2.25/1.18)*B23</f>
        <v>6857.3516949152545</v>
      </c>
      <c r="AN23" s="86">
        <f t="shared" si="15"/>
        <v>1234.3233050847457</v>
      </c>
      <c r="AO23" s="86"/>
      <c r="AP23" s="86">
        <f t="shared" si="3"/>
        <v>0</v>
      </c>
      <c r="AQ23" s="88"/>
      <c r="AR23" s="88">
        <f t="shared" si="3"/>
        <v>0</v>
      </c>
      <c r="AS23" s="87">
        <v>21009.23</v>
      </c>
      <c r="AT23" s="87">
        <v>983</v>
      </c>
      <c r="AU23" s="87">
        <f t="shared" si="6"/>
        <v>3958.6013999999996</v>
      </c>
      <c r="AV23" s="167"/>
      <c r="AW23" s="168">
        <v>751</v>
      </c>
      <c r="AX23" s="86">
        <f>AW23*1.12*1.18</f>
        <v>992.5216</v>
      </c>
      <c r="AY23" s="50"/>
      <c r="AZ23" s="55"/>
      <c r="BA23" s="89">
        <f t="shared" si="18"/>
        <v>0</v>
      </c>
      <c r="BB23" s="89">
        <f>SUM(AG23:AU23)+AX23+AY23+AZ23+BA23</f>
        <v>45028.642218</v>
      </c>
      <c r="BC23" s="176">
        <f>'[4]Т10'!$O$65+'[4]Т10'!$O$91</f>
        <v>919.221068</v>
      </c>
      <c r="BD23" s="141">
        <f t="shared" si="5"/>
        <v>-10440.140446</v>
      </c>
      <c r="BE23" s="145">
        <f>AB23-S23</f>
        <v>2176.1600000000035</v>
      </c>
    </row>
    <row r="24" spans="1:57" ht="12.75">
      <c r="A24" s="72" t="s">
        <v>42</v>
      </c>
      <c r="B24" s="175">
        <v>3597.5</v>
      </c>
      <c r="C24" s="54">
        <f t="shared" si="1"/>
        <v>31118.375</v>
      </c>
      <c r="D24" s="53">
        <f t="shared" si="16"/>
        <v>3223.884999999998</v>
      </c>
      <c r="E24" s="74">
        <v>2675.86</v>
      </c>
      <c r="F24" s="74">
        <v>543.59</v>
      </c>
      <c r="G24" s="74">
        <v>3624.89</v>
      </c>
      <c r="H24" s="74">
        <v>736.83</v>
      </c>
      <c r="I24" s="74">
        <v>8708.94</v>
      </c>
      <c r="J24" s="74">
        <v>1769.69</v>
      </c>
      <c r="K24" s="74">
        <v>6033.07</v>
      </c>
      <c r="L24" s="74">
        <v>1226.11</v>
      </c>
      <c r="M24" s="74">
        <v>2140.62</v>
      </c>
      <c r="N24" s="75">
        <v>434.89</v>
      </c>
      <c r="O24" s="81">
        <v>0</v>
      </c>
      <c r="P24" s="81">
        <v>0</v>
      </c>
      <c r="Q24" s="81">
        <v>0</v>
      </c>
      <c r="R24" s="81">
        <v>0</v>
      </c>
      <c r="S24" s="80">
        <f t="shared" si="8"/>
        <v>23183.38</v>
      </c>
      <c r="T24" s="93">
        <f t="shared" si="9"/>
        <v>4711.110000000001</v>
      </c>
      <c r="U24" s="80">
        <v>2840.27</v>
      </c>
      <c r="V24" s="80">
        <v>3847.38</v>
      </c>
      <c r="W24" s="80">
        <v>9243.76</v>
      </c>
      <c r="X24" s="80">
        <v>6403.58</v>
      </c>
      <c r="Y24" s="80">
        <v>2272.09</v>
      </c>
      <c r="Z24" s="80">
        <v>0</v>
      </c>
      <c r="AA24" s="81">
        <v>0</v>
      </c>
      <c r="AB24" s="81">
        <f>SUM(U24:AA24)</f>
        <v>24607.079999999998</v>
      </c>
      <c r="AC24" s="169">
        <f>D24+T24+AB24</f>
        <v>32542.074999999997</v>
      </c>
      <c r="AD24" s="85">
        <f t="shared" si="11"/>
        <v>0</v>
      </c>
      <c r="AE24" s="85">
        <f t="shared" si="12"/>
        <v>0</v>
      </c>
      <c r="AF24" s="85">
        <f>'[3]Т11'!$I$65+'[3]Т11'!$I$91</f>
        <v>2223.5678399999997</v>
      </c>
      <c r="AG24" s="86">
        <f t="shared" si="17"/>
        <v>2158.5</v>
      </c>
      <c r="AH24" s="86">
        <f>B24*0.2</f>
        <v>719.5</v>
      </c>
      <c r="AI24" s="86">
        <f>0.85*B24</f>
        <v>3057.875</v>
      </c>
      <c r="AJ24" s="86">
        <f t="shared" si="13"/>
        <v>550.4175</v>
      </c>
      <c r="AK24" s="86">
        <f>0.83*B24</f>
        <v>2985.9249999999997</v>
      </c>
      <c r="AL24" s="86">
        <f t="shared" si="14"/>
        <v>537.4664999999999</v>
      </c>
      <c r="AM24" s="86">
        <f>(1.91)*B24</f>
        <v>6871.224999999999</v>
      </c>
      <c r="AN24" s="86">
        <f t="shared" si="15"/>
        <v>1236.8204999999998</v>
      </c>
      <c r="AO24" s="86"/>
      <c r="AP24" s="86">
        <f t="shared" si="3"/>
        <v>0</v>
      </c>
      <c r="AQ24" s="88"/>
      <c r="AR24" s="88">
        <f t="shared" si="3"/>
        <v>0</v>
      </c>
      <c r="AS24" s="87">
        <v>444</v>
      </c>
      <c r="AT24" s="87">
        <f>1*375</f>
        <v>375</v>
      </c>
      <c r="AU24" s="87">
        <f t="shared" si="6"/>
        <v>147.42</v>
      </c>
      <c r="AV24" s="167"/>
      <c r="AW24" s="168">
        <v>699</v>
      </c>
      <c r="AX24" s="86">
        <f t="shared" si="4"/>
        <v>923.7984000000001</v>
      </c>
      <c r="AY24" s="50"/>
      <c r="AZ24" s="89"/>
      <c r="BA24" s="89">
        <f t="shared" si="18"/>
        <v>0</v>
      </c>
      <c r="BB24" s="89">
        <f>SUM(AG24:AU24)+AX24+AY24+AZ24+BA24</f>
        <v>20007.9479</v>
      </c>
      <c r="BC24" s="90">
        <f>'[3]Т11'!$O$65+'[3]Т11'!$O$91</f>
        <v>920.52396</v>
      </c>
      <c r="BD24" s="141">
        <f t="shared" si="5"/>
        <v>13837.17098</v>
      </c>
      <c r="BE24" s="145">
        <f t="shared" si="7"/>
        <v>1423.699999999997</v>
      </c>
    </row>
    <row r="25" spans="1:57" ht="12.75">
      <c r="A25" s="72" t="s">
        <v>43</v>
      </c>
      <c r="B25" s="73">
        <v>3597.4</v>
      </c>
      <c r="C25" s="54">
        <f t="shared" si="1"/>
        <v>31117.510000000002</v>
      </c>
      <c r="D25" s="53">
        <f t="shared" si="16"/>
        <v>3222.06</v>
      </c>
      <c r="E25" s="74">
        <v>2676.01</v>
      </c>
      <c r="F25" s="74">
        <v>543.55</v>
      </c>
      <c r="G25" s="74">
        <v>3625.11</v>
      </c>
      <c r="H25" s="74">
        <v>736.77</v>
      </c>
      <c r="I25" s="74">
        <v>8709.43</v>
      </c>
      <c r="J25" s="74">
        <v>1769.55</v>
      </c>
      <c r="K25" s="74">
        <v>6033.42</v>
      </c>
      <c r="L25" s="74">
        <v>1226.01</v>
      </c>
      <c r="M25" s="74">
        <v>2140.74</v>
      </c>
      <c r="N25" s="75">
        <v>434.86</v>
      </c>
      <c r="O25" s="81">
        <v>0</v>
      </c>
      <c r="P25" s="81">
        <v>0</v>
      </c>
      <c r="Q25" s="81"/>
      <c r="R25" s="81"/>
      <c r="S25" s="80">
        <f t="shared" si="8"/>
        <v>23184.71</v>
      </c>
      <c r="T25" s="93">
        <f t="shared" si="9"/>
        <v>4710.740000000001</v>
      </c>
      <c r="U25" s="80">
        <v>3616.94</v>
      </c>
      <c r="V25" s="80">
        <v>4359.85</v>
      </c>
      <c r="W25" s="80">
        <v>10471.77</v>
      </c>
      <c r="X25" s="80">
        <v>7254.88</v>
      </c>
      <c r="Y25" s="80">
        <v>2573.37</v>
      </c>
      <c r="Z25" s="80">
        <v>0</v>
      </c>
      <c r="AA25" s="81">
        <v>0</v>
      </c>
      <c r="AB25" s="81">
        <f>SUM(U25:AA25)</f>
        <v>28276.81</v>
      </c>
      <c r="AC25" s="169">
        <f>D25+T25+AB25</f>
        <v>36209.61</v>
      </c>
      <c r="AD25" s="85">
        <f t="shared" si="11"/>
        <v>0</v>
      </c>
      <c r="AE25" s="85">
        <f t="shared" si="12"/>
        <v>0</v>
      </c>
      <c r="AF25" s="85">
        <f>'[3]Т12'!$I$66+'[3]Т12'!$I$92</f>
        <v>2223.5678399999997</v>
      </c>
      <c r="AG25" s="86">
        <f t="shared" si="17"/>
        <v>2158.44</v>
      </c>
      <c r="AH25" s="86">
        <f>B25*0.2</f>
        <v>719.48</v>
      </c>
      <c r="AI25" s="86">
        <f>0.85*B25</f>
        <v>3057.79</v>
      </c>
      <c r="AJ25" s="86">
        <f t="shared" si="13"/>
        <v>550.4022</v>
      </c>
      <c r="AK25" s="86">
        <f>0.83*B25</f>
        <v>2985.842</v>
      </c>
      <c r="AL25" s="86">
        <f t="shared" si="14"/>
        <v>537.45156</v>
      </c>
      <c r="AM25" s="86">
        <f>(1.91)*B25</f>
        <v>6871.034</v>
      </c>
      <c r="AN25" s="86">
        <f t="shared" si="15"/>
        <v>1236.78612</v>
      </c>
      <c r="AO25" s="86"/>
      <c r="AP25" s="86">
        <f t="shared" si="3"/>
        <v>0</v>
      </c>
      <c r="AQ25" s="88"/>
      <c r="AR25" s="88">
        <f t="shared" si="3"/>
        <v>0</v>
      </c>
      <c r="AS25" s="87">
        <v>97916</v>
      </c>
      <c r="AT25" s="87">
        <v>463.56</v>
      </c>
      <c r="AU25" s="87">
        <f t="shared" si="6"/>
        <v>17708.320799999998</v>
      </c>
      <c r="AV25" s="167"/>
      <c r="AW25" s="168">
        <v>846</v>
      </c>
      <c r="AX25" s="86">
        <f t="shared" si="4"/>
        <v>1118.0736</v>
      </c>
      <c r="AY25" s="50"/>
      <c r="AZ25" s="89"/>
      <c r="BA25" s="89">
        <f t="shared" si="18"/>
        <v>0</v>
      </c>
      <c r="BB25" s="89">
        <f>SUM(AG25:BA25)-AV25-AW25</f>
        <v>135323.18028</v>
      </c>
      <c r="BC25" s="90">
        <f>'[3]Т12'!$O$66+'[3]Т12'!$O$92</f>
        <v>920.52396</v>
      </c>
      <c r="BD25" s="141">
        <f t="shared" si="5"/>
        <v>-97810.5264</v>
      </c>
      <c r="BE25" s="145">
        <f>AB25-S25</f>
        <v>5092.100000000002</v>
      </c>
    </row>
    <row r="26" spans="1:57" s="15" customFormat="1" ht="12.75">
      <c r="A26" s="9" t="s">
        <v>5</v>
      </c>
      <c r="B26" s="10"/>
      <c r="C26" s="10">
        <f aca="true" t="shared" si="19" ref="C26:BC26">SUM(C14:C25)</f>
        <v>373360.815</v>
      </c>
      <c r="D26" s="10">
        <f t="shared" si="19"/>
        <v>41260.82499999999</v>
      </c>
      <c r="E26" s="11">
        <f t="shared" si="19"/>
        <v>31259.620000000003</v>
      </c>
      <c r="F26" s="11">
        <f t="shared" si="19"/>
        <v>6015.010000000001</v>
      </c>
      <c r="G26" s="11">
        <f t="shared" si="19"/>
        <v>42300.969999999994</v>
      </c>
      <c r="H26" s="11">
        <f t="shared" si="19"/>
        <v>8143.629999999999</v>
      </c>
      <c r="I26" s="11">
        <f t="shared" si="19"/>
        <v>101693.29000000001</v>
      </c>
      <c r="J26" s="11">
        <f t="shared" si="19"/>
        <v>19572.33</v>
      </c>
      <c r="K26" s="11">
        <f t="shared" si="19"/>
        <v>70433.56</v>
      </c>
      <c r="L26" s="11">
        <f t="shared" si="19"/>
        <v>13557.47</v>
      </c>
      <c r="M26" s="11">
        <f t="shared" si="19"/>
        <v>25007.129999999997</v>
      </c>
      <c r="N26" s="11">
        <f t="shared" si="19"/>
        <v>4812.04</v>
      </c>
      <c r="O26" s="11">
        <f t="shared" si="19"/>
        <v>0</v>
      </c>
      <c r="P26" s="11">
        <f t="shared" si="19"/>
        <v>0</v>
      </c>
      <c r="Q26" s="11">
        <f t="shared" si="19"/>
        <v>0</v>
      </c>
      <c r="R26" s="11">
        <f t="shared" si="19"/>
        <v>0</v>
      </c>
      <c r="S26" s="11">
        <f t="shared" si="19"/>
        <v>270694.57</v>
      </c>
      <c r="T26" s="11">
        <f t="shared" si="19"/>
        <v>52100.479999999996</v>
      </c>
      <c r="U26" s="12">
        <f t="shared" si="19"/>
        <v>30913.72</v>
      </c>
      <c r="V26" s="12">
        <f t="shared" si="19"/>
        <v>41277.659999999996</v>
      </c>
      <c r="W26" s="12">
        <f t="shared" si="19"/>
        <v>99214.67</v>
      </c>
      <c r="X26" s="12">
        <f t="shared" si="19"/>
        <v>68738.55</v>
      </c>
      <c r="Y26" s="12">
        <f t="shared" si="19"/>
        <v>24410.42</v>
      </c>
      <c r="Z26" s="12">
        <f t="shared" si="19"/>
        <v>0</v>
      </c>
      <c r="AA26" s="12">
        <f t="shared" si="19"/>
        <v>0</v>
      </c>
      <c r="AB26" s="12">
        <f t="shared" si="19"/>
        <v>264555.02</v>
      </c>
      <c r="AC26" s="12">
        <f t="shared" si="19"/>
        <v>357916.325</v>
      </c>
      <c r="AD26" s="12">
        <f t="shared" si="19"/>
        <v>0</v>
      </c>
      <c r="AE26" s="44">
        <f t="shared" si="19"/>
        <v>0</v>
      </c>
      <c r="AF26" s="44">
        <f t="shared" si="19"/>
        <v>13341.407039999998</v>
      </c>
      <c r="AG26" s="13">
        <f t="shared" si="19"/>
        <v>25034.531999999996</v>
      </c>
      <c r="AH26" s="13">
        <f t="shared" si="19"/>
        <v>8381.5780316</v>
      </c>
      <c r="AI26" s="13">
        <f t="shared" si="19"/>
        <v>34999.07117425</v>
      </c>
      <c r="AJ26" s="13">
        <f t="shared" si="19"/>
        <v>6299.832811365</v>
      </c>
      <c r="AK26" s="13">
        <f t="shared" si="19"/>
        <v>34019.095147089996</v>
      </c>
      <c r="AL26" s="13">
        <f t="shared" si="19"/>
        <v>6123.437126476199</v>
      </c>
      <c r="AM26" s="13">
        <f t="shared" si="19"/>
        <v>78273.94298081525</v>
      </c>
      <c r="AN26" s="13">
        <f t="shared" si="19"/>
        <v>14089.309736546746</v>
      </c>
      <c r="AO26" s="13">
        <f t="shared" si="19"/>
        <v>0</v>
      </c>
      <c r="AP26" s="13">
        <f t="shared" si="19"/>
        <v>0</v>
      </c>
      <c r="AQ26" s="13">
        <f>SUM(AQ14:AQ25)</f>
        <v>1050.54</v>
      </c>
      <c r="AR26" s="13">
        <f>SUM(AR14:AR25)</f>
        <v>189.0972</v>
      </c>
      <c r="AS26" s="13">
        <f>SUM(AS14:AS25)</f>
        <v>180773.53</v>
      </c>
      <c r="AT26" s="13">
        <f>SUM(AT14:AT25)</f>
        <v>3746.15</v>
      </c>
      <c r="AU26" s="13">
        <f>SUM(AU14:AU25)</f>
        <v>33213.55239999999</v>
      </c>
      <c r="AV26" s="13"/>
      <c r="AW26" s="13"/>
      <c r="AX26" s="13">
        <f t="shared" si="19"/>
        <v>13970.6336</v>
      </c>
      <c r="AY26" s="13">
        <f t="shared" si="19"/>
        <v>0</v>
      </c>
      <c r="AZ26" s="13">
        <f t="shared" si="19"/>
        <v>0</v>
      </c>
      <c r="BA26" s="13">
        <f t="shared" si="19"/>
        <v>0</v>
      </c>
      <c r="BB26" s="13">
        <f t="shared" si="19"/>
        <v>440164.30220814317</v>
      </c>
      <c r="BC26" s="13">
        <f t="shared" si="19"/>
        <v>5497.2684831236</v>
      </c>
      <c r="BD26" s="13">
        <f>SUM(BD14:BD25)</f>
        <v>-74403.83865126676</v>
      </c>
      <c r="BE26" s="14">
        <f>SUM(BE14:BE25)</f>
        <v>-6139.549999999992</v>
      </c>
    </row>
    <row r="27" spans="1:57" ht="15" customHeight="1">
      <c r="A27" s="1" t="s">
        <v>84</v>
      </c>
      <c r="B27" s="38"/>
      <c r="C27" s="8"/>
      <c r="D27" s="8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1"/>
      <c r="R27" s="171"/>
      <c r="S27" s="171"/>
      <c r="T27" s="171"/>
      <c r="U27" s="172"/>
      <c r="V27" s="172"/>
      <c r="W27" s="172"/>
      <c r="X27" s="172"/>
      <c r="Y27" s="172"/>
      <c r="Z27" s="172"/>
      <c r="AA27" s="173"/>
      <c r="AB27" s="173"/>
      <c r="AC27" s="43"/>
      <c r="AD27" s="43"/>
      <c r="AE27" s="174"/>
      <c r="AF27" s="174"/>
      <c r="AG27" s="141"/>
      <c r="AH27" s="141"/>
      <c r="AI27" s="141"/>
      <c r="AJ27" s="141"/>
      <c r="AK27" s="141"/>
      <c r="AL27" s="141"/>
      <c r="AM27" s="141"/>
      <c r="AN27" s="141"/>
      <c r="AO27" s="142"/>
      <c r="AP27" s="142"/>
      <c r="AQ27" s="142"/>
      <c r="AR27" s="142"/>
      <c r="AS27" s="200"/>
      <c r="AT27" s="200"/>
      <c r="AU27" s="186"/>
      <c r="AV27" s="186"/>
      <c r="AW27" s="186"/>
      <c r="AX27" s="142"/>
      <c r="AY27" s="142"/>
      <c r="AZ27" s="142"/>
      <c r="BA27" s="141"/>
      <c r="BB27" s="141"/>
      <c r="BC27" s="141"/>
      <c r="BD27" s="141"/>
      <c r="BE27" s="145"/>
    </row>
    <row r="28" spans="1:57" ht="12.75">
      <c r="A28" s="72" t="s">
        <v>45</v>
      </c>
      <c r="B28" s="73">
        <v>3597.4</v>
      </c>
      <c r="C28" s="54">
        <f aca="true" t="shared" si="20" ref="C28:C39">B28*8.65</f>
        <v>31117.510000000002</v>
      </c>
      <c r="D28" s="53">
        <f aca="true" t="shared" si="21" ref="D28:D39">C28-E28-F28-G28-H28-I28-J28-K28-L28-M28-N28</f>
        <v>3223.78</v>
      </c>
      <c r="E28" s="74">
        <v>2669.11</v>
      </c>
      <c r="F28" s="74">
        <v>550.26</v>
      </c>
      <c r="G28" s="74">
        <v>3615.74</v>
      </c>
      <c r="H28" s="74">
        <v>745.86</v>
      </c>
      <c r="I28" s="74">
        <v>8686.96</v>
      </c>
      <c r="J28" s="74">
        <v>1791.38</v>
      </c>
      <c r="K28" s="74">
        <v>6017.84</v>
      </c>
      <c r="L28" s="74">
        <v>1241.14</v>
      </c>
      <c r="M28" s="74">
        <v>2135.21</v>
      </c>
      <c r="N28" s="75">
        <v>440.23</v>
      </c>
      <c r="O28" s="81">
        <v>0</v>
      </c>
      <c r="P28" s="81">
        <v>0</v>
      </c>
      <c r="Q28" s="81"/>
      <c r="R28" s="81"/>
      <c r="S28" s="80">
        <f aca="true" t="shared" si="22" ref="S28:S39">E28+G28+I28+K28+M28+O28+Q28</f>
        <v>23124.86</v>
      </c>
      <c r="T28" s="93">
        <f aca="true" t="shared" si="23" ref="T28:T39">P28+N28+L28+J28+H28+F28+R28</f>
        <v>4768.87</v>
      </c>
      <c r="U28" s="80">
        <v>1927.88</v>
      </c>
      <c r="V28" s="80">
        <v>2609.12</v>
      </c>
      <c r="W28" s="80">
        <v>6268.55</v>
      </c>
      <c r="X28" s="80">
        <v>4342.54</v>
      </c>
      <c r="Y28" s="80">
        <v>1540.81</v>
      </c>
      <c r="Z28" s="80">
        <v>0</v>
      </c>
      <c r="AA28" s="81">
        <v>0</v>
      </c>
      <c r="AB28" s="81">
        <f aca="true" t="shared" si="24" ref="AB28:AB39">SUM(U28:AA28)</f>
        <v>16688.9</v>
      </c>
      <c r="AC28" s="169">
        <f aca="true" t="shared" si="25" ref="AC28:AC39">D28+T28+AB28</f>
        <v>24681.550000000003</v>
      </c>
      <c r="AD28" s="85">
        <f aca="true" t="shared" si="26" ref="AD28:AD39">P28+Z28</f>
        <v>0</v>
      </c>
      <c r="AE28" s="85">
        <f aca="true" t="shared" si="27" ref="AE28:AE39">R28+AA28</f>
        <v>0</v>
      </c>
      <c r="AF28" s="85">
        <f>'[5]Т01-10'!$I$63+'[5]Т01-10'!$I$89</f>
        <v>2223.5678399999997</v>
      </c>
      <c r="AG28" s="86">
        <f aca="true" t="shared" si="28" ref="AG28:AG39">0.6*B28</f>
        <v>2158.44</v>
      </c>
      <c r="AH28" s="86">
        <f aca="true" t="shared" si="29" ref="AH28:AH39">B28*0.2</f>
        <v>719.48</v>
      </c>
      <c r="AI28" s="86">
        <f aca="true" t="shared" si="30" ref="AI28:AI39">1*B28</f>
        <v>3597.4</v>
      </c>
      <c r="AJ28" s="86">
        <v>0</v>
      </c>
      <c r="AK28" s="86">
        <f aca="true" t="shared" si="31" ref="AK28:AK39">0.98*B28</f>
        <v>3525.452</v>
      </c>
      <c r="AL28" s="86">
        <v>0</v>
      </c>
      <c r="AM28" s="86">
        <f aca="true" t="shared" si="32" ref="AM28:AM39">2.25*B28</f>
        <v>8094.150000000001</v>
      </c>
      <c r="AN28" s="86">
        <v>0</v>
      </c>
      <c r="AO28" s="86"/>
      <c r="AP28" s="86">
        <v>0</v>
      </c>
      <c r="AQ28" s="88"/>
      <c r="AR28" s="88"/>
      <c r="AS28" s="87">
        <v>4480</v>
      </c>
      <c r="AT28" s="87"/>
      <c r="AU28" s="87">
        <f>AT28*0.18</f>
        <v>0</v>
      </c>
      <c r="AV28" s="167"/>
      <c r="AW28" s="168">
        <v>926</v>
      </c>
      <c r="AX28" s="86">
        <f aca="true" t="shared" si="33" ref="AX28:AX39">AW28*1.4</f>
        <v>1296.3999999999999</v>
      </c>
      <c r="AY28" s="50"/>
      <c r="AZ28" s="89"/>
      <c r="BA28" s="89">
        <f aca="true" t="shared" si="34" ref="BA28:BA39">AZ28*0.18</f>
        <v>0</v>
      </c>
      <c r="BB28" s="89">
        <f aca="true" t="shared" si="35" ref="BB28:BB39">SUM(AG28:BA28)-AV28-AW28</f>
        <v>23871.322000000004</v>
      </c>
      <c r="BC28" s="90">
        <f>'[5]Т03-10'!$M$64+'[5]Т03-10'!$M$90</f>
        <v>919.434</v>
      </c>
      <c r="BD28" s="141">
        <f aca="true" t="shared" si="36" ref="BD28:BD39">AC28+AF28-BB28-BC28</f>
        <v>2114.3618399999987</v>
      </c>
      <c r="BE28" s="145">
        <f aca="true" t="shared" si="37" ref="BE28:BE39">AB28-S28</f>
        <v>-6435.959999999999</v>
      </c>
    </row>
    <row r="29" spans="1:57" ht="12.75">
      <c r="A29" s="72" t="s">
        <v>46</v>
      </c>
      <c r="B29" s="175">
        <v>3597.4</v>
      </c>
      <c r="C29" s="54">
        <f t="shared" si="20"/>
        <v>31117.510000000002</v>
      </c>
      <c r="D29" s="53">
        <f t="shared" si="21"/>
        <v>3235.809999999999</v>
      </c>
      <c r="E29" s="74">
        <v>2649.11</v>
      </c>
      <c r="F29" s="74">
        <v>568.84</v>
      </c>
      <c r="G29" s="74">
        <v>3588.7</v>
      </c>
      <c r="H29" s="74">
        <v>771.06</v>
      </c>
      <c r="I29" s="74">
        <v>8621.92</v>
      </c>
      <c r="J29" s="74">
        <v>1851.89</v>
      </c>
      <c r="K29" s="74">
        <v>5972.81</v>
      </c>
      <c r="L29" s="74">
        <v>1283.06</v>
      </c>
      <c r="M29" s="74">
        <v>2119.22</v>
      </c>
      <c r="N29" s="75">
        <v>455.09</v>
      </c>
      <c r="O29" s="81">
        <v>0</v>
      </c>
      <c r="P29" s="81">
        <v>0</v>
      </c>
      <c r="Q29" s="81">
        <v>0</v>
      </c>
      <c r="R29" s="81">
        <v>0</v>
      </c>
      <c r="S29" s="80">
        <f t="shared" si="22"/>
        <v>22951.760000000002</v>
      </c>
      <c r="T29" s="93">
        <f t="shared" si="23"/>
        <v>4929.9400000000005</v>
      </c>
      <c r="U29" s="80">
        <v>2127.86</v>
      </c>
      <c r="V29" s="80">
        <v>2885.33</v>
      </c>
      <c r="W29" s="80">
        <v>6931.61</v>
      </c>
      <c r="X29" s="80">
        <v>4801.82</v>
      </c>
      <c r="Y29" s="80">
        <v>1703.71</v>
      </c>
      <c r="Z29" s="80">
        <v>0</v>
      </c>
      <c r="AA29" s="81">
        <v>0</v>
      </c>
      <c r="AB29" s="81">
        <f t="shared" si="24"/>
        <v>18450.329999999998</v>
      </c>
      <c r="AC29" s="169">
        <f t="shared" si="25"/>
        <v>26616.079999999998</v>
      </c>
      <c r="AD29" s="85">
        <f t="shared" si="26"/>
        <v>0</v>
      </c>
      <c r="AE29" s="85">
        <f t="shared" si="27"/>
        <v>0</v>
      </c>
      <c r="AF29" s="85">
        <f>'[5]Т01-10'!$I$63+'[5]Т01-10'!$I$89</f>
        <v>2223.5678399999997</v>
      </c>
      <c r="AG29" s="86">
        <f t="shared" si="28"/>
        <v>2158.44</v>
      </c>
      <c r="AH29" s="86">
        <f t="shared" si="29"/>
        <v>719.48</v>
      </c>
      <c r="AI29" s="86">
        <f t="shared" si="30"/>
        <v>3597.4</v>
      </c>
      <c r="AJ29" s="86">
        <v>0</v>
      </c>
      <c r="AK29" s="86">
        <f t="shared" si="31"/>
        <v>3525.452</v>
      </c>
      <c r="AL29" s="86">
        <v>0</v>
      </c>
      <c r="AM29" s="86">
        <f t="shared" si="32"/>
        <v>8094.150000000001</v>
      </c>
      <c r="AN29" s="86">
        <v>0</v>
      </c>
      <c r="AO29" s="86"/>
      <c r="AP29" s="86"/>
      <c r="AQ29" s="88"/>
      <c r="AR29" s="88"/>
      <c r="AS29" s="87">
        <v>7712</v>
      </c>
      <c r="AT29" s="87"/>
      <c r="AU29" s="87">
        <f>AT29*0.18</f>
        <v>0</v>
      </c>
      <c r="AV29" s="167"/>
      <c r="AW29" s="168">
        <v>789</v>
      </c>
      <c r="AX29" s="86">
        <f t="shared" si="33"/>
        <v>1104.6</v>
      </c>
      <c r="AY29" s="50"/>
      <c r="AZ29" s="89"/>
      <c r="BA29" s="89">
        <f t="shared" si="34"/>
        <v>0</v>
      </c>
      <c r="BB29" s="89">
        <f t="shared" si="35"/>
        <v>26911.522</v>
      </c>
      <c r="BC29" s="90">
        <f>'[5]Т03-10'!$M$64+'[5]Т03-10'!$M$90</f>
        <v>919.434</v>
      </c>
      <c r="BD29" s="141">
        <f t="shared" si="36"/>
        <v>1008.691839999997</v>
      </c>
      <c r="BE29" s="145">
        <f t="shared" si="37"/>
        <v>-4501.430000000004</v>
      </c>
    </row>
    <row r="30" spans="1:57" ht="12.75">
      <c r="A30" s="72" t="s">
        <v>47</v>
      </c>
      <c r="B30" s="73">
        <v>3597.4</v>
      </c>
      <c r="C30" s="54">
        <f t="shared" si="20"/>
        <v>31117.510000000002</v>
      </c>
      <c r="D30" s="53">
        <f t="shared" si="21"/>
        <v>3208.610000000001</v>
      </c>
      <c r="E30" s="74">
        <v>2635.84</v>
      </c>
      <c r="F30" s="74">
        <v>585.31</v>
      </c>
      <c r="G30" s="74">
        <v>3570.63</v>
      </c>
      <c r="H30" s="74">
        <v>793.37</v>
      </c>
      <c r="I30" s="74">
        <v>8578.53</v>
      </c>
      <c r="J30" s="74">
        <v>1905.48</v>
      </c>
      <c r="K30" s="74">
        <v>5942.69</v>
      </c>
      <c r="L30" s="74">
        <v>1320.19</v>
      </c>
      <c r="M30" s="74">
        <v>2108.59</v>
      </c>
      <c r="N30" s="75">
        <v>468.27</v>
      </c>
      <c r="O30" s="81">
        <v>0</v>
      </c>
      <c r="P30" s="81">
        <v>0</v>
      </c>
      <c r="Q30" s="81">
        <v>0</v>
      </c>
      <c r="R30" s="81">
        <v>0</v>
      </c>
      <c r="S30" s="80">
        <f t="shared" si="22"/>
        <v>22836.28</v>
      </c>
      <c r="T30" s="93">
        <f t="shared" si="23"/>
        <v>5072.620000000001</v>
      </c>
      <c r="U30" s="80">
        <v>3092.39</v>
      </c>
      <c r="V30" s="80">
        <v>4186.86</v>
      </c>
      <c r="W30" s="80">
        <v>10062.32</v>
      </c>
      <c r="X30" s="80">
        <v>6970.11</v>
      </c>
      <c r="Y30" s="80">
        <v>2473.89</v>
      </c>
      <c r="Z30" s="80">
        <v>0</v>
      </c>
      <c r="AA30" s="81">
        <v>0</v>
      </c>
      <c r="AB30" s="81">
        <f t="shared" si="24"/>
        <v>26785.57</v>
      </c>
      <c r="AC30" s="169">
        <f t="shared" si="25"/>
        <v>35066.8</v>
      </c>
      <c r="AD30" s="85">
        <f t="shared" si="26"/>
        <v>0</v>
      </c>
      <c r="AE30" s="85">
        <f t="shared" si="27"/>
        <v>0</v>
      </c>
      <c r="AF30" s="85">
        <f>'[5]Т01-10'!$I$63+'[5]Т01-10'!$I$89</f>
        <v>2223.5678399999997</v>
      </c>
      <c r="AG30" s="86">
        <f t="shared" si="28"/>
        <v>2158.44</v>
      </c>
      <c r="AH30" s="86">
        <f t="shared" si="29"/>
        <v>719.48</v>
      </c>
      <c r="AI30" s="86">
        <f t="shared" si="30"/>
        <v>3597.4</v>
      </c>
      <c r="AJ30" s="86">
        <v>0</v>
      </c>
      <c r="AK30" s="86">
        <f t="shared" si="31"/>
        <v>3525.452</v>
      </c>
      <c r="AL30" s="86">
        <v>0</v>
      </c>
      <c r="AM30" s="86">
        <f t="shared" si="32"/>
        <v>8094.150000000001</v>
      </c>
      <c r="AN30" s="86">
        <v>0</v>
      </c>
      <c r="AO30" s="86"/>
      <c r="AP30" s="86"/>
      <c r="AQ30" s="88"/>
      <c r="AR30" s="88"/>
      <c r="AS30" s="87">
        <v>735</v>
      </c>
      <c r="AT30" s="87"/>
      <c r="AU30" s="87">
        <f>AT30*0.18</f>
        <v>0</v>
      </c>
      <c r="AV30" s="167"/>
      <c r="AW30" s="168">
        <v>743</v>
      </c>
      <c r="AX30" s="86">
        <f t="shared" si="33"/>
        <v>1040.2</v>
      </c>
      <c r="AY30" s="50"/>
      <c r="AZ30" s="89"/>
      <c r="BA30" s="89">
        <f t="shared" si="34"/>
        <v>0</v>
      </c>
      <c r="BB30" s="89">
        <f t="shared" si="35"/>
        <v>19870.122000000003</v>
      </c>
      <c r="BC30" s="90">
        <f>'[5]Т03-10'!$M$64+'[5]Т03-10'!$M$90</f>
        <v>919.434</v>
      </c>
      <c r="BD30" s="141">
        <f t="shared" si="36"/>
        <v>16500.811840000002</v>
      </c>
      <c r="BE30" s="145">
        <f t="shared" si="37"/>
        <v>3949.290000000001</v>
      </c>
    </row>
    <row r="31" spans="1:57" ht="12.75">
      <c r="A31" s="72" t="s">
        <v>48</v>
      </c>
      <c r="B31" s="73">
        <v>3597.4</v>
      </c>
      <c r="C31" s="54">
        <f t="shared" si="20"/>
        <v>31117.510000000002</v>
      </c>
      <c r="D31" s="53">
        <f t="shared" si="21"/>
        <v>3206.670000000007</v>
      </c>
      <c r="E31" s="74">
        <v>2628.37</v>
      </c>
      <c r="F31" s="74">
        <v>593.01</v>
      </c>
      <c r="G31" s="74">
        <v>3560.42</v>
      </c>
      <c r="H31" s="74">
        <v>803.81</v>
      </c>
      <c r="I31" s="74">
        <v>8554.23</v>
      </c>
      <c r="J31" s="74">
        <v>1930.55</v>
      </c>
      <c r="K31" s="74">
        <v>5925.84</v>
      </c>
      <c r="L31" s="74">
        <v>1337.56</v>
      </c>
      <c r="M31" s="74">
        <v>2102.62</v>
      </c>
      <c r="N31" s="75">
        <v>474.43</v>
      </c>
      <c r="O31" s="81">
        <v>0</v>
      </c>
      <c r="P31" s="81">
        <v>0</v>
      </c>
      <c r="Q31" s="81"/>
      <c r="R31" s="81"/>
      <c r="S31" s="80">
        <f t="shared" si="22"/>
        <v>22771.48</v>
      </c>
      <c r="T31" s="93">
        <f t="shared" si="23"/>
        <v>5139.360000000001</v>
      </c>
      <c r="U31" s="80">
        <v>2236.89</v>
      </c>
      <c r="V31" s="80">
        <v>3020.09</v>
      </c>
      <c r="W31" s="80">
        <v>7270.27</v>
      </c>
      <c r="X31" s="80">
        <v>5033.38</v>
      </c>
      <c r="Y31" s="80">
        <v>1789.74</v>
      </c>
      <c r="Z31" s="80">
        <v>0</v>
      </c>
      <c r="AA31" s="81">
        <v>0</v>
      </c>
      <c r="AB31" s="81">
        <f t="shared" si="24"/>
        <v>19350.370000000003</v>
      </c>
      <c r="AC31" s="169">
        <f t="shared" si="25"/>
        <v>27696.40000000001</v>
      </c>
      <c r="AD31" s="85">
        <f t="shared" si="26"/>
        <v>0</v>
      </c>
      <c r="AE31" s="85">
        <f t="shared" si="27"/>
        <v>0</v>
      </c>
      <c r="AF31" s="85">
        <f>'[13]Т04-10'!$I$64+'[13]Т04-10'!$I$90</f>
        <v>2223.5678399999997</v>
      </c>
      <c r="AG31" s="86">
        <f t="shared" si="28"/>
        <v>2158.44</v>
      </c>
      <c r="AH31" s="86">
        <f t="shared" si="29"/>
        <v>719.48</v>
      </c>
      <c r="AI31" s="86">
        <f t="shared" si="30"/>
        <v>3597.4</v>
      </c>
      <c r="AJ31" s="86">
        <v>0</v>
      </c>
      <c r="AK31" s="86">
        <f t="shared" si="31"/>
        <v>3525.452</v>
      </c>
      <c r="AL31" s="86">
        <v>0</v>
      </c>
      <c r="AM31" s="86">
        <f t="shared" si="32"/>
        <v>8094.150000000001</v>
      </c>
      <c r="AN31" s="86">
        <v>0</v>
      </c>
      <c r="AO31" s="86">
        <v>4769.28</v>
      </c>
      <c r="AP31" s="86"/>
      <c r="AQ31" s="88"/>
      <c r="AR31" s="88"/>
      <c r="AS31" s="87">
        <v>3208</v>
      </c>
      <c r="AT31" s="87"/>
      <c r="AU31" s="87">
        <f>AT31*0</f>
        <v>0</v>
      </c>
      <c r="AV31" s="167"/>
      <c r="AW31" s="168">
        <v>566</v>
      </c>
      <c r="AX31" s="86">
        <f t="shared" si="33"/>
        <v>792.4</v>
      </c>
      <c r="AY31" s="50"/>
      <c r="AZ31" s="89"/>
      <c r="BA31" s="89">
        <f t="shared" si="34"/>
        <v>0</v>
      </c>
      <c r="BB31" s="89">
        <f t="shared" si="35"/>
        <v>26864.602000000003</v>
      </c>
      <c r="BC31" s="90">
        <f>'[13]Т04-10'!$M$64+'[13]Т04-10'!$M$90</f>
        <v>919.434</v>
      </c>
      <c r="BD31" s="141">
        <f t="shared" si="36"/>
        <v>2135.9318400000056</v>
      </c>
      <c r="BE31" s="145">
        <f t="shared" si="37"/>
        <v>-3421.109999999997</v>
      </c>
    </row>
    <row r="32" spans="1:57" ht="12.75">
      <c r="A32" s="72" t="s">
        <v>49</v>
      </c>
      <c r="B32" s="73">
        <v>3599.5</v>
      </c>
      <c r="C32" s="54">
        <f t="shared" si="20"/>
        <v>31135.675000000003</v>
      </c>
      <c r="D32" s="53">
        <f t="shared" si="21"/>
        <v>3235.0950000000053</v>
      </c>
      <c r="E32" s="74">
        <v>2612.76</v>
      </c>
      <c r="F32" s="74">
        <v>607.36</v>
      </c>
      <c r="G32" s="74">
        <v>3539.42</v>
      </c>
      <c r="H32" s="74">
        <v>823.26</v>
      </c>
      <c r="I32" s="74">
        <v>8503.64</v>
      </c>
      <c r="J32" s="74">
        <v>1977.3</v>
      </c>
      <c r="K32" s="74">
        <v>5890.79</v>
      </c>
      <c r="L32" s="74">
        <v>1369.96</v>
      </c>
      <c r="M32" s="74">
        <v>2090.18</v>
      </c>
      <c r="N32" s="75">
        <v>485.91</v>
      </c>
      <c r="O32" s="81">
        <v>0</v>
      </c>
      <c r="P32" s="81">
        <v>0</v>
      </c>
      <c r="Q32" s="81"/>
      <c r="R32" s="81"/>
      <c r="S32" s="80">
        <f t="shared" si="22"/>
        <v>22636.79</v>
      </c>
      <c r="T32" s="93">
        <f t="shared" si="23"/>
        <v>5263.79</v>
      </c>
      <c r="U32" s="56">
        <v>2336.52</v>
      </c>
      <c r="V32" s="56">
        <v>3165.36</v>
      </c>
      <c r="W32" s="56">
        <v>7604.64</v>
      </c>
      <c r="X32" s="56">
        <v>5268.1</v>
      </c>
      <c r="Y32" s="56">
        <v>1869.13</v>
      </c>
      <c r="Z32" s="56">
        <v>0</v>
      </c>
      <c r="AA32" s="57">
        <v>0</v>
      </c>
      <c r="AB32" s="81">
        <f t="shared" si="24"/>
        <v>20243.750000000004</v>
      </c>
      <c r="AC32" s="169">
        <f t="shared" si="25"/>
        <v>28742.63500000001</v>
      </c>
      <c r="AD32" s="85">
        <f t="shared" si="26"/>
        <v>0</v>
      </c>
      <c r="AE32" s="85">
        <f t="shared" si="27"/>
        <v>0</v>
      </c>
      <c r="AF32" s="85">
        <f>'[13]Т04-10'!$I$64+'[13]Т04-10'!$I$90</f>
        <v>2223.5678399999997</v>
      </c>
      <c r="AG32" s="86">
        <f t="shared" si="28"/>
        <v>2159.7</v>
      </c>
      <c r="AH32" s="86">
        <f t="shared" si="29"/>
        <v>719.9000000000001</v>
      </c>
      <c r="AI32" s="86">
        <f t="shared" si="30"/>
        <v>3599.5</v>
      </c>
      <c r="AJ32" s="86">
        <v>0</v>
      </c>
      <c r="AK32" s="86">
        <f t="shared" si="31"/>
        <v>3527.5099999999998</v>
      </c>
      <c r="AL32" s="86">
        <v>0</v>
      </c>
      <c r="AM32" s="86">
        <f t="shared" si="32"/>
        <v>8098.875</v>
      </c>
      <c r="AN32" s="86">
        <v>0</v>
      </c>
      <c r="AO32" s="86"/>
      <c r="AP32" s="86"/>
      <c r="AQ32" s="88"/>
      <c r="AR32" s="88"/>
      <c r="AS32" s="87">
        <v>2881</v>
      </c>
      <c r="AT32" s="87">
        <v>766.27</v>
      </c>
      <c r="AU32" s="87">
        <f>385*0</f>
        <v>0</v>
      </c>
      <c r="AV32" s="167"/>
      <c r="AW32" s="168">
        <v>532</v>
      </c>
      <c r="AX32" s="86">
        <f t="shared" si="33"/>
        <v>744.8</v>
      </c>
      <c r="AY32" s="50"/>
      <c r="AZ32" s="89"/>
      <c r="BA32" s="89">
        <f t="shared" si="34"/>
        <v>0</v>
      </c>
      <c r="BB32" s="89">
        <f t="shared" si="35"/>
        <v>22497.555</v>
      </c>
      <c r="BC32" s="90">
        <f>'[13]Т04-10'!$M$64+'[13]Т04-10'!$M$90</f>
        <v>919.434</v>
      </c>
      <c r="BD32" s="141">
        <f t="shared" si="36"/>
        <v>7549.2138400000085</v>
      </c>
      <c r="BE32" s="145">
        <f t="shared" si="37"/>
        <v>-2393.0399999999972</v>
      </c>
    </row>
    <row r="33" spans="1:57" ht="12.75">
      <c r="A33" s="72" t="s">
        <v>50</v>
      </c>
      <c r="B33" s="73">
        <v>3599.5</v>
      </c>
      <c r="C33" s="54">
        <f t="shared" si="20"/>
        <v>31135.675000000003</v>
      </c>
      <c r="D33" s="53">
        <f t="shared" si="21"/>
        <v>3221.8250000000044</v>
      </c>
      <c r="E33" s="74">
        <v>2628.17</v>
      </c>
      <c r="F33" s="74">
        <v>593.5</v>
      </c>
      <c r="G33" s="74">
        <v>3560.23</v>
      </c>
      <c r="H33" s="74">
        <v>804.48</v>
      </c>
      <c r="I33" s="74">
        <v>8553.76</v>
      </c>
      <c r="J33" s="74">
        <v>1932.17</v>
      </c>
      <c r="K33" s="74">
        <v>5925.5</v>
      </c>
      <c r="L33" s="74">
        <v>1338.69</v>
      </c>
      <c r="M33" s="74">
        <v>2102.53</v>
      </c>
      <c r="N33" s="75">
        <v>474.82</v>
      </c>
      <c r="O33" s="81">
        <v>0</v>
      </c>
      <c r="P33" s="81">
        <v>0</v>
      </c>
      <c r="Q33" s="81">
        <v>0</v>
      </c>
      <c r="R33" s="81">
        <v>0</v>
      </c>
      <c r="S33" s="80">
        <f t="shared" si="22"/>
        <v>22770.19</v>
      </c>
      <c r="T33" s="93">
        <f t="shared" si="23"/>
        <v>5143.66</v>
      </c>
      <c r="U33" s="80">
        <v>2077.96</v>
      </c>
      <c r="V33" s="80">
        <v>2815.49</v>
      </c>
      <c r="W33" s="80">
        <v>6763.77</v>
      </c>
      <c r="X33" s="80">
        <v>4685.5</v>
      </c>
      <c r="Y33" s="80">
        <v>1662.36</v>
      </c>
      <c r="Z33" s="80">
        <v>0</v>
      </c>
      <c r="AA33" s="81">
        <v>0</v>
      </c>
      <c r="AB33" s="81">
        <f t="shared" si="24"/>
        <v>18005.08</v>
      </c>
      <c r="AC33" s="169">
        <f t="shared" si="25"/>
        <v>26370.565000000006</v>
      </c>
      <c r="AD33" s="85">
        <f t="shared" si="26"/>
        <v>0</v>
      </c>
      <c r="AE33" s="85">
        <f t="shared" si="27"/>
        <v>0</v>
      </c>
      <c r="AF33" s="85">
        <f>'[6]Т06-10'!$I$62+'[6]Т06-10'!$I$88</f>
        <v>2223.5678399999997</v>
      </c>
      <c r="AG33" s="86">
        <f t="shared" si="28"/>
        <v>2159.7</v>
      </c>
      <c r="AH33" s="86">
        <f t="shared" si="29"/>
        <v>719.9000000000001</v>
      </c>
      <c r="AI33" s="86">
        <f t="shared" si="30"/>
        <v>3599.5</v>
      </c>
      <c r="AJ33" s="86">
        <v>0</v>
      </c>
      <c r="AK33" s="86">
        <f t="shared" si="31"/>
        <v>3527.5099999999998</v>
      </c>
      <c r="AL33" s="86">
        <v>0</v>
      </c>
      <c r="AM33" s="86">
        <f t="shared" si="32"/>
        <v>8098.875</v>
      </c>
      <c r="AN33" s="86">
        <v>0</v>
      </c>
      <c r="AO33" s="86"/>
      <c r="AP33" s="86"/>
      <c r="AQ33" s="88"/>
      <c r="AR33" s="88"/>
      <c r="AS33" s="87">
        <v>4693</v>
      </c>
      <c r="AT33" s="87"/>
      <c r="AU33" s="87">
        <f>AT33*0</f>
        <v>0</v>
      </c>
      <c r="AV33" s="167"/>
      <c r="AW33" s="168">
        <v>429</v>
      </c>
      <c r="AX33" s="86">
        <f t="shared" si="33"/>
        <v>600.5999999999999</v>
      </c>
      <c r="AY33" s="50"/>
      <c r="AZ33" s="89"/>
      <c r="BA33" s="89">
        <f t="shared" si="34"/>
        <v>0</v>
      </c>
      <c r="BB33" s="89">
        <f t="shared" si="35"/>
        <v>23399.085</v>
      </c>
      <c r="BC33" s="90">
        <f>'[13]Т06-10'!$M$62+'[13]Т06-10'!$M$88</f>
        <v>919.434</v>
      </c>
      <c r="BD33" s="141">
        <f t="shared" si="36"/>
        <v>4275.613840000006</v>
      </c>
      <c r="BE33" s="145">
        <f t="shared" si="37"/>
        <v>-4765.109999999997</v>
      </c>
    </row>
    <row r="34" spans="1:57" ht="12.75">
      <c r="A34" s="72" t="s">
        <v>51</v>
      </c>
      <c r="B34" s="73">
        <v>3599.5</v>
      </c>
      <c r="C34" s="54">
        <f t="shared" si="20"/>
        <v>31135.675000000003</v>
      </c>
      <c r="D34" s="53">
        <f t="shared" si="21"/>
        <v>3245.7350000000024</v>
      </c>
      <c r="E34" s="188">
        <v>3218.86</v>
      </c>
      <c r="F34" s="74">
        <v>0</v>
      </c>
      <c r="G34" s="74">
        <v>4361.05</v>
      </c>
      <c r="H34" s="74">
        <v>0</v>
      </c>
      <c r="I34" s="74">
        <v>10476.94</v>
      </c>
      <c r="J34" s="74">
        <v>0</v>
      </c>
      <c r="K34" s="74">
        <v>7258</v>
      </c>
      <c r="L34" s="74">
        <v>0</v>
      </c>
      <c r="M34" s="74">
        <v>2575.09</v>
      </c>
      <c r="N34" s="75">
        <v>0</v>
      </c>
      <c r="O34" s="81">
        <v>0</v>
      </c>
      <c r="P34" s="81">
        <v>0</v>
      </c>
      <c r="Q34" s="81"/>
      <c r="R34" s="81"/>
      <c r="S34" s="80">
        <f t="shared" si="22"/>
        <v>27889.94</v>
      </c>
      <c r="T34" s="93">
        <f t="shared" si="23"/>
        <v>0</v>
      </c>
      <c r="U34" s="94">
        <v>2484.44</v>
      </c>
      <c r="V34" s="80">
        <v>3365.31</v>
      </c>
      <c r="W34" s="80">
        <v>8085.61</v>
      </c>
      <c r="X34" s="80">
        <v>5601.15</v>
      </c>
      <c r="Y34" s="80">
        <v>1987.59</v>
      </c>
      <c r="Z34" s="80">
        <v>0</v>
      </c>
      <c r="AA34" s="81">
        <v>0</v>
      </c>
      <c r="AB34" s="81">
        <f t="shared" si="24"/>
        <v>21524.100000000002</v>
      </c>
      <c r="AC34" s="169">
        <f t="shared" si="25"/>
        <v>24769.835000000006</v>
      </c>
      <c r="AD34" s="85">
        <f t="shared" si="26"/>
        <v>0</v>
      </c>
      <c r="AE34" s="85">
        <f t="shared" si="27"/>
        <v>0</v>
      </c>
      <c r="AF34" s="85">
        <f>'[6]Т07-10'!$I$62+'[6]Т07-10'!$I$87</f>
        <v>2223.5678399999997</v>
      </c>
      <c r="AG34" s="86">
        <f t="shared" si="28"/>
        <v>2159.7</v>
      </c>
      <c r="AH34" s="86">
        <f t="shared" si="29"/>
        <v>719.9000000000001</v>
      </c>
      <c r="AI34" s="86">
        <f t="shared" si="30"/>
        <v>3599.5</v>
      </c>
      <c r="AJ34" s="86">
        <v>0</v>
      </c>
      <c r="AK34" s="86">
        <f t="shared" si="31"/>
        <v>3527.5099999999998</v>
      </c>
      <c r="AL34" s="86">
        <v>0</v>
      </c>
      <c r="AM34" s="86">
        <f t="shared" si="32"/>
        <v>8098.875</v>
      </c>
      <c r="AN34" s="86">
        <v>0</v>
      </c>
      <c r="AO34" s="86"/>
      <c r="AP34" s="86"/>
      <c r="AQ34" s="88"/>
      <c r="AR34" s="88"/>
      <c r="AS34" s="87"/>
      <c r="AT34" s="87">
        <v>25.6</v>
      </c>
      <c r="AU34" s="87">
        <f>0*0.18</f>
        <v>0</v>
      </c>
      <c r="AV34" s="167"/>
      <c r="AW34" s="168">
        <v>467</v>
      </c>
      <c r="AX34" s="86">
        <f t="shared" si="33"/>
        <v>653.8</v>
      </c>
      <c r="AY34" s="50"/>
      <c r="AZ34" s="89"/>
      <c r="BA34" s="89">
        <f t="shared" si="34"/>
        <v>0</v>
      </c>
      <c r="BB34" s="89">
        <f t="shared" si="35"/>
        <v>18784.885</v>
      </c>
      <c r="BC34" s="90">
        <f>'[13]Т06-10'!$M$62+'[13]Т06-10'!$M$88</f>
        <v>919.434</v>
      </c>
      <c r="BD34" s="141">
        <f t="shared" si="36"/>
        <v>7289.0838400000075</v>
      </c>
      <c r="BE34" s="145">
        <f t="shared" si="37"/>
        <v>-6365.8399999999965</v>
      </c>
    </row>
    <row r="35" spans="1:57" ht="12.75">
      <c r="A35" s="72" t="s">
        <v>52</v>
      </c>
      <c r="B35" s="73">
        <v>3599.5</v>
      </c>
      <c r="C35" s="54">
        <f t="shared" si="20"/>
        <v>31135.675000000003</v>
      </c>
      <c r="D35" s="203">
        <f>C35-E35-F35-G35-H35-I35-J35-K35-L35-M35-N35+49500</f>
        <v>52709.875</v>
      </c>
      <c r="E35" s="188">
        <v>3223.08</v>
      </c>
      <c r="F35" s="74">
        <v>0</v>
      </c>
      <c r="G35" s="74">
        <v>4366.53</v>
      </c>
      <c r="H35" s="74">
        <v>0</v>
      </c>
      <c r="I35" s="74">
        <v>10490.43</v>
      </c>
      <c r="J35" s="74">
        <v>0</v>
      </c>
      <c r="K35" s="74">
        <v>7267.28</v>
      </c>
      <c r="L35" s="74">
        <v>0</v>
      </c>
      <c r="M35" s="74">
        <v>2578.48</v>
      </c>
      <c r="N35" s="75">
        <v>0</v>
      </c>
      <c r="O35" s="81">
        <v>0</v>
      </c>
      <c r="P35" s="81">
        <v>0</v>
      </c>
      <c r="Q35" s="81"/>
      <c r="R35" s="81"/>
      <c r="S35" s="80">
        <f t="shared" si="22"/>
        <v>27925.8</v>
      </c>
      <c r="T35" s="93">
        <f t="shared" si="23"/>
        <v>0</v>
      </c>
      <c r="U35" s="56">
        <v>2973.19</v>
      </c>
      <c r="V35" s="56">
        <v>4027.98</v>
      </c>
      <c r="W35" s="56">
        <v>9677.16</v>
      </c>
      <c r="X35" s="56">
        <v>6703.95</v>
      </c>
      <c r="Y35" s="56">
        <v>2378.56</v>
      </c>
      <c r="Z35" s="56">
        <v>0</v>
      </c>
      <c r="AA35" s="57">
        <v>0</v>
      </c>
      <c r="AB35" s="81">
        <f t="shared" si="24"/>
        <v>25760.840000000004</v>
      </c>
      <c r="AC35" s="169">
        <f t="shared" si="25"/>
        <v>78470.715</v>
      </c>
      <c r="AD35" s="85">
        <f t="shared" si="26"/>
        <v>0</v>
      </c>
      <c r="AE35" s="85">
        <f t="shared" si="27"/>
        <v>0</v>
      </c>
      <c r="AF35" s="85">
        <f>'[6]Т07-10'!$I$62+'[6]Т07-10'!$I$87</f>
        <v>2223.5678399999997</v>
      </c>
      <c r="AG35" s="86">
        <f t="shared" si="28"/>
        <v>2159.7</v>
      </c>
      <c r="AH35" s="86">
        <f t="shared" si="29"/>
        <v>719.9000000000001</v>
      </c>
      <c r="AI35" s="86">
        <f t="shared" si="30"/>
        <v>3599.5</v>
      </c>
      <c r="AJ35" s="86">
        <v>0</v>
      </c>
      <c r="AK35" s="86">
        <f t="shared" si="31"/>
        <v>3527.5099999999998</v>
      </c>
      <c r="AL35" s="86">
        <v>0</v>
      </c>
      <c r="AM35" s="86">
        <f t="shared" si="32"/>
        <v>8098.875</v>
      </c>
      <c r="AN35" s="86">
        <v>0</v>
      </c>
      <c r="AO35" s="86"/>
      <c r="AP35" s="86"/>
      <c r="AQ35" s="88"/>
      <c r="AR35" s="88"/>
      <c r="AS35" s="87">
        <v>4043</v>
      </c>
      <c r="AT35" s="87">
        <f>47.8</f>
        <v>47.8</v>
      </c>
      <c r="AU35" s="87">
        <f>0*0.18</f>
        <v>0</v>
      </c>
      <c r="AV35" s="167"/>
      <c r="AW35" s="168">
        <v>453</v>
      </c>
      <c r="AX35" s="86">
        <f t="shared" si="33"/>
        <v>634.1999999999999</v>
      </c>
      <c r="AY35" s="50"/>
      <c r="AZ35" s="89"/>
      <c r="BA35" s="89">
        <f t="shared" si="34"/>
        <v>0</v>
      </c>
      <c r="BB35" s="89">
        <f>SUM(AG35:BA35)-AV35-AW35</f>
        <v>22830.485</v>
      </c>
      <c r="BC35" s="90">
        <f>'[13]Т06-10'!$M$62+'[13]Т06-10'!$M$88</f>
        <v>919.434</v>
      </c>
      <c r="BD35" s="141">
        <f t="shared" si="36"/>
        <v>56944.36384</v>
      </c>
      <c r="BE35" s="145">
        <f t="shared" si="37"/>
        <v>-2164.9599999999955</v>
      </c>
    </row>
    <row r="36" spans="1:57" ht="12.75">
      <c r="A36" s="72" t="s">
        <v>53</v>
      </c>
      <c r="B36" s="73">
        <v>3599.5</v>
      </c>
      <c r="C36" s="54">
        <f t="shared" si="20"/>
        <v>31135.675000000003</v>
      </c>
      <c r="D36" s="203">
        <f>C36-E36-F36-G36-H36-I36-J36-K36-L36-M36-N36+50000</f>
        <v>53220.485</v>
      </c>
      <c r="E36" s="74">
        <v>3221.86</v>
      </c>
      <c r="F36" s="74">
        <v>0</v>
      </c>
      <c r="G36" s="74">
        <v>4364.86</v>
      </c>
      <c r="H36" s="74">
        <v>0</v>
      </c>
      <c r="I36" s="74">
        <v>10486.45</v>
      </c>
      <c r="J36" s="74">
        <v>0</v>
      </c>
      <c r="K36" s="74">
        <v>7264.51</v>
      </c>
      <c r="L36" s="74">
        <v>0</v>
      </c>
      <c r="M36" s="74">
        <v>2577.51</v>
      </c>
      <c r="N36" s="75">
        <v>0</v>
      </c>
      <c r="O36" s="81">
        <v>0</v>
      </c>
      <c r="P36" s="81">
        <v>0</v>
      </c>
      <c r="Q36" s="81"/>
      <c r="R36" s="81"/>
      <c r="S36" s="80">
        <f t="shared" si="22"/>
        <v>27915.190000000002</v>
      </c>
      <c r="T36" s="93">
        <f t="shared" si="23"/>
        <v>0</v>
      </c>
      <c r="U36" s="80">
        <v>3289.55</v>
      </c>
      <c r="V36" s="80">
        <v>4456.39</v>
      </c>
      <c r="W36" s="80">
        <v>12699.46</v>
      </c>
      <c r="X36" s="80">
        <v>7416.99</v>
      </c>
      <c r="Y36" s="80">
        <v>2629.8</v>
      </c>
      <c r="Z36" s="80">
        <v>0</v>
      </c>
      <c r="AA36" s="81">
        <v>0</v>
      </c>
      <c r="AB36" s="81">
        <f t="shared" si="24"/>
        <v>30492.19</v>
      </c>
      <c r="AC36" s="169">
        <f t="shared" si="25"/>
        <v>83712.675</v>
      </c>
      <c r="AD36" s="85">
        <f t="shared" si="26"/>
        <v>0</v>
      </c>
      <c r="AE36" s="85">
        <f t="shared" si="27"/>
        <v>0</v>
      </c>
      <c r="AF36" s="85">
        <f>'[6]Т07-10'!$I$62+'[6]Т07-10'!$I$87</f>
        <v>2223.5678399999997</v>
      </c>
      <c r="AG36" s="86">
        <f t="shared" si="28"/>
        <v>2159.7</v>
      </c>
      <c r="AH36" s="86">
        <f t="shared" si="29"/>
        <v>719.9000000000001</v>
      </c>
      <c r="AI36" s="86">
        <f t="shared" si="30"/>
        <v>3599.5</v>
      </c>
      <c r="AJ36" s="86">
        <v>0</v>
      </c>
      <c r="AK36" s="86">
        <f t="shared" si="31"/>
        <v>3527.5099999999998</v>
      </c>
      <c r="AL36" s="86">
        <v>0</v>
      </c>
      <c r="AM36" s="86">
        <f t="shared" si="32"/>
        <v>8098.875</v>
      </c>
      <c r="AN36" s="86">
        <v>0</v>
      </c>
      <c r="AO36" s="86"/>
      <c r="AP36" s="86"/>
      <c r="AQ36" s="88"/>
      <c r="AR36" s="88"/>
      <c r="AS36" s="87">
        <v>865</v>
      </c>
      <c r="AT36" s="87">
        <v>83</v>
      </c>
      <c r="AU36" s="189">
        <f>0*0.18</f>
        <v>0</v>
      </c>
      <c r="AV36" s="167"/>
      <c r="AW36" s="168">
        <v>659</v>
      </c>
      <c r="AX36" s="86">
        <f t="shared" si="33"/>
        <v>922.5999999999999</v>
      </c>
      <c r="AY36" s="50"/>
      <c r="AZ36" s="89"/>
      <c r="BA36" s="89">
        <f t="shared" si="34"/>
        <v>0</v>
      </c>
      <c r="BB36" s="89">
        <f>SUM(AG36:BA36)-AV36-AW36</f>
        <v>19976.085</v>
      </c>
      <c r="BC36" s="90">
        <f>'[13]Т06-10'!$M$62+'[13]Т06-10'!$M$88</f>
        <v>919.434</v>
      </c>
      <c r="BD36" s="141">
        <f t="shared" si="36"/>
        <v>65040.72384</v>
      </c>
      <c r="BE36" s="145">
        <f t="shared" si="37"/>
        <v>2576.9999999999964</v>
      </c>
    </row>
    <row r="37" spans="1:57" ht="12.75">
      <c r="A37" s="72" t="s">
        <v>41</v>
      </c>
      <c r="B37" s="73">
        <v>3599.5</v>
      </c>
      <c r="C37" s="54">
        <f t="shared" si="20"/>
        <v>31135.675000000003</v>
      </c>
      <c r="D37" s="53">
        <f>C37-E37-F37-G37-H37-I37-J37-K37-L37-M37-N37</f>
        <v>3197.7350000000015</v>
      </c>
      <c r="E37" s="178">
        <v>3224.51</v>
      </c>
      <c r="F37" s="178">
        <v>0</v>
      </c>
      <c r="G37" s="178">
        <v>4368.39</v>
      </c>
      <c r="H37" s="178">
        <v>0</v>
      </c>
      <c r="I37" s="178">
        <v>10495</v>
      </c>
      <c r="J37" s="178">
        <v>0</v>
      </c>
      <c r="K37" s="178">
        <v>7270.42</v>
      </c>
      <c r="L37" s="178">
        <v>0</v>
      </c>
      <c r="M37" s="178">
        <v>2579.62</v>
      </c>
      <c r="N37" s="202">
        <v>0</v>
      </c>
      <c r="O37" s="51">
        <v>0</v>
      </c>
      <c r="P37" s="51">
        <v>0</v>
      </c>
      <c r="Q37" s="51"/>
      <c r="R37" s="51"/>
      <c r="S37" s="80">
        <f t="shared" si="22"/>
        <v>27937.94</v>
      </c>
      <c r="T37" s="93">
        <f t="shared" si="23"/>
        <v>0</v>
      </c>
      <c r="U37" s="80">
        <v>2939.57</v>
      </c>
      <c r="V37" s="80">
        <v>3983.49</v>
      </c>
      <c r="W37" s="80">
        <v>9575.71</v>
      </c>
      <c r="X37" s="80">
        <v>6629.16</v>
      </c>
      <c r="Y37" s="80">
        <v>2353.5</v>
      </c>
      <c r="Z37" s="80">
        <v>0</v>
      </c>
      <c r="AA37" s="81">
        <v>0</v>
      </c>
      <c r="AB37" s="81">
        <f t="shared" si="24"/>
        <v>25481.429999999997</v>
      </c>
      <c r="AC37" s="169">
        <f t="shared" si="25"/>
        <v>28679.164999999997</v>
      </c>
      <c r="AD37" s="85">
        <f t="shared" si="26"/>
        <v>0</v>
      </c>
      <c r="AE37" s="85">
        <f t="shared" si="27"/>
        <v>0</v>
      </c>
      <c r="AF37" s="85">
        <f>'[6]Т10-10'!$I$62+'[6]Т10-10'!$I$87+150</f>
        <v>2373.5678399999997</v>
      </c>
      <c r="AG37" s="86">
        <f t="shared" si="28"/>
        <v>2159.7</v>
      </c>
      <c r="AH37" s="86">
        <f t="shared" si="29"/>
        <v>719.9000000000001</v>
      </c>
      <c r="AI37" s="86">
        <f t="shared" si="30"/>
        <v>3599.5</v>
      </c>
      <c r="AJ37" s="86">
        <v>0</v>
      </c>
      <c r="AK37" s="86">
        <f t="shared" si="31"/>
        <v>3527.5099999999998</v>
      </c>
      <c r="AL37" s="86">
        <v>0</v>
      </c>
      <c r="AM37" s="86">
        <f t="shared" si="32"/>
        <v>8098.875</v>
      </c>
      <c r="AN37" s="86">
        <v>0</v>
      </c>
      <c r="AO37" s="86"/>
      <c r="AP37" s="86"/>
      <c r="AQ37" s="88"/>
      <c r="AR37" s="88"/>
      <c r="AS37" s="87">
        <v>869</v>
      </c>
      <c r="AT37" s="87">
        <v>60</v>
      </c>
      <c r="AU37" s="87">
        <f>0*0.18</f>
        <v>0</v>
      </c>
      <c r="AV37" s="167"/>
      <c r="AW37" s="168">
        <v>725</v>
      </c>
      <c r="AX37" s="86">
        <f t="shared" si="33"/>
        <v>1014.9999999999999</v>
      </c>
      <c r="AY37" s="50"/>
      <c r="AZ37" s="89"/>
      <c r="BA37" s="89">
        <f t="shared" si="34"/>
        <v>0</v>
      </c>
      <c r="BB37" s="89">
        <f>SUM(AG37:BA37)-AV37-AW37</f>
        <v>20049.485</v>
      </c>
      <c r="BC37" s="90">
        <f>'[6]Т10-10'!$M$62+'[6]Т10-10'!$M$87+37.5</f>
        <v>956.934</v>
      </c>
      <c r="BD37" s="141">
        <f t="shared" si="36"/>
        <v>10046.313839999997</v>
      </c>
      <c r="BE37" s="145">
        <f t="shared" si="37"/>
        <v>-2456.510000000002</v>
      </c>
    </row>
    <row r="38" spans="1:57" ht="12.75">
      <c r="A38" s="72" t="s">
        <v>42</v>
      </c>
      <c r="B38" s="73">
        <v>3599.5</v>
      </c>
      <c r="C38" s="54">
        <f t="shared" si="20"/>
        <v>31135.675000000003</v>
      </c>
      <c r="D38" s="53">
        <f t="shared" si="21"/>
        <v>3197.7450000000053</v>
      </c>
      <c r="E38" s="74">
        <v>3224.49</v>
      </c>
      <c r="F38" s="74">
        <v>0</v>
      </c>
      <c r="G38" s="74">
        <v>4368.39</v>
      </c>
      <c r="H38" s="74">
        <v>0</v>
      </c>
      <c r="I38" s="74">
        <v>10495</v>
      </c>
      <c r="J38" s="74">
        <v>0</v>
      </c>
      <c r="K38" s="74">
        <v>7270.43</v>
      </c>
      <c r="L38" s="74">
        <v>0</v>
      </c>
      <c r="M38" s="74">
        <v>2579.62</v>
      </c>
      <c r="N38" s="75">
        <v>0</v>
      </c>
      <c r="O38" s="81">
        <v>0</v>
      </c>
      <c r="P38" s="81">
        <v>0</v>
      </c>
      <c r="Q38" s="81"/>
      <c r="R38" s="81"/>
      <c r="S38" s="80">
        <f t="shared" si="22"/>
        <v>27937.93</v>
      </c>
      <c r="T38" s="93">
        <f t="shared" si="23"/>
        <v>0</v>
      </c>
      <c r="U38" s="94">
        <v>2688.01</v>
      </c>
      <c r="V38" s="80">
        <v>3641.39</v>
      </c>
      <c r="W38" s="80">
        <v>12998.72</v>
      </c>
      <c r="X38" s="80">
        <v>6060.59</v>
      </c>
      <c r="Y38" s="80">
        <v>2150.37</v>
      </c>
      <c r="Z38" s="80">
        <v>0</v>
      </c>
      <c r="AA38" s="81">
        <v>0</v>
      </c>
      <c r="AB38" s="81">
        <f t="shared" si="24"/>
        <v>27539.079999999998</v>
      </c>
      <c r="AC38" s="169">
        <f t="shared" si="25"/>
        <v>30736.825000000004</v>
      </c>
      <c r="AD38" s="85">
        <f t="shared" si="26"/>
        <v>0</v>
      </c>
      <c r="AE38" s="85">
        <f t="shared" si="27"/>
        <v>0</v>
      </c>
      <c r="AF38" s="85">
        <f>'[6]Т10-10'!$I$62+'[6]Т10-10'!$I$87+150</f>
        <v>2373.5678399999997</v>
      </c>
      <c r="AG38" s="86">
        <f t="shared" si="28"/>
        <v>2159.7</v>
      </c>
      <c r="AH38" s="86">
        <f t="shared" si="29"/>
        <v>719.9000000000001</v>
      </c>
      <c r="AI38" s="86">
        <f t="shared" si="30"/>
        <v>3599.5</v>
      </c>
      <c r="AJ38" s="86">
        <v>0</v>
      </c>
      <c r="AK38" s="86">
        <f t="shared" si="31"/>
        <v>3527.5099999999998</v>
      </c>
      <c r="AL38" s="86">
        <v>0</v>
      </c>
      <c r="AM38" s="86">
        <f t="shared" si="32"/>
        <v>8098.875</v>
      </c>
      <c r="AN38" s="86">
        <v>0</v>
      </c>
      <c r="AO38" s="86"/>
      <c r="AP38" s="86"/>
      <c r="AQ38" s="88"/>
      <c r="AR38" s="88"/>
      <c r="AS38" s="87">
        <v>8881</v>
      </c>
      <c r="AT38" s="87"/>
      <c r="AU38" s="87">
        <f>AT38*0.18</f>
        <v>0</v>
      </c>
      <c r="AV38" s="167"/>
      <c r="AW38" s="168">
        <v>888</v>
      </c>
      <c r="AX38" s="86">
        <f t="shared" si="33"/>
        <v>1243.1999999999998</v>
      </c>
      <c r="AY38" s="50"/>
      <c r="AZ38" s="89"/>
      <c r="BA38" s="89">
        <f t="shared" si="34"/>
        <v>0</v>
      </c>
      <c r="BB38" s="89">
        <f>SUM(AG38:BA38)-AV38-AW38</f>
        <v>28229.685</v>
      </c>
      <c r="BC38" s="90">
        <f>'[6]Т10-10'!$M$62+'[6]Т10-10'!$M$87+37.5</f>
        <v>956.934</v>
      </c>
      <c r="BD38" s="141">
        <f t="shared" si="36"/>
        <v>3923.773839999999</v>
      </c>
      <c r="BE38" s="145">
        <f t="shared" si="37"/>
        <v>-398.8500000000022</v>
      </c>
    </row>
    <row r="39" spans="1:57" ht="12.75">
      <c r="A39" s="72" t="s">
        <v>43</v>
      </c>
      <c r="B39" s="73">
        <v>3599.5</v>
      </c>
      <c r="C39" s="54">
        <f t="shared" si="20"/>
        <v>31135.675000000003</v>
      </c>
      <c r="D39" s="53">
        <f t="shared" si="21"/>
        <v>3197.755000000002</v>
      </c>
      <c r="E39" s="74">
        <v>3224.5</v>
      </c>
      <c r="F39" s="74">
        <v>0</v>
      </c>
      <c r="G39" s="74">
        <v>4368.38</v>
      </c>
      <c r="H39" s="74">
        <v>0</v>
      </c>
      <c r="I39" s="74">
        <v>10495</v>
      </c>
      <c r="J39" s="74">
        <v>0</v>
      </c>
      <c r="K39" s="74">
        <v>7270.42</v>
      </c>
      <c r="L39" s="74">
        <v>0</v>
      </c>
      <c r="M39" s="74">
        <v>2579.62</v>
      </c>
      <c r="N39" s="75">
        <v>0</v>
      </c>
      <c r="O39" s="81">
        <v>0</v>
      </c>
      <c r="P39" s="81">
        <v>0</v>
      </c>
      <c r="Q39" s="81"/>
      <c r="R39" s="81"/>
      <c r="S39" s="80">
        <f t="shared" si="22"/>
        <v>27937.920000000002</v>
      </c>
      <c r="T39" s="93">
        <f t="shared" si="23"/>
        <v>0</v>
      </c>
      <c r="U39" s="80">
        <v>4858.9</v>
      </c>
      <c r="V39" s="80">
        <v>6587.08</v>
      </c>
      <c r="W39" s="80">
        <v>18625.68</v>
      </c>
      <c r="X39" s="80">
        <v>10958.29</v>
      </c>
      <c r="Y39" s="80">
        <v>3887.93</v>
      </c>
      <c r="Z39" s="80">
        <v>0</v>
      </c>
      <c r="AA39" s="81">
        <v>0</v>
      </c>
      <c r="AB39" s="81">
        <f t="shared" si="24"/>
        <v>44917.88</v>
      </c>
      <c r="AC39" s="169">
        <f t="shared" si="25"/>
        <v>48115.635</v>
      </c>
      <c r="AD39" s="85">
        <f t="shared" si="26"/>
        <v>0</v>
      </c>
      <c r="AE39" s="85">
        <f t="shared" si="27"/>
        <v>0</v>
      </c>
      <c r="AF39" s="85">
        <f>'[6]Т10-10'!$I$62+'[6]Т10-10'!$I$87+150</f>
        <v>2373.5678399999997</v>
      </c>
      <c r="AG39" s="86">
        <f t="shared" si="28"/>
        <v>2159.7</v>
      </c>
      <c r="AH39" s="86">
        <f t="shared" si="29"/>
        <v>719.9000000000001</v>
      </c>
      <c r="AI39" s="86">
        <f t="shared" si="30"/>
        <v>3599.5</v>
      </c>
      <c r="AJ39" s="86">
        <v>0</v>
      </c>
      <c r="AK39" s="86">
        <f t="shared" si="31"/>
        <v>3527.5099999999998</v>
      </c>
      <c r="AL39" s="86">
        <v>0</v>
      </c>
      <c r="AM39" s="86">
        <f t="shared" si="32"/>
        <v>8098.875</v>
      </c>
      <c r="AN39" s="86">
        <v>0</v>
      </c>
      <c r="AO39" s="86"/>
      <c r="AP39" s="86"/>
      <c r="AQ39" s="88"/>
      <c r="AR39" s="88"/>
      <c r="AS39" s="87">
        <v>4760</v>
      </c>
      <c r="AT39" s="87">
        <f>15116.92+40506.48</f>
        <v>55623.4</v>
      </c>
      <c r="AU39" s="87">
        <f>AT39*0.18</f>
        <v>10012.212</v>
      </c>
      <c r="AV39" s="167"/>
      <c r="AW39" s="168">
        <v>1110</v>
      </c>
      <c r="AX39" s="86">
        <f t="shared" si="33"/>
        <v>1554</v>
      </c>
      <c r="AY39" s="50"/>
      <c r="AZ39" s="89"/>
      <c r="BA39" s="89">
        <f t="shared" si="34"/>
        <v>0</v>
      </c>
      <c r="BB39" s="89">
        <f t="shared" si="35"/>
        <v>90055.09700000001</v>
      </c>
      <c r="BC39" s="90">
        <f>'[6]Т10-10'!$M$62+'[6]Т10-10'!$M$87+37.5</f>
        <v>956.934</v>
      </c>
      <c r="BD39" s="141">
        <f t="shared" si="36"/>
        <v>-40522.82816000001</v>
      </c>
      <c r="BE39" s="145">
        <f t="shared" si="37"/>
        <v>16979.959999999995</v>
      </c>
    </row>
    <row r="40" spans="1:57" s="15" customFormat="1" ht="12.75">
      <c r="A40" s="9" t="s">
        <v>5</v>
      </c>
      <c r="B40" s="10"/>
      <c r="C40" s="10">
        <f aca="true" t="shared" si="38" ref="C40:AU40">SUM(C28:C39)</f>
        <v>373555.43999999994</v>
      </c>
      <c r="D40" s="10">
        <f t="shared" si="38"/>
        <v>138101.12000000002</v>
      </c>
      <c r="E40" s="11">
        <f t="shared" si="38"/>
        <v>35160.66</v>
      </c>
      <c r="F40" s="11">
        <f t="shared" si="38"/>
        <v>3498.28</v>
      </c>
      <c r="G40" s="11">
        <f t="shared" si="38"/>
        <v>47632.73999999999</v>
      </c>
      <c r="H40" s="11">
        <f t="shared" si="38"/>
        <v>4741.84</v>
      </c>
      <c r="I40" s="11">
        <f t="shared" si="38"/>
        <v>114437.86</v>
      </c>
      <c r="J40" s="11">
        <f t="shared" si="38"/>
        <v>11388.77</v>
      </c>
      <c r="K40" s="11">
        <f t="shared" si="38"/>
        <v>79276.53</v>
      </c>
      <c r="L40" s="11">
        <f t="shared" si="38"/>
        <v>7890.6</v>
      </c>
      <c r="M40" s="11">
        <f t="shared" si="38"/>
        <v>28128.289999999997</v>
      </c>
      <c r="N40" s="11">
        <f t="shared" si="38"/>
        <v>2798.75</v>
      </c>
      <c r="O40" s="11">
        <f t="shared" si="38"/>
        <v>0</v>
      </c>
      <c r="P40" s="11">
        <f t="shared" si="38"/>
        <v>0</v>
      </c>
      <c r="Q40" s="11">
        <f t="shared" si="38"/>
        <v>0</v>
      </c>
      <c r="R40" s="11">
        <f t="shared" si="38"/>
        <v>0</v>
      </c>
      <c r="S40" s="11">
        <f t="shared" si="38"/>
        <v>304636.07999999996</v>
      </c>
      <c r="T40" s="11">
        <f t="shared" si="38"/>
        <v>30318.24</v>
      </c>
      <c r="U40" s="12">
        <f t="shared" si="38"/>
        <v>33033.16</v>
      </c>
      <c r="V40" s="12">
        <f t="shared" si="38"/>
        <v>44743.89</v>
      </c>
      <c r="W40" s="12">
        <f t="shared" si="38"/>
        <v>116563.5</v>
      </c>
      <c r="X40" s="12">
        <f t="shared" si="38"/>
        <v>74471.57999999999</v>
      </c>
      <c r="Y40" s="12">
        <f t="shared" si="38"/>
        <v>26427.39</v>
      </c>
      <c r="Z40" s="12">
        <f t="shared" si="38"/>
        <v>0</v>
      </c>
      <c r="AA40" s="12">
        <f t="shared" si="38"/>
        <v>0</v>
      </c>
      <c r="AB40" s="12">
        <f t="shared" si="38"/>
        <v>295239.51999999996</v>
      </c>
      <c r="AC40" s="12">
        <f t="shared" si="38"/>
        <v>463658.88000000006</v>
      </c>
      <c r="AD40" s="12">
        <f t="shared" si="38"/>
        <v>0</v>
      </c>
      <c r="AE40" s="44">
        <f t="shared" si="38"/>
        <v>0</v>
      </c>
      <c r="AF40" s="44">
        <f t="shared" si="38"/>
        <v>27132.814079999996</v>
      </c>
      <c r="AG40" s="13">
        <f t="shared" si="38"/>
        <v>25911.360000000004</v>
      </c>
      <c r="AH40" s="13">
        <f t="shared" si="38"/>
        <v>8637.119999999999</v>
      </c>
      <c r="AI40" s="13">
        <f t="shared" si="38"/>
        <v>43185.6</v>
      </c>
      <c r="AJ40" s="13">
        <f t="shared" si="38"/>
        <v>0</v>
      </c>
      <c r="AK40" s="13">
        <f t="shared" si="38"/>
        <v>42321.888</v>
      </c>
      <c r="AL40" s="13">
        <f t="shared" si="38"/>
        <v>0</v>
      </c>
      <c r="AM40" s="13">
        <f t="shared" si="38"/>
        <v>97167.6</v>
      </c>
      <c r="AN40" s="13">
        <f t="shared" si="38"/>
        <v>0</v>
      </c>
      <c r="AO40" s="13">
        <f t="shared" si="38"/>
        <v>4769.28</v>
      </c>
      <c r="AP40" s="13">
        <f t="shared" si="38"/>
        <v>0</v>
      </c>
      <c r="AQ40" s="13">
        <f t="shared" si="38"/>
        <v>0</v>
      </c>
      <c r="AR40" s="13">
        <f t="shared" si="38"/>
        <v>0</v>
      </c>
      <c r="AS40" s="13">
        <f t="shared" si="38"/>
        <v>43127</v>
      </c>
      <c r="AT40" s="13">
        <f t="shared" si="38"/>
        <v>56606.07</v>
      </c>
      <c r="AU40" s="13">
        <f t="shared" si="38"/>
        <v>10012.212</v>
      </c>
      <c r="AV40" s="13"/>
      <c r="AW40" s="13"/>
      <c r="AX40" s="13">
        <f aca="true" t="shared" si="39" ref="AX40:BE40">SUM(AX28:AX39)</f>
        <v>11601.8</v>
      </c>
      <c r="AY40" s="13">
        <f t="shared" si="39"/>
        <v>0</v>
      </c>
      <c r="AZ40" s="13">
        <f t="shared" si="39"/>
        <v>0</v>
      </c>
      <c r="BA40" s="13">
        <f t="shared" si="39"/>
        <v>0</v>
      </c>
      <c r="BB40" s="13">
        <f t="shared" si="39"/>
        <v>343339.93000000005</v>
      </c>
      <c r="BC40" s="13">
        <f t="shared" si="39"/>
        <v>11145.707999999999</v>
      </c>
      <c r="BD40" s="13">
        <f t="shared" si="39"/>
        <v>136306.05608</v>
      </c>
      <c r="BE40" s="14">
        <f t="shared" si="39"/>
        <v>-9396.559999999998</v>
      </c>
    </row>
    <row r="41" spans="1:57" ht="12.75">
      <c r="A41" s="72"/>
      <c r="B41" s="183"/>
      <c r="C41" s="184"/>
      <c r="D41" s="184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6"/>
      <c r="T41" s="186"/>
      <c r="U41" s="98"/>
      <c r="V41" s="98"/>
      <c r="W41" s="98"/>
      <c r="X41" s="98"/>
      <c r="Y41" s="98"/>
      <c r="Z41" s="98"/>
      <c r="AA41" s="98"/>
      <c r="AB41" s="98"/>
      <c r="AC41" s="45"/>
      <c r="AD41" s="45"/>
      <c r="AE41" s="85"/>
      <c r="AF41" s="85"/>
      <c r="AG41" s="86"/>
      <c r="AH41" s="86"/>
      <c r="AI41" s="86"/>
      <c r="AJ41" s="86"/>
      <c r="AK41" s="86"/>
      <c r="AL41" s="86"/>
      <c r="AM41" s="86"/>
      <c r="AN41" s="86"/>
      <c r="AO41" s="187"/>
      <c r="AP41" s="187"/>
      <c r="AQ41" s="187"/>
      <c r="AR41" s="187"/>
      <c r="AS41" s="204"/>
      <c r="AT41" s="204"/>
      <c r="AU41" s="87"/>
      <c r="AV41" s="87"/>
      <c r="AW41" s="87"/>
      <c r="AX41" s="70"/>
      <c r="AY41" s="187"/>
      <c r="AZ41" s="187"/>
      <c r="BA41" s="86"/>
      <c r="BB41" s="86"/>
      <c r="BC41" s="86"/>
      <c r="BD41" s="86"/>
      <c r="BE41" s="164"/>
    </row>
    <row r="42" spans="1:57" s="15" customFormat="1" ht="13.5" thickBot="1">
      <c r="A42" s="16" t="s">
        <v>54</v>
      </c>
      <c r="B42" s="17"/>
      <c r="C42" s="17">
        <f>C12+C26+C40</f>
        <v>840271.3799999999</v>
      </c>
      <c r="D42" s="17">
        <f aca="true" t="shared" si="40" ref="D42:BE42">D12+D26+D40</f>
        <v>201832.83477125003</v>
      </c>
      <c r="E42" s="17">
        <f t="shared" si="40"/>
        <v>73910</v>
      </c>
      <c r="F42" s="17">
        <f t="shared" si="40"/>
        <v>10935.970000000001</v>
      </c>
      <c r="G42" s="17">
        <f t="shared" si="40"/>
        <v>100057.33999999998</v>
      </c>
      <c r="H42" s="17">
        <f t="shared" si="40"/>
        <v>14809.109999999999</v>
      </c>
      <c r="I42" s="17">
        <f t="shared" si="40"/>
        <v>240484.98</v>
      </c>
      <c r="J42" s="17">
        <f t="shared" si="40"/>
        <v>35587.850000000006</v>
      </c>
      <c r="K42" s="17">
        <f t="shared" si="40"/>
        <v>166574.19</v>
      </c>
      <c r="L42" s="17">
        <f t="shared" si="40"/>
        <v>24652.18</v>
      </c>
      <c r="M42" s="17">
        <f t="shared" si="40"/>
        <v>59127.09</v>
      </c>
      <c r="N42" s="17">
        <f t="shared" si="40"/>
        <v>8748.95</v>
      </c>
      <c r="O42" s="17">
        <f t="shared" si="40"/>
        <v>0</v>
      </c>
      <c r="P42" s="17">
        <f t="shared" si="40"/>
        <v>0</v>
      </c>
      <c r="Q42" s="17">
        <f t="shared" si="40"/>
        <v>0</v>
      </c>
      <c r="R42" s="17">
        <f t="shared" si="40"/>
        <v>0</v>
      </c>
      <c r="S42" s="17">
        <f t="shared" si="40"/>
        <v>640153.6</v>
      </c>
      <c r="T42" s="17">
        <f t="shared" si="40"/>
        <v>94734.06</v>
      </c>
      <c r="U42" s="17">
        <f t="shared" si="40"/>
        <v>68632.48000000001</v>
      </c>
      <c r="V42" s="17">
        <f t="shared" si="40"/>
        <v>92347.31999999999</v>
      </c>
      <c r="W42" s="17">
        <f t="shared" si="40"/>
        <v>231044.46</v>
      </c>
      <c r="X42" s="17">
        <f t="shared" si="40"/>
        <v>153752.86</v>
      </c>
      <c r="Y42" s="17">
        <f t="shared" si="40"/>
        <v>54586.33</v>
      </c>
      <c r="Z42" s="17">
        <f t="shared" si="40"/>
        <v>0</v>
      </c>
      <c r="AA42" s="17">
        <f t="shared" si="40"/>
        <v>0</v>
      </c>
      <c r="AB42" s="17">
        <f t="shared" si="40"/>
        <v>600363.45</v>
      </c>
      <c r="AC42" s="17">
        <f t="shared" si="40"/>
        <v>896930.3447712502</v>
      </c>
      <c r="AD42" s="17">
        <f t="shared" si="40"/>
        <v>0</v>
      </c>
      <c r="AE42" s="17">
        <f t="shared" si="40"/>
        <v>0</v>
      </c>
      <c r="AF42" s="17">
        <f t="shared" si="40"/>
        <v>40474.221119999995</v>
      </c>
      <c r="AG42" s="17">
        <f t="shared" si="40"/>
        <v>57421.392</v>
      </c>
      <c r="AH42" s="17">
        <f t="shared" si="40"/>
        <v>19240.8737816</v>
      </c>
      <c r="AI42" s="17">
        <f t="shared" si="40"/>
        <v>87368.78087424999</v>
      </c>
      <c r="AJ42" s="17">
        <f t="shared" si="40"/>
        <v>7952.972557365</v>
      </c>
      <c r="AK42" s="17">
        <f t="shared" si="40"/>
        <v>87028.40448909</v>
      </c>
      <c r="AL42" s="17">
        <f t="shared" si="40"/>
        <v>8047.1729680362</v>
      </c>
      <c r="AM42" s="17">
        <f t="shared" si="40"/>
        <v>195069.40333006525</v>
      </c>
      <c r="AN42" s="17">
        <f t="shared" si="40"/>
        <v>17622.324599411746</v>
      </c>
      <c r="AO42" s="17">
        <f t="shared" si="40"/>
        <v>4769.28</v>
      </c>
      <c r="AP42" s="17">
        <f t="shared" si="40"/>
        <v>0</v>
      </c>
      <c r="AQ42" s="17">
        <f t="shared" si="40"/>
        <v>1050.54</v>
      </c>
      <c r="AR42" s="17">
        <f t="shared" si="40"/>
        <v>189.0972</v>
      </c>
      <c r="AS42" s="17">
        <f t="shared" si="40"/>
        <v>263026.82</v>
      </c>
      <c r="AT42" s="17">
        <f t="shared" si="40"/>
        <v>60352.22</v>
      </c>
      <c r="AU42" s="17">
        <f t="shared" si="40"/>
        <v>50268.49659999999</v>
      </c>
      <c r="AV42" s="17">
        <f t="shared" si="40"/>
        <v>0</v>
      </c>
      <c r="AW42" s="17">
        <f t="shared" si="40"/>
        <v>0</v>
      </c>
      <c r="AX42" s="17">
        <f t="shared" si="40"/>
        <v>25572.433599999997</v>
      </c>
      <c r="AY42" s="17">
        <f t="shared" si="40"/>
        <v>0</v>
      </c>
      <c r="AZ42" s="17">
        <f t="shared" si="40"/>
        <v>0</v>
      </c>
      <c r="BA42" s="17">
        <f t="shared" si="40"/>
        <v>0</v>
      </c>
      <c r="BB42" s="17">
        <f t="shared" si="40"/>
        <v>884980.2119998182</v>
      </c>
      <c r="BC42" s="17">
        <f t="shared" si="40"/>
        <v>16642.9764831236</v>
      </c>
      <c r="BD42" s="17">
        <f t="shared" si="40"/>
        <v>35781.37740830824</v>
      </c>
      <c r="BE42" s="17">
        <f t="shared" si="40"/>
        <v>-39790.149999999994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Q4:R4"/>
    <mergeCell ref="E5:E6"/>
    <mergeCell ref="F5:F6"/>
    <mergeCell ref="G5:G6"/>
    <mergeCell ref="S3:T4"/>
    <mergeCell ref="U3:AB4"/>
    <mergeCell ref="AC3:AC6"/>
    <mergeCell ref="AD3:AD6"/>
    <mergeCell ref="AE3:AE6"/>
    <mergeCell ref="AF3:AF6"/>
    <mergeCell ref="T5:T6"/>
    <mergeCell ref="U5:U6"/>
    <mergeCell ref="V5:V6"/>
    <mergeCell ref="W5:W6"/>
    <mergeCell ref="AG3:BB4"/>
    <mergeCell ref="BC3:BC6"/>
    <mergeCell ref="BD3:BD6"/>
    <mergeCell ref="BE3:BE6"/>
    <mergeCell ref="E4:F4"/>
    <mergeCell ref="G4:H4"/>
    <mergeCell ref="I4:J4"/>
    <mergeCell ref="K4:L4"/>
    <mergeCell ref="M4:N4"/>
    <mergeCell ref="O4:P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X5:X6"/>
    <mergeCell ref="Y5:Y6"/>
    <mergeCell ref="Z5:Z6"/>
    <mergeCell ref="AA5:AA6"/>
    <mergeCell ref="AB5:AB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BB5:BB6"/>
    <mergeCell ref="AT5:AT6"/>
    <mergeCell ref="AU5:AU6"/>
    <mergeCell ref="AV5:AX5"/>
    <mergeCell ref="AY5:AY6"/>
    <mergeCell ref="AZ5:AZ6"/>
    <mergeCell ref="BA5:B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">
      <selection activeCell="C62" sqref="C62"/>
    </sheetView>
  </sheetViews>
  <sheetFormatPr defaultColWidth="9.00390625" defaultRowHeight="12.75"/>
  <cols>
    <col min="1" max="1" width="10.00390625" style="61" customWidth="1"/>
    <col min="2" max="3" width="9.875" style="61" customWidth="1"/>
    <col min="4" max="4" width="10.125" style="61" customWidth="1"/>
    <col min="5" max="5" width="10.125" style="61" bestFit="1" customWidth="1"/>
    <col min="6" max="6" width="9.875" style="61" customWidth="1"/>
    <col min="7" max="7" width="10.00390625" style="61" customWidth="1"/>
    <col min="8" max="8" width="10.125" style="61" customWidth="1"/>
    <col min="9" max="10" width="9.25390625" style="61" customWidth="1"/>
    <col min="11" max="11" width="9.875" style="61" customWidth="1"/>
    <col min="12" max="12" width="10.875" style="61" customWidth="1"/>
    <col min="13" max="13" width="10.125" style="61" customWidth="1"/>
    <col min="14" max="14" width="9.375" style="61" customWidth="1"/>
    <col min="15" max="15" width="10.375" style="61" customWidth="1"/>
    <col min="16" max="16" width="9.125" style="61" customWidth="1"/>
    <col min="17" max="17" width="10.75390625" style="61" customWidth="1"/>
    <col min="18" max="18" width="10.25390625" style="61" customWidth="1"/>
    <col min="19" max="16384" width="9.125" style="61" customWidth="1"/>
  </cols>
  <sheetData>
    <row r="1" spans="2:8" ht="20.25" customHeight="1">
      <c r="B1" s="270" t="s">
        <v>55</v>
      </c>
      <c r="C1" s="270"/>
      <c r="D1" s="270"/>
      <c r="E1" s="270"/>
      <c r="F1" s="270"/>
      <c r="G1" s="270"/>
      <c r="H1" s="270"/>
    </row>
    <row r="2" spans="2:8" ht="21" customHeight="1">
      <c r="B2" s="270" t="s">
        <v>56</v>
      </c>
      <c r="C2" s="270"/>
      <c r="D2" s="270"/>
      <c r="E2" s="270"/>
      <c r="F2" s="270"/>
      <c r="G2" s="270"/>
      <c r="H2" s="270"/>
    </row>
    <row r="5" spans="1:17" ht="12.75">
      <c r="A5" s="271" t="s">
        <v>118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</row>
    <row r="6" spans="1:17" ht="12.75">
      <c r="A6" s="272" t="s">
        <v>119</v>
      </c>
      <c r="B6" s="272"/>
      <c r="C6" s="272"/>
      <c r="D6" s="272"/>
      <c r="E6" s="272"/>
      <c r="F6" s="272"/>
      <c r="G6" s="272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6" ht="13.5" thickBot="1">
      <c r="A7" s="273" t="s">
        <v>57</v>
      </c>
      <c r="B7" s="273"/>
      <c r="C7" s="273"/>
      <c r="D7" s="273"/>
      <c r="E7" s="273">
        <v>8.65</v>
      </c>
      <c r="F7" s="273"/>
    </row>
    <row r="8" spans="1:18" ht="12.75" customHeight="1">
      <c r="A8" s="241" t="s">
        <v>58</v>
      </c>
      <c r="B8" s="244" t="s">
        <v>1</v>
      </c>
      <c r="C8" s="247" t="s">
        <v>59</v>
      </c>
      <c r="D8" s="250" t="s">
        <v>120</v>
      </c>
      <c r="E8" s="253" t="s">
        <v>60</v>
      </c>
      <c r="F8" s="254"/>
      <c r="G8" s="266" t="s">
        <v>111</v>
      </c>
      <c r="H8" s="267"/>
      <c r="I8" s="329" t="str">
        <f>'[12]Лист1'!AF3</f>
        <v>Доходы по нежил.помещениям</v>
      </c>
      <c r="J8" s="332" t="s">
        <v>10</v>
      </c>
      <c r="K8" s="297"/>
      <c r="L8" s="297"/>
      <c r="M8" s="297"/>
      <c r="N8" s="297"/>
      <c r="O8" s="333"/>
      <c r="P8" s="298" t="s">
        <v>85</v>
      </c>
      <c r="Q8" s="336" t="s">
        <v>61</v>
      </c>
      <c r="R8" s="336" t="s">
        <v>12</v>
      </c>
    </row>
    <row r="9" spans="1:18" ht="12.75">
      <c r="A9" s="242"/>
      <c r="B9" s="245"/>
      <c r="C9" s="248"/>
      <c r="D9" s="251"/>
      <c r="E9" s="255"/>
      <c r="F9" s="256"/>
      <c r="G9" s="268"/>
      <c r="H9" s="269"/>
      <c r="I9" s="330"/>
      <c r="J9" s="334"/>
      <c r="K9" s="280"/>
      <c r="L9" s="280"/>
      <c r="M9" s="280"/>
      <c r="N9" s="280"/>
      <c r="O9" s="335"/>
      <c r="P9" s="299"/>
      <c r="Q9" s="337"/>
      <c r="R9" s="337"/>
    </row>
    <row r="10" spans="1:18" ht="26.25" customHeight="1">
      <c r="A10" s="242"/>
      <c r="B10" s="245"/>
      <c r="C10" s="248"/>
      <c r="D10" s="251"/>
      <c r="E10" s="260" t="s">
        <v>62</v>
      </c>
      <c r="F10" s="261"/>
      <c r="G10" s="129" t="s">
        <v>63</v>
      </c>
      <c r="H10" s="262" t="s">
        <v>7</v>
      </c>
      <c r="I10" s="330"/>
      <c r="J10" s="263" t="s">
        <v>64</v>
      </c>
      <c r="K10" s="265" t="s">
        <v>32</v>
      </c>
      <c r="L10" s="265" t="s">
        <v>65</v>
      </c>
      <c r="M10" s="265" t="s">
        <v>37</v>
      </c>
      <c r="N10" s="265" t="s">
        <v>66</v>
      </c>
      <c r="O10" s="262" t="s">
        <v>39</v>
      </c>
      <c r="P10" s="299"/>
      <c r="Q10" s="337"/>
      <c r="R10" s="337"/>
    </row>
    <row r="11" spans="1:18" ht="61.5" customHeight="1" thickBot="1">
      <c r="A11" s="243"/>
      <c r="B11" s="246"/>
      <c r="C11" s="249"/>
      <c r="D11" s="252"/>
      <c r="E11" s="130" t="s">
        <v>67</v>
      </c>
      <c r="F11" s="131" t="s">
        <v>21</v>
      </c>
      <c r="G11" s="132" t="s">
        <v>114</v>
      </c>
      <c r="H11" s="235"/>
      <c r="I11" s="331"/>
      <c r="J11" s="264"/>
      <c r="K11" s="233"/>
      <c r="L11" s="233"/>
      <c r="M11" s="233"/>
      <c r="N11" s="233"/>
      <c r="O11" s="235"/>
      <c r="P11" s="300"/>
      <c r="Q11" s="338"/>
      <c r="R11" s="338"/>
    </row>
    <row r="12" spans="1:18" ht="13.5" thickBot="1">
      <c r="A12" s="20">
        <v>1</v>
      </c>
      <c r="B12" s="21">
        <v>2</v>
      </c>
      <c r="C12" s="20">
        <v>3</v>
      </c>
      <c r="D12" s="21">
        <v>4</v>
      </c>
      <c r="E12" s="20">
        <v>5</v>
      </c>
      <c r="F12" s="21">
        <v>6</v>
      </c>
      <c r="G12" s="20">
        <v>7</v>
      </c>
      <c r="H12" s="21">
        <v>8</v>
      </c>
      <c r="I12" s="20">
        <v>9</v>
      </c>
      <c r="J12" s="21">
        <v>10</v>
      </c>
      <c r="K12" s="20">
        <v>11</v>
      </c>
      <c r="L12" s="21">
        <v>12</v>
      </c>
      <c r="M12" s="20">
        <v>13</v>
      </c>
      <c r="N12" s="21">
        <v>14</v>
      </c>
      <c r="O12" s="20">
        <v>15</v>
      </c>
      <c r="P12" s="21">
        <v>16</v>
      </c>
      <c r="Q12" s="20">
        <v>17</v>
      </c>
      <c r="R12" s="190">
        <v>18</v>
      </c>
    </row>
    <row r="13" spans="1:18" ht="12.75" hidden="1">
      <c r="A13" s="4" t="s">
        <v>40</v>
      </c>
      <c r="B13" s="5"/>
      <c r="C13" s="19"/>
      <c r="D13" s="4"/>
      <c r="E13" s="5"/>
      <c r="F13" s="6"/>
      <c r="G13" s="4"/>
      <c r="H13" s="6"/>
      <c r="I13" s="191"/>
      <c r="J13" s="4"/>
      <c r="K13" s="5"/>
      <c r="L13" s="5"/>
      <c r="M13" s="5"/>
      <c r="N13" s="5"/>
      <c r="O13" s="6"/>
      <c r="P13" s="42"/>
      <c r="Q13" s="23"/>
      <c r="R13" s="192"/>
    </row>
    <row r="14" spans="1:18" ht="12.75" hidden="1">
      <c r="A14" s="72" t="s">
        <v>41</v>
      </c>
      <c r="B14" s="147">
        <f>'[12]Лист1'!B9</f>
        <v>3597.5</v>
      </c>
      <c r="C14" s="24">
        <f>B14*8.65</f>
        <v>31118.375</v>
      </c>
      <c r="D14" s="148">
        <f>'[12]Лист1'!D9</f>
        <v>7495.79417</v>
      </c>
      <c r="E14" s="141">
        <f>'[12]Лист1'!S9</f>
        <v>23175.559999999998</v>
      </c>
      <c r="F14" s="145">
        <f>'[12]Лист1'!T9</f>
        <v>4709.57</v>
      </c>
      <c r="G14" s="149">
        <f>'[12]Лист1'!AB9</f>
        <v>189.31</v>
      </c>
      <c r="H14" s="145">
        <f>'[12]Лист1'!AC9</f>
        <v>12394.67417</v>
      </c>
      <c r="I14" s="193">
        <f>'[12]Лист1'!AD9</f>
        <v>0</v>
      </c>
      <c r="J14" s="149">
        <f>'[12]Лист1'!AG9</f>
        <v>2158.5</v>
      </c>
      <c r="K14" s="141">
        <f>'[12]Лист1'!AI9+'[12]Лист1'!AJ9</f>
        <v>3615.92179</v>
      </c>
      <c r="L14" s="141">
        <f>'[12]Лист1'!AH9+'[12]Лист1'!AK9+'[12]Лист1'!AL9+'[12]Лист1'!AM9+'[12]Лист1'!AN9+'[12]Лист1'!AO9+'[12]Лист1'!AP9</f>
        <v>12696.99167725</v>
      </c>
      <c r="M14" s="142">
        <f>'[12]Лист1'!AS9+'[12]Лист1'!AU9</f>
        <v>25552.0622</v>
      </c>
      <c r="N14" s="142">
        <f>'[12]Лист1'!AX9</f>
        <v>0</v>
      </c>
      <c r="O14" s="145">
        <f>'[12]Лист1'!BB9</f>
        <v>44023.47566725</v>
      </c>
      <c r="P14" s="194">
        <f>'[12]Лист1'!BC9</f>
        <v>0</v>
      </c>
      <c r="Q14" s="146">
        <f>'[12]Лист1'!BD9</f>
        <v>-31628.801497250002</v>
      </c>
      <c r="R14" s="146">
        <f>'[12]Лист1'!BE9</f>
        <v>-22986.249999999996</v>
      </c>
    </row>
    <row r="15" spans="1:18" ht="12.75" hidden="1">
      <c r="A15" s="72" t="s">
        <v>42</v>
      </c>
      <c r="B15" s="147">
        <f>'[12]Лист1'!B10</f>
        <v>3597.5</v>
      </c>
      <c r="C15" s="24">
        <f aca="true" t="shared" si="0" ref="C15:C30">B15*8.65</f>
        <v>31118.375</v>
      </c>
      <c r="D15" s="148">
        <f>'[12]Лист1'!D10</f>
        <v>7495.79417</v>
      </c>
      <c r="E15" s="141">
        <f>'[12]Лист1'!S10</f>
        <v>20374.95</v>
      </c>
      <c r="F15" s="145">
        <f>'[12]Лист1'!T10</f>
        <v>3757.82</v>
      </c>
      <c r="G15" s="149">
        <f>'[12]Лист1'!AB10</f>
        <v>15689.43</v>
      </c>
      <c r="H15" s="145">
        <f>'[12]Лист1'!AC10</f>
        <v>26943.04417</v>
      </c>
      <c r="I15" s="193">
        <f>'[12]Лист1'!AD10</f>
        <v>0</v>
      </c>
      <c r="J15" s="149">
        <f>'[12]Лист1'!AG10</f>
        <v>2158.5</v>
      </c>
      <c r="K15" s="141">
        <f>'[12]Лист1'!AI10+'[12]Лист1'!AJ10</f>
        <v>3615.92179</v>
      </c>
      <c r="L15" s="141">
        <f>'[12]Лист1'!AH10+'[12]Лист1'!AK10+'[12]Лист1'!AL10+'[12]Лист1'!AM10+'[12]Лист1'!AN10+'[12]Лист1'!AO10+'[12]Лист1'!AP10</f>
        <v>12658.67110725</v>
      </c>
      <c r="M15" s="142">
        <f>'[12]Лист1'!AS10+'[12]Лист1'!AU10</f>
        <v>11180.5</v>
      </c>
      <c r="N15" s="142">
        <f>'[12]Лист1'!AX10</f>
        <v>0</v>
      </c>
      <c r="O15" s="145">
        <f>'[12]Лист1'!BB10</f>
        <v>29613.59289725</v>
      </c>
      <c r="P15" s="194">
        <f>'[12]Лист1'!BC10</f>
        <v>0</v>
      </c>
      <c r="Q15" s="146">
        <f>'[12]Лист1'!BD10</f>
        <v>-2670.5487272499995</v>
      </c>
      <c r="R15" s="146">
        <f>'[12]Лист1'!BE10</f>
        <v>-4685.52</v>
      </c>
    </row>
    <row r="16" spans="1:20" ht="13.5" hidden="1" thickBot="1">
      <c r="A16" s="195" t="s">
        <v>43</v>
      </c>
      <c r="B16" s="147">
        <f>'[12]Лист1'!B11</f>
        <v>3597.5</v>
      </c>
      <c r="C16" s="25">
        <f t="shared" si="0"/>
        <v>31118.375</v>
      </c>
      <c r="D16" s="148">
        <f>'[12]Лист1'!D11</f>
        <v>7479.30143125</v>
      </c>
      <c r="E16" s="141">
        <f>'[12]Лист1'!S11</f>
        <v>21272.440000000002</v>
      </c>
      <c r="F16" s="145">
        <f>'[12]Лист1'!T11</f>
        <v>3847.9500000000003</v>
      </c>
      <c r="G16" s="149">
        <f>'[12]Лист1'!AB11</f>
        <v>24690.17</v>
      </c>
      <c r="H16" s="145">
        <f>'[12]Лист1'!AC11</f>
        <v>36017.42143125</v>
      </c>
      <c r="I16" s="193">
        <f>'[12]Лист1'!AD11</f>
        <v>0</v>
      </c>
      <c r="J16" s="149">
        <f>'[12]Лист1'!AG11</f>
        <v>2158.5</v>
      </c>
      <c r="K16" s="141">
        <f>'[12]Лист1'!AI11+'[12]Лист1'!AJ11</f>
        <v>3605.405866</v>
      </c>
      <c r="L16" s="141">
        <f>'[12]Лист1'!AH11+'[12]Лист1'!AK11+'[12]Лист1'!AL11+'[12]Лист1'!AM11+'[12]Лист1'!AN11+'[12]Лист1'!AO11+'[12]Лист1'!AP11</f>
        <v>12638.545361175</v>
      </c>
      <c r="M16" s="142">
        <f>'[12]Лист1'!AS11+'[12]Лист1'!AU11</f>
        <v>9436.46</v>
      </c>
      <c r="N16" s="142">
        <f>'[12]Лист1'!AX11</f>
        <v>0</v>
      </c>
      <c r="O16" s="145">
        <f>'[12]Лист1'!BB11</f>
        <v>27838.911227175</v>
      </c>
      <c r="P16" s="194">
        <f>'[12]Лист1'!BC11</f>
        <v>0</v>
      </c>
      <c r="Q16" s="146">
        <f>'[12]Лист1'!BD11</f>
        <v>8178.510204074999</v>
      </c>
      <c r="R16" s="146">
        <f>'[12]Лист1'!BE11</f>
        <v>3417.729999999996</v>
      </c>
      <c r="S16" s="60"/>
      <c r="T16" s="60"/>
    </row>
    <row r="17" spans="1:20" s="15" customFormat="1" ht="13.5" hidden="1" thickBot="1">
      <c r="A17" s="26" t="s">
        <v>5</v>
      </c>
      <c r="B17" s="27"/>
      <c r="C17" s="28">
        <f>SUM(C14:C16)</f>
        <v>93355.125</v>
      </c>
      <c r="D17" s="29">
        <f aca="true" t="shared" si="1" ref="D17:R17">SUM(D14:D16)</f>
        <v>22470.88977125</v>
      </c>
      <c r="E17" s="28">
        <f t="shared" si="1"/>
        <v>64822.95</v>
      </c>
      <c r="F17" s="41">
        <f t="shared" si="1"/>
        <v>12315.34</v>
      </c>
      <c r="G17" s="29">
        <f t="shared" si="1"/>
        <v>40568.909999999996</v>
      </c>
      <c r="H17" s="41">
        <f t="shared" si="1"/>
        <v>75355.13977124999</v>
      </c>
      <c r="I17" s="41">
        <f t="shared" si="1"/>
        <v>0</v>
      </c>
      <c r="J17" s="29">
        <f t="shared" si="1"/>
        <v>6475.5</v>
      </c>
      <c r="K17" s="28">
        <f t="shared" si="1"/>
        <v>10837.249446</v>
      </c>
      <c r="L17" s="28">
        <f t="shared" si="1"/>
        <v>37994.208145675</v>
      </c>
      <c r="M17" s="28">
        <f t="shared" si="1"/>
        <v>46169.0222</v>
      </c>
      <c r="N17" s="28">
        <f t="shared" si="1"/>
        <v>0</v>
      </c>
      <c r="O17" s="41">
        <f t="shared" si="1"/>
        <v>101475.979791675</v>
      </c>
      <c r="P17" s="41">
        <f t="shared" si="1"/>
        <v>0</v>
      </c>
      <c r="Q17" s="30">
        <f t="shared" si="1"/>
        <v>-26120.840020425</v>
      </c>
      <c r="R17" s="30">
        <f t="shared" si="1"/>
        <v>-24254.04</v>
      </c>
      <c r="S17" s="31"/>
      <c r="T17" s="32"/>
    </row>
    <row r="18" spans="1:20" ht="12.75" hidden="1">
      <c r="A18" s="4" t="s">
        <v>44</v>
      </c>
      <c r="B18" s="136"/>
      <c r="C18" s="33"/>
      <c r="D18" s="137"/>
      <c r="E18" s="138"/>
      <c r="F18" s="139"/>
      <c r="G18" s="140"/>
      <c r="H18" s="139"/>
      <c r="I18" s="161"/>
      <c r="J18" s="140"/>
      <c r="K18" s="141"/>
      <c r="L18" s="141"/>
      <c r="M18" s="142"/>
      <c r="N18" s="143"/>
      <c r="O18" s="145"/>
      <c r="P18" s="194"/>
      <c r="Q18" s="146"/>
      <c r="R18" s="146"/>
      <c r="S18" s="60"/>
      <c r="T18" s="60"/>
    </row>
    <row r="19" spans="1:20" ht="12.75" customHeight="1" hidden="1">
      <c r="A19" s="72" t="s">
        <v>45</v>
      </c>
      <c r="B19" s="147">
        <f>'[12]Лист1'!B14</f>
        <v>3597.5</v>
      </c>
      <c r="C19" s="24">
        <f t="shared" si="0"/>
        <v>31118.375</v>
      </c>
      <c r="D19" s="148">
        <f>'[12]Лист1'!D14</f>
        <v>3889.796875</v>
      </c>
      <c r="E19" s="141">
        <f>'[12]Лист1'!S14</f>
        <v>21209.23</v>
      </c>
      <c r="F19" s="145">
        <f>'[12]Лист1'!T14</f>
        <v>3847.9500000000003</v>
      </c>
      <c r="G19" s="149">
        <f>'[12]Лист1'!AB14</f>
        <v>13498.150000000001</v>
      </c>
      <c r="H19" s="145">
        <f>'[12]Лист1'!AC14</f>
        <v>21235.896875000002</v>
      </c>
      <c r="I19" s="193">
        <f>'[12]Лист1'!AF14</f>
        <v>0</v>
      </c>
      <c r="J19" s="149">
        <f>'[12]Лист1'!AG14</f>
        <v>1942.65</v>
      </c>
      <c r="K19" s="141">
        <f>'[12]Лист1'!AI14+'[12]Лист1'!AJ14</f>
        <v>3128.3659974999996</v>
      </c>
      <c r="L19" s="141">
        <f>'[12]Лист1'!AH14+'[12]Лист1'!AK14+'[12]Лист1'!AL14+'[12]Лист1'!AM14+'[12]Лист1'!AN14+'[12]Лист1'!AO14+'[12]Лист1'!AP14+'[12]Лист1'!AQ14+'[12]Лист1'!AR14</f>
        <v>10743.788339050001</v>
      </c>
      <c r="M19" s="142">
        <f>'[12]Лист1'!AS14+'[12]Лист1'!AT14+'[12]Лист1'!AU14+'[12]Лист1'!AZ14+'[12]Лист1'!BA14</f>
        <v>2192.45</v>
      </c>
      <c r="N19" s="142">
        <f>'[12]Лист1'!AX14</f>
        <v>1897.8176</v>
      </c>
      <c r="O19" s="145">
        <f>'[12]Лист1'!BB14</f>
        <v>18007.254336550002</v>
      </c>
      <c r="P19" s="194">
        <f>'[12]Лист1'!BC14</f>
        <v>0</v>
      </c>
      <c r="Q19" s="146">
        <f>'[12]Лист1'!BD14</f>
        <v>3228.64253845</v>
      </c>
      <c r="R19" s="146">
        <f>'[12]Лист1'!BE14</f>
        <v>-7711.079999999998</v>
      </c>
      <c r="S19" s="60"/>
      <c r="T19" s="60"/>
    </row>
    <row r="20" spans="1:20" ht="12.75" hidden="1">
      <c r="A20" s="72" t="s">
        <v>46</v>
      </c>
      <c r="B20" s="147">
        <f>'[12]Лист1'!B15</f>
        <v>3597.1</v>
      </c>
      <c r="C20" s="24">
        <f t="shared" si="0"/>
        <v>31114.915</v>
      </c>
      <c r="D20" s="148">
        <f>'[12]Лист1'!D15</f>
        <v>3889.364375</v>
      </c>
      <c r="E20" s="141">
        <f>'[12]Лист1'!S15</f>
        <v>21433.74</v>
      </c>
      <c r="F20" s="145">
        <f>'[12]Лист1'!T15</f>
        <v>3692.13</v>
      </c>
      <c r="G20" s="149">
        <f>'[12]Лист1'!AB15</f>
        <v>18453.600000000002</v>
      </c>
      <c r="H20" s="145">
        <f>'[12]Лист1'!AC15</f>
        <v>26035.094375</v>
      </c>
      <c r="I20" s="193">
        <f>'[12]Лист1'!AF15</f>
        <v>0</v>
      </c>
      <c r="J20" s="149">
        <f>'[12]Лист1'!AG15</f>
        <v>1942.4339999999997</v>
      </c>
      <c r="K20" s="141">
        <f>'[12]Лист1'!AI15+'[12]Лист1'!AJ15</f>
        <v>3128.0417570999994</v>
      </c>
      <c r="L20" s="141">
        <f>'[12]Лист1'!AH15+'[12]Лист1'!AK15+'[12]Лист1'!AL15+'[12]Лист1'!AM15+'[12]Лист1'!AN15+'[12]Лист1'!AO15+'[12]Лист1'!AP15+'[12]Лист1'!AQ15+'[12]Лист1'!AR15</f>
        <v>10758.101932447998</v>
      </c>
      <c r="M20" s="142">
        <f>'[12]Лист1'!AS15+'[12]Лист1'!AT15+'[12]Лист1'!AU15+'[12]Лист1'!AZ15+'[12]Лист1'!BA15</f>
        <v>0</v>
      </c>
      <c r="N20" s="142">
        <f>'[12]Лист1'!AX15</f>
        <v>1817.2000000000003</v>
      </c>
      <c r="O20" s="145">
        <f>'[12]Лист1'!BB15</f>
        <v>15828.577689547996</v>
      </c>
      <c r="P20" s="194">
        <f>'[12]Лист1'!BC15</f>
        <v>0</v>
      </c>
      <c r="Q20" s="146">
        <f>'[12]Лист1'!BD15</f>
        <v>10206.516685452005</v>
      </c>
      <c r="R20" s="146">
        <f>'[12]Лист1'!BE15</f>
        <v>-2980.1399999999994</v>
      </c>
      <c r="S20" s="60"/>
      <c r="T20" s="60"/>
    </row>
    <row r="21" spans="1:20" ht="12.75" hidden="1">
      <c r="A21" s="72" t="s">
        <v>47</v>
      </c>
      <c r="B21" s="147">
        <f>'[12]Лист1'!B16</f>
        <v>3597.1</v>
      </c>
      <c r="C21" s="24">
        <f t="shared" si="0"/>
        <v>31114.915</v>
      </c>
      <c r="D21" s="148">
        <f>'[12]Лист1'!D16</f>
        <v>3889.364375</v>
      </c>
      <c r="E21" s="141">
        <f>'[12]Лист1'!S16</f>
        <v>20713.42</v>
      </c>
      <c r="F21" s="145">
        <f>'[12]Лист1'!T16</f>
        <v>3654.04</v>
      </c>
      <c r="G21" s="149">
        <f>'[12]Лист1'!AB16</f>
        <v>26415.690000000002</v>
      </c>
      <c r="H21" s="145">
        <f>'[12]Лист1'!AC16</f>
        <v>33959.094375</v>
      </c>
      <c r="I21" s="193">
        <f>'[12]Лист1'!AF16</f>
        <v>0</v>
      </c>
      <c r="J21" s="149">
        <f>'[12]Лист1'!AG16</f>
        <v>1942.4339999999997</v>
      </c>
      <c r="K21" s="141">
        <f>'[12]Лист1'!AI16+'[12]Лист1'!AJ16</f>
        <v>3129.84570275</v>
      </c>
      <c r="L21" s="141">
        <f>'[12]Лист1'!AH16+'[12]Лист1'!AK16+'[12]Лист1'!AL16+'[12]Лист1'!AM16+'[12]Лист1'!AN16+'[12]Лист1'!AO16+'[12]Лист1'!AP16+'[12]Лист1'!AQ16+'[12]Лист1'!AR16</f>
        <v>10400.248395757999</v>
      </c>
      <c r="M21" s="142">
        <f>'[12]Лист1'!AS16+'[12]Лист1'!AT16+'[12]Лист1'!AU16+'[12]Лист1'!AZ16+'[12]Лист1'!BA16</f>
        <v>6518.32</v>
      </c>
      <c r="N21" s="142">
        <f>'[12]Лист1'!AX16</f>
        <v>1534.3776</v>
      </c>
      <c r="O21" s="145">
        <f>'[12]Лист1'!BB16</f>
        <v>21990.848098508</v>
      </c>
      <c r="P21" s="194">
        <f>'[12]Лист1'!BC16</f>
        <v>0</v>
      </c>
      <c r="Q21" s="146">
        <f>'[12]Лист1'!BD16</f>
        <v>11968.246276492002</v>
      </c>
      <c r="R21" s="146">
        <f>'[12]Лист1'!BE16</f>
        <v>5702.270000000004</v>
      </c>
      <c r="S21" s="60"/>
      <c r="T21" s="60"/>
    </row>
    <row r="22" spans="1:20" ht="12.75" hidden="1">
      <c r="A22" s="72" t="s">
        <v>48</v>
      </c>
      <c r="B22" s="147">
        <f>'[12]Лист1'!B17</f>
        <v>3597.1</v>
      </c>
      <c r="C22" s="24">
        <f t="shared" si="0"/>
        <v>31114.915</v>
      </c>
      <c r="D22" s="148">
        <f>'[12]Лист1'!D17</f>
        <v>3889.364375</v>
      </c>
      <c r="E22" s="141">
        <f>'[12]Лист1'!S17</f>
        <v>21400.780000000002</v>
      </c>
      <c r="F22" s="145">
        <f>'[12]Лист1'!T17</f>
        <v>3648.9999999999995</v>
      </c>
      <c r="G22" s="149">
        <f>'[12]Лист1'!AB17</f>
        <v>19350.370000000003</v>
      </c>
      <c r="H22" s="145">
        <f>'[12]Лист1'!AC17</f>
        <v>26888.734375</v>
      </c>
      <c r="I22" s="193">
        <f>'[12]Лист1'!AF17</f>
        <v>0</v>
      </c>
      <c r="J22" s="149">
        <f>'[12]Лист1'!AG17</f>
        <v>1942.4339999999997</v>
      </c>
      <c r="K22" s="141">
        <f>'[12]Лист1'!AI17+'[12]Лист1'!AJ17</f>
        <v>3223.29008742</v>
      </c>
      <c r="L22" s="141">
        <f>'[12]Лист1'!AH17+'[12]Лист1'!AK17+'[12]Лист1'!AL17+'[12]Лист1'!AM17+'[12]Лист1'!AN17+'[12]Лист1'!AO17+'[12]Лист1'!AP17+'[12]Лист1'!AQ17+'[12]Лист1'!AR17</f>
        <v>10547.608561255998</v>
      </c>
      <c r="M22" s="142">
        <f>'[12]Лист1'!AS17+'[12]Лист1'!AT17+'[12]Лист1'!AU17+'[12]Лист1'!AZ17+'[12]Лист1'!BA17</f>
        <v>4763.837</v>
      </c>
      <c r="N22" s="142">
        <f>'[12]Лист1'!AX17</f>
        <v>1275.344</v>
      </c>
      <c r="O22" s="145">
        <f>'[12]Лист1'!BB17</f>
        <v>27001.908848676</v>
      </c>
      <c r="P22" s="194">
        <f>'[12]Лист1'!BC17</f>
        <v>0</v>
      </c>
      <c r="Q22" s="146">
        <f>'[12]Лист1'!BD17</f>
        <v>-113.17447367600107</v>
      </c>
      <c r="R22" s="146">
        <f>'[12]Лист1'!BE17</f>
        <v>-2050.41</v>
      </c>
      <c r="S22" s="60"/>
      <c r="T22" s="60"/>
    </row>
    <row r="23" spans="1:20" ht="12.75" hidden="1">
      <c r="A23" s="72" t="s">
        <v>49</v>
      </c>
      <c r="B23" s="147">
        <f>'[12]Лист1'!B18</f>
        <v>3597.1</v>
      </c>
      <c r="C23" s="24">
        <f t="shared" si="0"/>
        <v>31114.915</v>
      </c>
      <c r="D23" s="148">
        <f>'[12]Лист1'!D18</f>
        <v>3109.6849999999995</v>
      </c>
      <c r="E23" s="141">
        <f>'[12]Лист1'!S18</f>
        <v>23225.590000000004</v>
      </c>
      <c r="F23" s="145">
        <f>'[12]Лист1'!T18</f>
        <v>4779.64</v>
      </c>
      <c r="G23" s="149">
        <f>'[12]Лист1'!AB18</f>
        <v>18408.249999999996</v>
      </c>
      <c r="H23" s="145">
        <f>'[12]Лист1'!AC18</f>
        <v>26297.574999999997</v>
      </c>
      <c r="I23" s="193">
        <f>'[12]Лист1'!AF18</f>
        <v>0</v>
      </c>
      <c r="J23" s="149">
        <f>'[12]Лист1'!AG18</f>
        <v>2158.2599999999998</v>
      </c>
      <c r="K23" s="141">
        <f>'[12]Лист1'!AI18+'[12]Лист1'!AJ18</f>
        <v>3607.8913</v>
      </c>
      <c r="L23" s="141">
        <f>'[12]Лист1'!AH18+'[12]Лист1'!AK18+'[12]Лист1'!AL18+'[12]Лист1'!AM18+'[12]Лист1'!AN18+'[12]Лист1'!AO18+'[12]Лист1'!AP18+'[12]Лист1'!AQ18+'[12]Лист1'!AR18</f>
        <v>12356.757919999998</v>
      </c>
      <c r="M23" s="142">
        <f>'[12]Лист1'!AS18+'[12]Лист1'!AT18+'[12]Лист1'!AU18+'[12]Лист1'!AZ18+'[12]Лист1'!BA18</f>
        <v>88.02799999999999</v>
      </c>
      <c r="N23" s="142">
        <f>'[12]Лист1'!AX18</f>
        <v>915.8688000000001</v>
      </c>
      <c r="O23" s="145">
        <f>'[12]Лист1'!BB18</f>
        <v>19126.806019999996</v>
      </c>
      <c r="P23" s="194">
        <f>'[12]Лист1'!BC18</f>
        <v>0</v>
      </c>
      <c r="Q23" s="146">
        <f>'[12]Лист1'!BD18</f>
        <v>7170.768980000001</v>
      </c>
      <c r="R23" s="146">
        <f>'[12]Лист1'!BE18</f>
        <v>-4817.340000000007</v>
      </c>
      <c r="S23" s="60"/>
      <c r="T23" s="60"/>
    </row>
    <row r="24" spans="1:20" ht="12.75" hidden="1">
      <c r="A24" s="72" t="s">
        <v>50</v>
      </c>
      <c r="B24" s="147">
        <f>'[12]Лист1'!B19</f>
        <v>3597.1</v>
      </c>
      <c r="C24" s="24">
        <f t="shared" si="0"/>
        <v>31114.915</v>
      </c>
      <c r="D24" s="148">
        <f>'[12]Лист1'!D19</f>
        <v>3216.2149999999997</v>
      </c>
      <c r="E24" s="141">
        <f>'[12]Лист1'!S19</f>
        <v>23341.79</v>
      </c>
      <c r="F24" s="145">
        <f>'[12]Лист1'!T19</f>
        <v>4556.91</v>
      </c>
      <c r="G24" s="149">
        <f>'[12]Лист1'!AB19</f>
        <v>22748.01</v>
      </c>
      <c r="H24" s="145">
        <f>'[12]Лист1'!AC19</f>
        <v>30521.135</v>
      </c>
      <c r="I24" s="193">
        <f>'[12]Лист1'!AF19</f>
        <v>0</v>
      </c>
      <c r="J24" s="149">
        <f>'[12]Лист1'!AG19</f>
        <v>2158.2599999999998</v>
      </c>
      <c r="K24" s="141">
        <f>'[12]Лист1'!AI19+'[12]Лист1'!AJ19</f>
        <v>3607.8913</v>
      </c>
      <c r="L24" s="141">
        <f>'[12]Лист1'!AH19+'[12]Лист1'!AK19+'[12]Лист1'!AL19+'[12]Лист1'!AM19+'[12]Лист1'!AN19+'[12]Лист1'!AO19+'[12]Лист1'!AP19+'[12]Лист1'!AQ19+'[12]Лист1'!AR19</f>
        <v>12357.081659</v>
      </c>
      <c r="M24" s="142">
        <f>'[12]Лист1'!AS19+'[12]Лист1'!AT19+'[12]Лист1'!AU19+'[12]Лист1'!AZ19+'[12]Лист1'!BA19</f>
        <v>177.16519999999997</v>
      </c>
      <c r="N24" s="142">
        <f>'[12]Лист1'!AX19</f>
        <v>927.7632000000001</v>
      </c>
      <c r="O24" s="145">
        <f>'[12]Лист1'!BB19</f>
        <v>19228.161358999998</v>
      </c>
      <c r="P24" s="194">
        <f>'[12]Лист1'!BC19</f>
        <v>0</v>
      </c>
      <c r="Q24" s="146">
        <f>'[12]Лист1'!BD19</f>
        <v>11292.973641</v>
      </c>
      <c r="R24" s="146">
        <f>'[12]Лист1'!BE19</f>
        <v>-593.7800000000025</v>
      </c>
      <c r="S24" s="60"/>
      <c r="T24" s="60"/>
    </row>
    <row r="25" spans="1:20" ht="12.75" hidden="1">
      <c r="A25" s="72" t="s">
        <v>51</v>
      </c>
      <c r="B25" s="147">
        <f>'[12]Лист1'!B20</f>
        <v>3596.3</v>
      </c>
      <c r="C25" s="24">
        <f t="shared" si="0"/>
        <v>31107.995000000003</v>
      </c>
      <c r="D25" s="148">
        <f>'[12]Лист1'!D20</f>
        <v>3271.6450000000054</v>
      </c>
      <c r="E25" s="141">
        <f>'[12]Лист1'!S20</f>
        <v>23310.489999999998</v>
      </c>
      <c r="F25" s="145">
        <f>'[12]Лист1'!T20</f>
        <v>4525.860000000001</v>
      </c>
      <c r="G25" s="149">
        <f>'[12]Лист1'!AB20</f>
        <v>22429.920000000002</v>
      </c>
      <c r="H25" s="145">
        <f>'[12]Лист1'!AC20</f>
        <v>30227.42500000001</v>
      </c>
      <c r="I25" s="193">
        <f>'[12]Лист1'!AF20</f>
        <v>2223.5678399999997</v>
      </c>
      <c r="J25" s="149">
        <f>'[12]Лист1'!AG20</f>
        <v>2157.78</v>
      </c>
      <c r="K25" s="141">
        <f>'[12]Лист1'!AI20+'[12]Лист1'!AJ20</f>
        <v>3555.5075287299996</v>
      </c>
      <c r="L25" s="141">
        <f>'[12]Лист1'!AH20+'[12]Лист1'!AK20+'[12]Лист1'!AL20+'[12]Лист1'!AM20+'[12]Лист1'!AN20+'[12]Лист1'!AO20+'[12]Лист1'!AP20+'[12]Лист1'!AQ20+'[12]Лист1'!AR20</f>
        <v>12231.416280485999</v>
      </c>
      <c r="M25" s="142">
        <f>'[12]Лист1'!AS20+'[12]Лист1'!AT20+'[12]Лист1'!AU20+'[12]Лист1'!AZ20+'[12]Лист1'!BA20</f>
        <v>47699.659199999995</v>
      </c>
      <c r="N25" s="142">
        <f>'[12]Лист1'!AX20</f>
        <v>835.2512</v>
      </c>
      <c r="O25" s="145">
        <f>'[12]Лист1'!BB20</f>
        <v>66479.61420921599</v>
      </c>
      <c r="P25" s="194">
        <f>'[12]Лист1'!BC20</f>
        <v>912.65560908</v>
      </c>
      <c r="Q25" s="146">
        <f>'[12]Лист1'!BD20</f>
        <v>-34941.27697829598</v>
      </c>
      <c r="R25" s="146">
        <f>'[12]Лист1'!BE20</f>
        <v>-880.5699999999961</v>
      </c>
      <c r="S25" s="60"/>
      <c r="T25" s="60"/>
    </row>
    <row r="26" spans="1:20" ht="12.75" hidden="1">
      <c r="A26" s="72" t="s">
        <v>52</v>
      </c>
      <c r="B26" s="147">
        <f>'[12]Лист1'!B21</f>
        <v>3596.3</v>
      </c>
      <c r="C26" s="24">
        <f t="shared" si="0"/>
        <v>31107.995000000003</v>
      </c>
      <c r="D26" s="148">
        <f>'[12]Лист1'!D21</f>
        <v>3215.245000000001</v>
      </c>
      <c r="E26" s="141">
        <f>'[12]Лист1'!S21</f>
        <v>23338.78</v>
      </c>
      <c r="F26" s="145">
        <f>'[12]Лист1'!T21</f>
        <v>4553.97</v>
      </c>
      <c r="G26" s="149">
        <f>'[12]Лист1'!AB21</f>
        <v>24644.89</v>
      </c>
      <c r="H26" s="145">
        <f>'[12]Лист1'!AC21</f>
        <v>32414.105</v>
      </c>
      <c r="I26" s="193">
        <f>'[12]Лист1'!AF21</f>
        <v>2223.5678399999997</v>
      </c>
      <c r="J26" s="149">
        <f>'[12]Лист1'!AG21</f>
        <v>2157.78</v>
      </c>
      <c r="K26" s="141">
        <f>'[12]Лист1'!AI21+'[12]Лист1'!AJ21</f>
        <v>3553.920409614</v>
      </c>
      <c r="L26" s="141">
        <f>'[12]Лист1'!AH21+'[12]Лист1'!AK21+'[12]Лист1'!AL21+'[12]Лист1'!AM21+'[12]Лист1'!AN21+'[12]Лист1'!AO21+'[12]Лист1'!AP21+'[12]Лист1'!AQ21+'[12]Лист1'!AR21</f>
        <v>13469.2797134</v>
      </c>
      <c r="M26" s="142">
        <f>'[12]Лист1'!AS21+'[12]Лист1'!AT21+'[12]Лист1'!AU21+'[12]Лист1'!AZ21+'[12]Лист1'!BA21</f>
        <v>12741.64</v>
      </c>
      <c r="N26" s="142">
        <f>'[12]Лист1'!AX21</f>
        <v>782.3872</v>
      </c>
      <c r="O26" s="145">
        <f>'[12]Лист1'!BB21</f>
        <v>32705.007323013997</v>
      </c>
      <c r="P26" s="194">
        <f>'[12]Лист1'!BC21</f>
        <v>912.2409285239999</v>
      </c>
      <c r="Q26" s="146">
        <f>'[12]Лист1'!BD21</f>
        <v>1020.4245884620025</v>
      </c>
      <c r="R26" s="146">
        <f>'[12]Лист1'!BE21</f>
        <v>1306.1100000000006</v>
      </c>
      <c r="S26" s="60"/>
      <c r="T26" s="60"/>
    </row>
    <row r="27" spans="1:20" ht="12.75" hidden="1">
      <c r="A27" s="72" t="s">
        <v>53</v>
      </c>
      <c r="B27" s="147">
        <f>'[12]Лист1'!B22</f>
        <v>3596.3</v>
      </c>
      <c r="C27" s="24">
        <f t="shared" si="0"/>
        <v>31107.995000000003</v>
      </c>
      <c r="D27" s="148">
        <f>'[12]Лист1'!D22</f>
        <v>3221.335000000001</v>
      </c>
      <c r="E27" s="141">
        <f>'[12]Лист1'!S22</f>
        <v>23177.1</v>
      </c>
      <c r="F27" s="145">
        <f>'[12]Лист1'!T22</f>
        <v>4709.56</v>
      </c>
      <c r="G27" s="149">
        <f>'[12]Лист1'!AB22</f>
        <v>20370.530000000002</v>
      </c>
      <c r="H27" s="145">
        <f>'[12]Лист1'!AC22</f>
        <v>28301.425000000003</v>
      </c>
      <c r="I27" s="193">
        <f>'[12]Лист1'!AF22</f>
        <v>2223.5678399999997</v>
      </c>
      <c r="J27" s="149">
        <f>'[12]Лист1'!AG22</f>
        <v>2157.78</v>
      </c>
      <c r="K27" s="141">
        <f>'[12]Лист1'!AI22+'[12]Лист1'!AJ22</f>
        <v>3553.3072045010003</v>
      </c>
      <c r="L27" s="141">
        <f>'[12]Лист1'!AH22+'[12]Лист1'!AK22+'[12]Лист1'!AL22+'[12]Лист1'!AM22+'[12]Лист1'!AN22+'[12]Лист1'!AO22+'[12]Лист1'!AP22+'[12]Лист1'!AQ22+'[12]Лист1'!AR22</f>
        <v>12228.0355211302</v>
      </c>
      <c r="M27" s="142">
        <f>'[12]Лист1'!AS22+'[12]Лист1'!AT22+'[12]Лист1'!AU22+'[12]Лист1'!AZ22+'[12]Лист1'!BA22</f>
        <v>547.0008</v>
      </c>
      <c r="N27" s="142">
        <f>'[12]Лист1'!AX22</f>
        <v>950.2304</v>
      </c>
      <c r="O27" s="145">
        <f>'[12]Лист1'!BB22</f>
        <v>19436.3539256312</v>
      </c>
      <c r="P27" s="194">
        <f>'[12]Лист1'!BC22</f>
        <v>912.1029575196</v>
      </c>
      <c r="Q27" s="146">
        <f>'[12]Лист1'!BD22</f>
        <v>10176.535956849202</v>
      </c>
      <c r="R27" s="146">
        <f>'[12]Лист1'!BE22</f>
        <v>-2806.569999999996</v>
      </c>
      <c r="S27" s="60"/>
      <c r="T27" s="60"/>
    </row>
    <row r="28" spans="1:20" ht="12.75" hidden="1">
      <c r="A28" s="72" t="s">
        <v>41</v>
      </c>
      <c r="B28" s="147">
        <f>'[12]Лист1'!B23</f>
        <v>3596.3</v>
      </c>
      <c r="C28" s="24">
        <f>B28*8.65</f>
        <v>31107.995000000003</v>
      </c>
      <c r="D28" s="148">
        <f>'[12]Лист1'!D23</f>
        <v>3222.8649999999993</v>
      </c>
      <c r="E28" s="141">
        <f>'[12]Лист1'!S23</f>
        <v>23175.559999999998</v>
      </c>
      <c r="F28" s="145">
        <f>'[12]Лист1'!T23</f>
        <v>4709.57</v>
      </c>
      <c r="G28" s="149">
        <f>'[12]Лист1'!AB23</f>
        <v>25351.72</v>
      </c>
      <c r="H28" s="145">
        <f>'[12]Лист1'!AC23</f>
        <v>33284.155</v>
      </c>
      <c r="I28" s="193">
        <f>'[12]Лист1'!AF23</f>
        <v>2223.5678399999997</v>
      </c>
      <c r="J28" s="149">
        <f>'[12]Лист1'!AG23</f>
        <v>2157.78</v>
      </c>
      <c r="K28" s="141">
        <f>'[12]Лист1'!AI23+'[12]Лист1'!AJ23</f>
        <v>3594.357998</v>
      </c>
      <c r="L28" s="141">
        <f>'[12]Лист1'!AH23+'[12]Лист1'!AK23+'[12]Лист1'!AL23+'[12]Лист1'!AM23+'[12]Лист1'!AN23+'[12]Лист1'!AO23+'[12]Лист1'!AP23+'[12]Лист1'!AQ23+'[12]Лист1'!AR23</f>
        <v>12333.15122</v>
      </c>
      <c r="M28" s="142">
        <f>'[12]Лист1'!AS23+'[12]Лист1'!AT23+'[12]Лист1'!AU23+'[12]Лист1'!AZ23+'[12]Лист1'!BA23</f>
        <v>25950.8314</v>
      </c>
      <c r="N28" s="142">
        <f>'[12]Лист1'!AX23</f>
        <v>992.5216</v>
      </c>
      <c r="O28" s="145">
        <f>'[12]Лист1'!BB23</f>
        <v>45028.642218</v>
      </c>
      <c r="P28" s="194">
        <f>'[12]Лист1'!BC23</f>
        <v>919.221068</v>
      </c>
      <c r="Q28" s="146">
        <f>'[12]Лист1'!BD23</f>
        <v>-10440.140446</v>
      </c>
      <c r="R28" s="146">
        <f>'[12]Лист1'!BE23</f>
        <v>2176.1600000000035</v>
      </c>
      <c r="S28" s="60"/>
      <c r="T28" s="60"/>
    </row>
    <row r="29" spans="1:20" ht="12.75" hidden="1">
      <c r="A29" s="72" t="s">
        <v>42</v>
      </c>
      <c r="B29" s="147">
        <f>'[12]Лист1'!B24</f>
        <v>3597.5</v>
      </c>
      <c r="C29" s="24">
        <f t="shared" si="0"/>
        <v>31118.375</v>
      </c>
      <c r="D29" s="148">
        <f>'[12]Лист1'!D24</f>
        <v>3223.884999999998</v>
      </c>
      <c r="E29" s="141">
        <f>'[12]Лист1'!S24</f>
        <v>23183.38</v>
      </c>
      <c r="F29" s="145">
        <f>'[12]Лист1'!T24</f>
        <v>4711.110000000001</v>
      </c>
      <c r="G29" s="149">
        <f>'[12]Лист1'!AB24</f>
        <v>24607.079999999998</v>
      </c>
      <c r="H29" s="145">
        <f>'[12]Лист1'!AC24</f>
        <v>32542.074999999997</v>
      </c>
      <c r="I29" s="193">
        <f>'[12]Лист1'!AF24</f>
        <v>2223.5678399999997</v>
      </c>
      <c r="J29" s="149">
        <f>'[12]Лист1'!AG24</f>
        <v>2158.5</v>
      </c>
      <c r="K29" s="141">
        <f>'[12]Лист1'!AI24+'[12]Лист1'!AJ24</f>
        <v>3608.2925</v>
      </c>
      <c r="L29" s="141">
        <f>'[12]Лист1'!AH24+'[12]Лист1'!AK24+'[12]Лист1'!AL24+'[12]Лист1'!AM24+'[12]Лист1'!AN24+'[12]Лист1'!AO24+'[12]Лист1'!AP24+'[12]Лист1'!AQ24+'[12]Лист1'!AR24</f>
        <v>12350.937</v>
      </c>
      <c r="M29" s="142">
        <f>'[12]Лист1'!AS24+'[12]Лист1'!AT24+'[12]Лист1'!AU24+'[12]Лист1'!AZ24+'[12]Лист1'!BA24</f>
        <v>966.42</v>
      </c>
      <c r="N29" s="142">
        <f>'[12]Лист1'!AX24</f>
        <v>923.7984000000001</v>
      </c>
      <c r="O29" s="145">
        <f>'[12]Лист1'!BB24</f>
        <v>20007.9479</v>
      </c>
      <c r="P29" s="194">
        <f>'[12]Лист1'!BC24</f>
        <v>920.52396</v>
      </c>
      <c r="Q29" s="146">
        <f>'[12]Лист1'!BD24</f>
        <v>13837.17098</v>
      </c>
      <c r="R29" s="146">
        <f>'[12]Лист1'!BE24</f>
        <v>1423.699999999997</v>
      </c>
      <c r="S29" s="60"/>
      <c r="T29" s="60"/>
    </row>
    <row r="30" spans="1:20" ht="13.5" hidden="1" thickBot="1">
      <c r="A30" s="195" t="s">
        <v>43</v>
      </c>
      <c r="B30" s="147">
        <f>'[12]Лист1'!B25</f>
        <v>3597.4</v>
      </c>
      <c r="C30" s="25">
        <f t="shared" si="0"/>
        <v>31117.510000000002</v>
      </c>
      <c r="D30" s="148">
        <f>'[12]Лист1'!D25</f>
        <v>3222.06</v>
      </c>
      <c r="E30" s="141">
        <f>'[12]Лист1'!S25</f>
        <v>23184.71</v>
      </c>
      <c r="F30" s="145">
        <f>'[12]Лист1'!T25</f>
        <v>4710.740000000001</v>
      </c>
      <c r="G30" s="149">
        <f>'[12]Лист1'!AB25</f>
        <v>28276.81</v>
      </c>
      <c r="H30" s="145">
        <f>'[12]Лист1'!AC25</f>
        <v>36209.61</v>
      </c>
      <c r="I30" s="193">
        <f>'[12]Лист1'!AF25</f>
        <v>2223.5678399999997</v>
      </c>
      <c r="J30" s="149">
        <f>'[12]Лист1'!AG25</f>
        <v>2158.44</v>
      </c>
      <c r="K30" s="141">
        <f>'[12]Лист1'!AI25+'[12]Лист1'!AJ25</f>
        <v>3608.1922</v>
      </c>
      <c r="L30" s="141">
        <f>'[12]Лист1'!AH25+'[12]Лист1'!AK25+'[12]Лист1'!AL25+'[12]Лист1'!AM25+'[12]Лист1'!AN25+'[12]Лист1'!AO25+'[12]Лист1'!AP25+'[12]Лист1'!AQ25+'[12]Лист1'!AR25</f>
        <v>12350.59368</v>
      </c>
      <c r="M30" s="142">
        <f>'[12]Лист1'!AS25+'[12]Лист1'!AT25+'[12]Лист1'!AU25+'[12]Лист1'!AZ25+'[12]Лист1'!BA25</f>
        <v>116087.8808</v>
      </c>
      <c r="N30" s="142">
        <f>'[12]Лист1'!AX25</f>
        <v>1118.0736</v>
      </c>
      <c r="O30" s="145">
        <f>'[12]Лист1'!BB25</f>
        <v>135323.18028</v>
      </c>
      <c r="P30" s="194">
        <f>'[12]Лист1'!BC25</f>
        <v>920.52396</v>
      </c>
      <c r="Q30" s="146">
        <f>'[12]Лист1'!BD25</f>
        <v>-97810.5264</v>
      </c>
      <c r="R30" s="146">
        <f>'[12]Лист1'!BE25</f>
        <v>5092.100000000002</v>
      </c>
      <c r="S30" s="60"/>
      <c r="T30" s="60"/>
    </row>
    <row r="31" spans="1:20" s="15" customFormat="1" ht="13.5" thickBot="1">
      <c r="A31" s="26" t="s">
        <v>5</v>
      </c>
      <c r="B31" s="27"/>
      <c r="C31" s="28">
        <f aca="true" t="shared" si="2" ref="C31:R31">SUM(C19:C30)</f>
        <v>373360.815</v>
      </c>
      <c r="D31" s="29">
        <f t="shared" si="2"/>
        <v>41260.82499999999</v>
      </c>
      <c r="E31" s="28">
        <f t="shared" si="2"/>
        <v>270694.57</v>
      </c>
      <c r="F31" s="41">
        <f t="shared" si="2"/>
        <v>52100.479999999996</v>
      </c>
      <c r="G31" s="29">
        <f t="shared" si="2"/>
        <v>264555.02</v>
      </c>
      <c r="H31" s="41">
        <f t="shared" si="2"/>
        <v>357916.325</v>
      </c>
      <c r="I31" s="41">
        <f t="shared" si="2"/>
        <v>13341.407039999998</v>
      </c>
      <c r="J31" s="29">
        <f t="shared" si="2"/>
        <v>25034.531999999996</v>
      </c>
      <c r="K31" s="28">
        <f t="shared" si="2"/>
        <v>41298.903985615005</v>
      </c>
      <c r="L31" s="28">
        <f t="shared" si="2"/>
        <v>142127.00022252818</v>
      </c>
      <c r="M31" s="28">
        <f>SUM(M19:M30)</f>
        <v>217733.23239999998</v>
      </c>
      <c r="N31" s="28">
        <f t="shared" si="2"/>
        <v>13970.6336</v>
      </c>
      <c r="O31" s="41">
        <f t="shared" si="2"/>
        <v>440164.30220814317</v>
      </c>
      <c r="P31" s="41">
        <f t="shared" si="2"/>
        <v>5497.2684831236</v>
      </c>
      <c r="Q31" s="30">
        <f>SUM(Q19:Q30)</f>
        <v>-74403.83865126676</v>
      </c>
      <c r="R31" s="30">
        <f t="shared" si="2"/>
        <v>-6139.549999999992</v>
      </c>
      <c r="S31" s="32"/>
      <c r="T31" s="32"/>
    </row>
    <row r="32" spans="1:20" ht="12.75">
      <c r="A32" s="4" t="s">
        <v>84</v>
      </c>
      <c r="B32" s="136"/>
      <c r="C32" s="33"/>
      <c r="D32" s="137"/>
      <c r="E32" s="138"/>
      <c r="F32" s="139"/>
      <c r="G32" s="140"/>
      <c r="H32" s="139"/>
      <c r="I32" s="161"/>
      <c r="J32" s="140"/>
      <c r="K32" s="141"/>
      <c r="L32" s="141"/>
      <c r="M32" s="142"/>
      <c r="N32" s="143"/>
      <c r="O32" s="145"/>
      <c r="P32" s="194"/>
      <c r="Q32" s="146"/>
      <c r="R32" s="146"/>
      <c r="S32" s="60"/>
      <c r="T32" s="60"/>
    </row>
    <row r="33" spans="1:20" ht="12.75" customHeight="1">
      <c r="A33" s="72" t="s">
        <v>45</v>
      </c>
      <c r="B33" s="147">
        <f>'для жителей'!B28</f>
        <v>3597.4</v>
      </c>
      <c r="C33" s="24">
        <f>'для жителей'!C28</f>
        <v>31117.510000000002</v>
      </c>
      <c r="D33" s="148">
        <f>'для жителей'!D28</f>
        <v>3223.78</v>
      </c>
      <c r="E33" s="141">
        <f>'для жителей'!S28</f>
        <v>23124.86</v>
      </c>
      <c r="F33" s="141">
        <f>'для жителей'!T28</f>
        <v>4768.87</v>
      </c>
      <c r="G33" s="149">
        <f>'для жителей'!AB28</f>
        <v>16688.9</v>
      </c>
      <c r="H33" s="149">
        <f>'для жителей'!AC28</f>
        <v>24681.550000000003</v>
      </c>
      <c r="I33" s="193">
        <f>'для жителей'!AF28</f>
        <v>2223.5678399999997</v>
      </c>
      <c r="J33" s="149">
        <f>'для жителей'!AG28</f>
        <v>2158.44</v>
      </c>
      <c r="K33" s="141">
        <f>'для жителей'!AI28+'для жителей'!AJ28</f>
        <v>3597.4</v>
      </c>
      <c r="L33" s="141">
        <f>'для жителей'!AH28+'для жителей'!AK28+'для жителей'!AM28+'для жителей'!AO28+'для жителей'!AQ28+'для жителей'!AR28</f>
        <v>12339.082000000002</v>
      </c>
      <c r="M33" s="142">
        <f>'для жителей'!AS28+'для жителей'!AT28+'для жителей'!AU28</f>
        <v>4480</v>
      </c>
      <c r="N33" s="142">
        <f>'для жителей'!AX28</f>
        <v>1296.3999999999999</v>
      </c>
      <c r="O33" s="145">
        <f>'для жителей'!BB28</f>
        <v>23871.322000000004</v>
      </c>
      <c r="P33" s="194">
        <f>'для жителей'!BC28</f>
        <v>919.434</v>
      </c>
      <c r="Q33" s="194">
        <f>'для жителей'!BD28</f>
        <v>2114.3618399999987</v>
      </c>
      <c r="R33" s="194">
        <f>'для жителей'!BE28</f>
        <v>-6435.959999999999</v>
      </c>
      <c r="S33" s="60"/>
      <c r="T33" s="60"/>
    </row>
    <row r="34" spans="1:20" ht="12.75">
      <c r="A34" s="72" t="s">
        <v>46</v>
      </c>
      <c r="B34" s="147">
        <f>'для жителей'!B29</f>
        <v>3597.4</v>
      </c>
      <c r="C34" s="24">
        <f>'для жителей'!C29</f>
        <v>31117.510000000002</v>
      </c>
      <c r="D34" s="148">
        <f>'для жителей'!D29</f>
        <v>3235.809999999999</v>
      </c>
      <c r="E34" s="141">
        <f>'для жителей'!S29</f>
        <v>22951.760000000002</v>
      </c>
      <c r="F34" s="141">
        <f>'для жителей'!T29</f>
        <v>4929.9400000000005</v>
      </c>
      <c r="G34" s="149">
        <f>'для жителей'!AB29</f>
        <v>18450.329999999998</v>
      </c>
      <c r="H34" s="149">
        <f>'для жителей'!AC29</f>
        <v>26616.079999999998</v>
      </c>
      <c r="I34" s="193">
        <f>'для жителей'!AF29</f>
        <v>2223.5678399999997</v>
      </c>
      <c r="J34" s="149">
        <f>'для жителей'!AG29</f>
        <v>2158.44</v>
      </c>
      <c r="K34" s="141">
        <f>'для жителей'!AI29+'для жителей'!AJ29</f>
        <v>3597.4</v>
      </c>
      <c r="L34" s="141">
        <f>'для жителей'!AH29+'для жителей'!AK29+'для жителей'!AM29+'для жителей'!AO29+'для жителей'!AQ29+'для жителей'!AR29</f>
        <v>12339.082000000002</v>
      </c>
      <c r="M34" s="142">
        <f>'для жителей'!AS29+'для жителей'!AT29+'для жителей'!AU29</f>
        <v>7712</v>
      </c>
      <c r="N34" s="142">
        <f>'для жителей'!AX29</f>
        <v>1104.6</v>
      </c>
      <c r="O34" s="145">
        <f>'для жителей'!BB29</f>
        <v>26911.522</v>
      </c>
      <c r="P34" s="194">
        <f>'для жителей'!BC29</f>
        <v>919.434</v>
      </c>
      <c r="Q34" s="194">
        <f>'для жителей'!BD29</f>
        <v>1008.691839999997</v>
      </c>
      <c r="R34" s="194">
        <f>'для жителей'!BE29</f>
        <v>-4501.430000000004</v>
      </c>
      <c r="S34" s="60"/>
      <c r="T34" s="60"/>
    </row>
    <row r="35" spans="1:20" ht="12.75">
      <c r="A35" s="72" t="s">
        <v>47</v>
      </c>
      <c r="B35" s="147">
        <f>'для жителей'!B30</f>
        <v>3597.4</v>
      </c>
      <c r="C35" s="24">
        <f>'для жителей'!C30</f>
        <v>31117.510000000002</v>
      </c>
      <c r="D35" s="148">
        <f>'для жителей'!D30</f>
        <v>3208.610000000001</v>
      </c>
      <c r="E35" s="141">
        <f>'для жителей'!S30</f>
        <v>22836.28</v>
      </c>
      <c r="F35" s="141">
        <f>'для жителей'!T30</f>
        <v>5072.620000000001</v>
      </c>
      <c r="G35" s="149">
        <f>'для жителей'!AB30</f>
        <v>26785.57</v>
      </c>
      <c r="H35" s="149">
        <f>'для жителей'!AC30</f>
        <v>35066.8</v>
      </c>
      <c r="I35" s="193">
        <f>'для жителей'!AF30</f>
        <v>2223.5678399999997</v>
      </c>
      <c r="J35" s="149">
        <f>'для жителей'!AG30</f>
        <v>2158.44</v>
      </c>
      <c r="K35" s="141">
        <f>'для жителей'!AI30+'для жителей'!AJ30</f>
        <v>3597.4</v>
      </c>
      <c r="L35" s="141">
        <f>'для жителей'!AH30+'для жителей'!AK30+'для жителей'!AM30+'для жителей'!AO30+'для жителей'!AQ30+'для жителей'!AR30</f>
        <v>12339.082000000002</v>
      </c>
      <c r="M35" s="142">
        <f>'для жителей'!AS30+'для жителей'!AT30+'для жителей'!AU30</f>
        <v>735</v>
      </c>
      <c r="N35" s="142">
        <f>'для жителей'!AX30</f>
        <v>1040.2</v>
      </c>
      <c r="O35" s="145">
        <f>'для жителей'!BB30</f>
        <v>19870.122000000003</v>
      </c>
      <c r="P35" s="194">
        <f>'для жителей'!BC30</f>
        <v>919.434</v>
      </c>
      <c r="Q35" s="194">
        <f>'для жителей'!BD30</f>
        <v>16500.811840000002</v>
      </c>
      <c r="R35" s="194">
        <f>'для жителей'!BE30</f>
        <v>3949.290000000001</v>
      </c>
      <c r="S35" s="60"/>
      <c r="T35" s="60"/>
    </row>
    <row r="36" spans="1:20" ht="12.75">
      <c r="A36" s="72" t="s">
        <v>48</v>
      </c>
      <c r="B36" s="147">
        <f>'для жителей'!B31</f>
        <v>3597.4</v>
      </c>
      <c r="C36" s="24">
        <f>'для жителей'!C31</f>
        <v>31117.510000000002</v>
      </c>
      <c r="D36" s="148">
        <f>'для жителей'!D31</f>
        <v>3206.670000000007</v>
      </c>
      <c r="E36" s="141">
        <f>'для жителей'!S31</f>
        <v>22771.48</v>
      </c>
      <c r="F36" s="141">
        <f>'для жителей'!T31</f>
        <v>5139.360000000001</v>
      </c>
      <c r="G36" s="149">
        <f>'для жителей'!AB31</f>
        <v>19350.370000000003</v>
      </c>
      <c r="H36" s="149">
        <f>'для жителей'!AC31</f>
        <v>27696.40000000001</v>
      </c>
      <c r="I36" s="193">
        <f>'для жителей'!AF31</f>
        <v>2223.5678399999997</v>
      </c>
      <c r="J36" s="149">
        <f>'для жителей'!AG31</f>
        <v>2158.44</v>
      </c>
      <c r="K36" s="141">
        <f>'для жителей'!AI31+'для жителей'!AJ31</f>
        <v>3597.4</v>
      </c>
      <c r="L36" s="141">
        <f>'для жителей'!AH31+'для жителей'!AK31+'для жителей'!AM31+'для жителей'!AO31+'для жителей'!AQ31+'для жителей'!AR31</f>
        <v>17108.362</v>
      </c>
      <c r="M36" s="142">
        <f>'для жителей'!AS31+'для жителей'!AT31+'для жителей'!AU31</f>
        <v>3208</v>
      </c>
      <c r="N36" s="142">
        <f>'для жителей'!AX31</f>
        <v>792.4</v>
      </c>
      <c r="O36" s="145">
        <f>'для жителей'!BB31</f>
        <v>26864.602000000003</v>
      </c>
      <c r="P36" s="194">
        <f>'для жителей'!BC31</f>
        <v>919.434</v>
      </c>
      <c r="Q36" s="194">
        <f>'для жителей'!BD31</f>
        <v>2135.9318400000056</v>
      </c>
      <c r="R36" s="194">
        <f>'для жителей'!BE31</f>
        <v>-3421.109999999997</v>
      </c>
      <c r="S36" s="60"/>
      <c r="T36" s="60"/>
    </row>
    <row r="37" spans="1:20" ht="12.75">
      <c r="A37" s="72" t="s">
        <v>49</v>
      </c>
      <c r="B37" s="147">
        <f>'для жителей'!B32</f>
        <v>3599.5</v>
      </c>
      <c r="C37" s="24">
        <f>'для жителей'!C32</f>
        <v>31135.675000000003</v>
      </c>
      <c r="D37" s="148">
        <f>'для жителей'!D32</f>
        <v>3235.0950000000053</v>
      </c>
      <c r="E37" s="141">
        <f>'для жителей'!S32</f>
        <v>22636.79</v>
      </c>
      <c r="F37" s="141">
        <f>'для жителей'!T32</f>
        <v>5263.79</v>
      </c>
      <c r="G37" s="149">
        <f>'для жителей'!AB32</f>
        <v>20243.750000000004</v>
      </c>
      <c r="H37" s="149">
        <f>'для жителей'!AC32</f>
        <v>28742.63500000001</v>
      </c>
      <c r="I37" s="193">
        <f>'для жителей'!AF32</f>
        <v>2223.5678399999997</v>
      </c>
      <c r="J37" s="149">
        <f>'для жителей'!AG32</f>
        <v>2159.7</v>
      </c>
      <c r="K37" s="141">
        <f>'для жителей'!AI32+'для жителей'!AJ32</f>
        <v>3599.5</v>
      </c>
      <c r="L37" s="141">
        <f>'для жителей'!AH32+'для жителей'!AK32+'для жителей'!AM32+'для жителей'!AO32+'для жителей'!AQ32+'для жителей'!AR32</f>
        <v>12346.285</v>
      </c>
      <c r="M37" s="142">
        <f>'для жителей'!AS32+'для жителей'!AT32+'для жителей'!AU32</f>
        <v>3647.27</v>
      </c>
      <c r="N37" s="142">
        <f>'для жителей'!AX32</f>
        <v>744.8</v>
      </c>
      <c r="O37" s="145">
        <f>'для жителей'!BB32</f>
        <v>22497.555</v>
      </c>
      <c r="P37" s="194">
        <f>'для жителей'!BC32</f>
        <v>919.434</v>
      </c>
      <c r="Q37" s="194">
        <f>'для жителей'!BD32</f>
        <v>7549.2138400000085</v>
      </c>
      <c r="R37" s="194">
        <f>'для жителей'!BE32</f>
        <v>-2393.0399999999972</v>
      </c>
      <c r="S37" s="60"/>
      <c r="T37" s="60"/>
    </row>
    <row r="38" spans="1:20" ht="12.75">
      <c r="A38" s="72" t="s">
        <v>50</v>
      </c>
      <c r="B38" s="147">
        <f>'для жителей'!B33</f>
        <v>3599.5</v>
      </c>
      <c r="C38" s="24">
        <f>'для жителей'!C33</f>
        <v>31135.675000000003</v>
      </c>
      <c r="D38" s="148">
        <f>'для жителей'!D33</f>
        <v>3221.8250000000044</v>
      </c>
      <c r="E38" s="141">
        <f>'для жителей'!S33</f>
        <v>22770.19</v>
      </c>
      <c r="F38" s="141">
        <f>'для жителей'!T33</f>
        <v>5143.66</v>
      </c>
      <c r="G38" s="149">
        <f>'для жителей'!AB33</f>
        <v>18005.08</v>
      </c>
      <c r="H38" s="149">
        <f>'для жителей'!AC33</f>
        <v>26370.565000000006</v>
      </c>
      <c r="I38" s="193">
        <f>'для жителей'!AF33</f>
        <v>2223.5678399999997</v>
      </c>
      <c r="J38" s="149">
        <f>'для жителей'!AG33</f>
        <v>2159.7</v>
      </c>
      <c r="K38" s="141">
        <f>'для жителей'!AI33+'для жителей'!AJ33</f>
        <v>3599.5</v>
      </c>
      <c r="L38" s="141">
        <f>'для жителей'!AH33+'для жителей'!AK33+'для жителей'!AM33+'для жителей'!AO33+'для жителей'!AQ33+'для жителей'!AR33</f>
        <v>12346.285</v>
      </c>
      <c r="M38" s="142">
        <f>'для жителей'!AS33+'для жителей'!AT33+'для жителей'!AU33</f>
        <v>4693</v>
      </c>
      <c r="N38" s="142">
        <f>'для жителей'!AX33</f>
        <v>600.5999999999999</v>
      </c>
      <c r="O38" s="145">
        <f>'для жителей'!BB33</f>
        <v>23399.085</v>
      </c>
      <c r="P38" s="194">
        <f>'для жителей'!BC33</f>
        <v>919.434</v>
      </c>
      <c r="Q38" s="194">
        <f>'для жителей'!BD33</f>
        <v>4275.613840000006</v>
      </c>
      <c r="R38" s="194">
        <f>'для жителей'!BE33</f>
        <v>-4765.109999999997</v>
      </c>
      <c r="S38" s="60"/>
      <c r="T38" s="60"/>
    </row>
    <row r="39" spans="1:20" ht="12.75">
      <c r="A39" s="72" t="s">
        <v>51</v>
      </c>
      <c r="B39" s="147">
        <f>'для жителей'!B34</f>
        <v>3599.5</v>
      </c>
      <c r="C39" s="24">
        <f>'для жителей'!C34</f>
        <v>31135.675000000003</v>
      </c>
      <c r="D39" s="148">
        <f>'для жителей'!D34</f>
        <v>3245.7350000000024</v>
      </c>
      <c r="E39" s="141">
        <f>'для жителей'!S34</f>
        <v>27889.94</v>
      </c>
      <c r="F39" s="141">
        <f>'для жителей'!T34</f>
        <v>0</v>
      </c>
      <c r="G39" s="149">
        <f>'для жителей'!AB34</f>
        <v>21524.100000000002</v>
      </c>
      <c r="H39" s="149">
        <f>'для жителей'!AC34</f>
        <v>24769.835000000006</v>
      </c>
      <c r="I39" s="193">
        <f>'для жителей'!AF34</f>
        <v>2223.5678399999997</v>
      </c>
      <c r="J39" s="149">
        <f>'для жителей'!AG34</f>
        <v>2159.7</v>
      </c>
      <c r="K39" s="141">
        <f>'для жителей'!AI34+'для жителей'!AJ34</f>
        <v>3599.5</v>
      </c>
      <c r="L39" s="141">
        <f>'для жителей'!AH34+'для жителей'!AK34+'для жителей'!AM34+'для жителей'!AO34+'для жителей'!AQ34+'для жителей'!AR34</f>
        <v>12346.285</v>
      </c>
      <c r="M39" s="142">
        <f>'для жителей'!AS34+'для жителей'!AT34+'для жителей'!AU34</f>
        <v>25.6</v>
      </c>
      <c r="N39" s="142">
        <f>'для жителей'!AX34</f>
        <v>653.8</v>
      </c>
      <c r="O39" s="145">
        <f>'для жителей'!BB34</f>
        <v>18784.885</v>
      </c>
      <c r="P39" s="194">
        <f>'для жителей'!BC34</f>
        <v>919.434</v>
      </c>
      <c r="Q39" s="194">
        <f>'для жителей'!BD34</f>
        <v>7289.0838400000075</v>
      </c>
      <c r="R39" s="194">
        <f>'для жителей'!BE34</f>
        <v>-6365.8399999999965</v>
      </c>
      <c r="S39" s="60"/>
      <c r="T39" s="60"/>
    </row>
    <row r="40" spans="1:20" ht="12.75">
      <c r="A40" s="72" t="s">
        <v>52</v>
      </c>
      <c r="B40" s="147">
        <f>'для жителей'!B35</f>
        <v>3599.5</v>
      </c>
      <c r="C40" s="24">
        <f>'для жителей'!C35</f>
        <v>31135.675000000003</v>
      </c>
      <c r="D40" s="148">
        <f>'для жителей'!D35</f>
        <v>3209.89</v>
      </c>
      <c r="E40" s="141">
        <f>'для жителей'!S35</f>
        <v>27925.8</v>
      </c>
      <c r="F40" s="141">
        <f>'для жителей'!T35</f>
        <v>0</v>
      </c>
      <c r="G40" s="149">
        <f>'для жителей'!AB35</f>
        <v>25760.840000000004</v>
      </c>
      <c r="H40" s="149">
        <f>'для жителей'!AC35</f>
        <v>28970.730000000003</v>
      </c>
      <c r="I40" s="193">
        <f>'для жителей'!AF35</f>
        <v>2223.5678399999997</v>
      </c>
      <c r="J40" s="149">
        <f>'для жителей'!AG35</f>
        <v>2159.7</v>
      </c>
      <c r="K40" s="141">
        <f>'для жителей'!AI35+'для жителей'!AJ35</f>
        <v>3599.5</v>
      </c>
      <c r="L40" s="141">
        <f>'для жителей'!AH35+'для жителей'!AK35+'для жителей'!AM35+'для жителей'!AO35+'для жителей'!AQ35+'для жителей'!AR35</f>
        <v>12346.285</v>
      </c>
      <c r="M40" s="142">
        <f>'для жителей'!AS35+'для жителей'!AT35+'для жителей'!AU35</f>
        <v>4090.8</v>
      </c>
      <c r="N40" s="142">
        <f>'для жителей'!AX35</f>
        <v>634.1999999999999</v>
      </c>
      <c r="O40" s="145">
        <f>'для жителей'!BB35</f>
        <v>22830.485</v>
      </c>
      <c r="P40" s="194">
        <f>'для жителей'!BC35</f>
        <v>919.434</v>
      </c>
      <c r="Q40" s="194">
        <f>'для жителей'!BD35</f>
        <v>7444.378840000002</v>
      </c>
      <c r="R40" s="194">
        <f>'для жителей'!BE35</f>
        <v>-2164.9599999999955</v>
      </c>
      <c r="S40" s="60"/>
      <c r="T40" s="60"/>
    </row>
    <row r="41" spans="1:20" ht="12.75">
      <c r="A41" s="72" t="s">
        <v>53</v>
      </c>
      <c r="B41" s="147">
        <f>'для жителей'!B36</f>
        <v>3599.5</v>
      </c>
      <c r="C41" s="24">
        <f>'для жителей'!C36</f>
        <v>31135.675000000003</v>
      </c>
      <c r="D41" s="148">
        <f>'для жителей'!D36</f>
        <v>53220.49</v>
      </c>
      <c r="E41" s="141">
        <f>'для жителей'!S36</f>
        <v>27915.190000000002</v>
      </c>
      <c r="F41" s="141">
        <f>'для жителей'!T36</f>
        <v>0</v>
      </c>
      <c r="G41" s="149">
        <f>'для жителей'!AB36</f>
        <v>30492.19</v>
      </c>
      <c r="H41" s="149">
        <f>'для жителей'!AC36</f>
        <v>83712.68</v>
      </c>
      <c r="I41" s="193">
        <f>'для жителей'!AF36</f>
        <v>2223.5678399999997</v>
      </c>
      <c r="J41" s="149">
        <f>'для жителей'!AG36</f>
        <v>2159.7</v>
      </c>
      <c r="K41" s="141">
        <f>'для жителей'!AI36+'для жителей'!AJ36</f>
        <v>3599.5</v>
      </c>
      <c r="L41" s="141">
        <f>'для жителей'!AH36+'для жителей'!AK36+'для жителей'!AM36+'для жителей'!AO36+'для жителей'!AQ36+'для жителей'!AR36</f>
        <v>12346.285</v>
      </c>
      <c r="M41" s="142">
        <f>'для жителей'!AS36+'для жителей'!AT36+'для жителей'!AU36</f>
        <v>948</v>
      </c>
      <c r="N41" s="142">
        <f>'для жителей'!AX36</f>
        <v>922.5999999999999</v>
      </c>
      <c r="O41" s="145">
        <f>'для жителей'!BB36</f>
        <v>19976.085</v>
      </c>
      <c r="P41" s="194">
        <f>'для жителей'!BC36</f>
        <v>919.434</v>
      </c>
      <c r="Q41" s="194">
        <f>'для жителей'!BD36</f>
        <v>65040.72884</v>
      </c>
      <c r="R41" s="194">
        <f>'для жителей'!BE36</f>
        <v>2576.9999999999964</v>
      </c>
      <c r="S41" s="60"/>
      <c r="T41" s="60"/>
    </row>
    <row r="42" spans="1:20" ht="12.75">
      <c r="A42" s="72" t="s">
        <v>41</v>
      </c>
      <c r="B42" s="147">
        <f>'для жителей'!B37</f>
        <v>3599.5</v>
      </c>
      <c r="C42" s="24">
        <f>'для жителей'!C37</f>
        <v>31135.675000000003</v>
      </c>
      <c r="D42" s="148">
        <f>'для жителей'!D37</f>
        <v>3197.7350000000015</v>
      </c>
      <c r="E42" s="141">
        <f>'для жителей'!S37</f>
        <v>27937.94</v>
      </c>
      <c r="F42" s="141">
        <f>'для жителей'!T37</f>
        <v>0</v>
      </c>
      <c r="G42" s="149">
        <f>'для жителей'!AB37</f>
        <v>25481.429999999997</v>
      </c>
      <c r="H42" s="149">
        <f>'для жителей'!AC37</f>
        <v>28679.164999999997</v>
      </c>
      <c r="I42" s="193">
        <f>'для жителей'!AF37</f>
        <v>2373.5678399999997</v>
      </c>
      <c r="J42" s="149">
        <f>'для жителей'!AG37</f>
        <v>2159.7</v>
      </c>
      <c r="K42" s="141">
        <f>'для жителей'!AI37+'для жителей'!AJ37</f>
        <v>3599.5</v>
      </c>
      <c r="L42" s="141">
        <f>'для жителей'!AH37+'для жителей'!AK37+'для жителей'!AM37+'для жителей'!AO37+'для жителей'!AQ37+'для жителей'!AR37</f>
        <v>12346.285</v>
      </c>
      <c r="M42" s="142">
        <f>'для жителей'!AS37+'для жителей'!AT37+'для жителей'!AU37</f>
        <v>929</v>
      </c>
      <c r="N42" s="142">
        <f>'для жителей'!AX37</f>
        <v>1014.9999999999999</v>
      </c>
      <c r="O42" s="145">
        <f>'для жителей'!BB37</f>
        <v>20049.485</v>
      </c>
      <c r="P42" s="194">
        <f>'для жителей'!BC37</f>
        <v>956.934</v>
      </c>
      <c r="Q42" s="194">
        <f>'для жителей'!BD37</f>
        <v>10046.313839999997</v>
      </c>
      <c r="R42" s="194">
        <f>'для жителей'!BE37</f>
        <v>-2456.510000000002</v>
      </c>
      <c r="S42" s="60"/>
      <c r="T42" s="60"/>
    </row>
    <row r="43" spans="1:20" ht="12.75">
      <c r="A43" s="72" t="s">
        <v>42</v>
      </c>
      <c r="B43" s="147">
        <f>'для жителей'!B38</f>
        <v>3599.5</v>
      </c>
      <c r="C43" s="24">
        <f>'для жителей'!C38</f>
        <v>31135.675000000003</v>
      </c>
      <c r="D43" s="148">
        <f>'для жителей'!D38</f>
        <v>3197.7450000000053</v>
      </c>
      <c r="E43" s="141">
        <f>'для жителей'!S38</f>
        <v>27937.93</v>
      </c>
      <c r="F43" s="141">
        <f>'для жителей'!T38</f>
        <v>0</v>
      </c>
      <c r="G43" s="149">
        <f>'для жителей'!AB38</f>
        <v>27539.079999999998</v>
      </c>
      <c r="H43" s="149">
        <f>'для жителей'!AC38</f>
        <v>30736.825000000004</v>
      </c>
      <c r="I43" s="193">
        <f>'для жителей'!AF38</f>
        <v>2373.5678399999997</v>
      </c>
      <c r="J43" s="149">
        <f>'для жителей'!AG38</f>
        <v>2159.7</v>
      </c>
      <c r="K43" s="141">
        <f>'для жителей'!AI38+'для жителей'!AJ38</f>
        <v>3599.5</v>
      </c>
      <c r="L43" s="141">
        <f>'для жителей'!AH38+'для жителей'!AK38+'для жителей'!AM38+'для жителей'!AO38+'для жителей'!AQ38+'для жителей'!AR38</f>
        <v>12346.285</v>
      </c>
      <c r="M43" s="142">
        <f>'для жителей'!AS38+'для жителей'!AT38+'для жителей'!AU38</f>
        <v>8881</v>
      </c>
      <c r="N43" s="142">
        <f>'для жителей'!AX38</f>
        <v>1243.1999999999998</v>
      </c>
      <c r="O43" s="145">
        <f>'для жителей'!BB38</f>
        <v>28229.685</v>
      </c>
      <c r="P43" s="194">
        <f>'для жителей'!BC38</f>
        <v>956.934</v>
      </c>
      <c r="Q43" s="194">
        <f>'для жителей'!BD38</f>
        <v>3923.773839999999</v>
      </c>
      <c r="R43" s="194">
        <f>'для жителей'!BE38</f>
        <v>-398.8500000000022</v>
      </c>
      <c r="S43" s="60"/>
      <c r="T43" s="60"/>
    </row>
    <row r="44" spans="1:20" ht="13.5" thickBot="1">
      <c r="A44" s="195" t="s">
        <v>43</v>
      </c>
      <c r="B44" s="147">
        <f>'для жителей'!B39</f>
        <v>3599.5</v>
      </c>
      <c r="C44" s="24">
        <f>'для жителей'!C39</f>
        <v>31135.675000000003</v>
      </c>
      <c r="D44" s="148">
        <f>'для жителей'!D39</f>
        <v>3197.755000000002</v>
      </c>
      <c r="E44" s="141">
        <f>'для жителей'!S39</f>
        <v>27937.920000000002</v>
      </c>
      <c r="F44" s="141">
        <f>'для жителей'!T39</f>
        <v>0</v>
      </c>
      <c r="G44" s="149">
        <f>'для жителей'!AB39</f>
        <v>44917.88</v>
      </c>
      <c r="H44" s="149">
        <f>'для жителей'!AC39</f>
        <v>48115.635</v>
      </c>
      <c r="I44" s="193">
        <f>'для жителей'!AF39</f>
        <v>2373.5678399999997</v>
      </c>
      <c r="J44" s="149">
        <f>'для жителей'!AG39</f>
        <v>2159.7</v>
      </c>
      <c r="K44" s="141">
        <f>'для жителей'!AI39+'для жителей'!AJ39</f>
        <v>3599.5</v>
      </c>
      <c r="L44" s="141">
        <f>'для жителей'!AH39+'для жителей'!AK39+'для жителей'!AM39+'для жителей'!AO39+'для жителей'!AQ39+'для жителей'!AR39</f>
        <v>12346.285</v>
      </c>
      <c r="M44" s="142">
        <f>'для жителей'!AS39+'для жителей'!AT39+'для жителей'!AU39</f>
        <v>70395.612</v>
      </c>
      <c r="N44" s="142">
        <f>'для жителей'!AX39</f>
        <v>12695.2</v>
      </c>
      <c r="O44" s="145">
        <f>'для жителей'!BB39</f>
        <v>101196.297</v>
      </c>
      <c r="P44" s="194">
        <f>'для жителей'!BC39</f>
        <v>956.934</v>
      </c>
      <c r="Q44" s="194">
        <f>'для жителей'!BD39</f>
        <v>-51664.02816000001</v>
      </c>
      <c r="R44" s="194">
        <f>'для жителей'!BE39</f>
        <v>16979.959999999995</v>
      </c>
      <c r="S44" s="60"/>
      <c r="T44" s="60"/>
    </row>
    <row r="45" spans="1:20" s="15" customFormat="1" ht="13.5" thickBot="1">
      <c r="A45" s="26" t="s">
        <v>5</v>
      </c>
      <c r="B45" s="27"/>
      <c r="C45" s="28">
        <f aca="true" t="shared" si="3" ref="C45:R45">SUM(C33:C44)</f>
        <v>373555.43999999994</v>
      </c>
      <c r="D45" s="29">
        <f t="shared" si="3"/>
        <v>88601.14000000003</v>
      </c>
      <c r="E45" s="28">
        <f t="shared" si="3"/>
        <v>304636.07999999996</v>
      </c>
      <c r="F45" s="41">
        <f t="shared" si="3"/>
        <v>30318.24</v>
      </c>
      <c r="G45" s="29">
        <f t="shared" si="3"/>
        <v>295239.51999999996</v>
      </c>
      <c r="H45" s="41">
        <f t="shared" si="3"/>
        <v>414158.9</v>
      </c>
      <c r="I45" s="41">
        <f t="shared" si="3"/>
        <v>27132.814079999996</v>
      </c>
      <c r="J45" s="29">
        <f t="shared" si="3"/>
        <v>25911.360000000004</v>
      </c>
      <c r="K45" s="28">
        <f t="shared" si="3"/>
        <v>43185.6</v>
      </c>
      <c r="L45" s="28">
        <f t="shared" si="3"/>
        <v>152895.88800000004</v>
      </c>
      <c r="M45" s="28">
        <f t="shared" si="3"/>
        <v>109745.28199999999</v>
      </c>
      <c r="N45" s="28">
        <f t="shared" si="3"/>
        <v>22743</v>
      </c>
      <c r="O45" s="41">
        <f t="shared" si="3"/>
        <v>354481.13000000006</v>
      </c>
      <c r="P45" s="41">
        <f t="shared" si="3"/>
        <v>11145.707999999999</v>
      </c>
      <c r="Q45" s="30">
        <f t="shared" si="3"/>
        <v>75664.87608000002</v>
      </c>
      <c r="R45" s="30">
        <f t="shared" si="3"/>
        <v>-9396.559999999998</v>
      </c>
      <c r="S45" s="32"/>
      <c r="T45" s="32"/>
    </row>
    <row r="46" spans="1:20" ht="13.5" thickBot="1">
      <c r="A46" s="237" t="s">
        <v>68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133"/>
      <c r="S46" s="60"/>
      <c r="T46" s="60"/>
    </row>
    <row r="47" spans="1:20" s="15" customFormat="1" ht="13.5" thickBot="1">
      <c r="A47" s="34" t="s">
        <v>54</v>
      </c>
      <c r="B47" s="35"/>
      <c r="C47" s="135">
        <f aca="true" t="shared" si="4" ref="C47:P47">C45+C31+C17</f>
        <v>840271.3799999999</v>
      </c>
      <c r="D47" s="135">
        <f t="shared" si="4"/>
        <v>152332.85477125001</v>
      </c>
      <c r="E47" s="135">
        <f t="shared" si="4"/>
        <v>640153.5999999999</v>
      </c>
      <c r="F47" s="135">
        <f t="shared" si="4"/>
        <v>94734.06</v>
      </c>
      <c r="G47" s="135">
        <f t="shared" si="4"/>
        <v>600363.4500000001</v>
      </c>
      <c r="H47" s="135">
        <f t="shared" si="4"/>
        <v>847430.36477125</v>
      </c>
      <c r="I47" s="135">
        <f t="shared" si="4"/>
        <v>40474.221119999995</v>
      </c>
      <c r="J47" s="135">
        <f t="shared" si="4"/>
        <v>57421.392</v>
      </c>
      <c r="K47" s="135">
        <f t="shared" si="4"/>
        <v>95321.75343161501</v>
      </c>
      <c r="L47" s="135">
        <f t="shared" si="4"/>
        <v>333017.09636820323</v>
      </c>
      <c r="M47" s="135">
        <f t="shared" si="4"/>
        <v>373647.5366</v>
      </c>
      <c r="N47" s="135">
        <f t="shared" si="4"/>
        <v>36713.6336</v>
      </c>
      <c r="O47" s="135">
        <f t="shared" si="4"/>
        <v>896121.4119998182</v>
      </c>
      <c r="P47" s="135">
        <f t="shared" si="4"/>
        <v>16642.9764831236</v>
      </c>
      <c r="Q47" s="135">
        <f>Q45+Q31+Q17</f>
        <v>-24859.802591691747</v>
      </c>
      <c r="R47" s="135">
        <f>R45+R31+R17</f>
        <v>-39790.149999999994</v>
      </c>
      <c r="S47" s="36"/>
      <c r="T47" s="32"/>
    </row>
    <row r="48" spans="1:20" s="15" customFormat="1" ht="12.75">
      <c r="A48" s="19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2"/>
    </row>
    <row r="49" spans="1:20" ht="12.75" hidden="1">
      <c r="A49" s="15" t="s">
        <v>69</v>
      </c>
      <c r="D49" s="153" t="s">
        <v>86</v>
      </c>
      <c r="S49" s="60"/>
      <c r="T49" s="60"/>
    </row>
    <row r="50" spans="1:20" ht="12.75" hidden="1">
      <c r="A50" s="70" t="s">
        <v>70</v>
      </c>
      <c r="B50" s="70" t="s">
        <v>71</v>
      </c>
      <c r="C50" s="326" t="s">
        <v>72</v>
      </c>
      <c r="D50" s="326"/>
      <c r="S50" s="60"/>
      <c r="T50" s="60"/>
    </row>
    <row r="51" spans="1:20" ht="12.75" hidden="1">
      <c r="A51" s="154">
        <v>241192.92</v>
      </c>
      <c r="B51" s="154">
        <v>273421.09</v>
      </c>
      <c r="C51" s="327">
        <f>A51-B51</f>
        <v>-32228.170000000013</v>
      </c>
      <c r="D51" s="328"/>
      <c r="S51" s="60"/>
      <c r="T51" s="60"/>
    </row>
    <row r="52" spans="1:20" ht="12.75" hidden="1">
      <c r="A52" s="37"/>
      <c r="S52" s="60"/>
      <c r="T52" s="60"/>
    </row>
    <row r="53" spans="1:20" ht="12.75" hidden="1">
      <c r="A53" s="61" t="s">
        <v>73</v>
      </c>
      <c r="G53" s="61" t="s">
        <v>74</v>
      </c>
      <c r="S53" s="60"/>
      <c r="T53" s="60"/>
    </row>
    <row r="54" ht="12.75" hidden="1">
      <c r="A54" s="60"/>
    </row>
    <row r="55" ht="12.75" hidden="1">
      <c r="A55" s="61" t="s">
        <v>87</v>
      </c>
    </row>
    <row r="56" ht="12.75" hidden="1">
      <c r="A56" s="61" t="s">
        <v>75</v>
      </c>
    </row>
    <row r="57" spans="1:7" ht="24.75" customHeight="1">
      <c r="A57" s="61" t="s">
        <v>73</v>
      </c>
      <c r="G57" s="61" t="s">
        <v>74</v>
      </c>
    </row>
    <row r="58" ht="12.75">
      <c r="A58" s="60"/>
    </row>
    <row r="59" ht="12.75">
      <c r="A59" s="61" t="s">
        <v>116</v>
      </c>
    </row>
    <row r="60" ht="12.75">
      <c r="A60" s="61" t="s">
        <v>75</v>
      </c>
    </row>
  </sheetData>
  <sheetProtection/>
  <mergeCells count="28">
    <mergeCell ref="D8:D11"/>
    <mergeCell ref="E8:F9"/>
    <mergeCell ref="G8:H9"/>
    <mergeCell ref="B1:H1"/>
    <mergeCell ref="B2:H2"/>
    <mergeCell ref="A5:Q5"/>
    <mergeCell ref="A6:G6"/>
    <mergeCell ref="A7:D7"/>
    <mergeCell ref="E7:F7"/>
    <mergeCell ref="R8:R11"/>
    <mergeCell ref="E10:F10"/>
    <mergeCell ref="H10:H11"/>
    <mergeCell ref="J10:J11"/>
    <mergeCell ref="K10:K11"/>
    <mergeCell ref="L10:L11"/>
    <mergeCell ref="M10:M11"/>
    <mergeCell ref="N10:N11"/>
    <mergeCell ref="O10:O11"/>
    <mergeCell ref="A46:Q46"/>
    <mergeCell ref="C50:D50"/>
    <mergeCell ref="C51:D51"/>
    <mergeCell ref="I8:I11"/>
    <mergeCell ref="J8:O9"/>
    <mergeCell ref="P8:P11"/>
    <mergeCell ref="Q8:Q11"/>
    <mergeCell ref="A8:A11"/>
    <mergeCell ref="B8:B11"/>
    <mergeCell ref="C8:C11"/>
  </mergeCells>
  <printOptions/>
  <pageMargins left="0.2755905511811024" right="0.15748031496062992" top="0.15748031496062992" bottom="0.15748031496062992" header="0.15748031496062992" footer="0.1574803149606299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2" ySplit="7" topLeftCell="AQ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D43" sqref="BD43"/>
    </sheetView>
  </sheetViews>
  <sheetFormatPr defaultColWidth="9.00390625" defaultRowHeight="12.75"/>
  <cols>
    <col min="1" max="1" width="8.75390625" style="61" bestFit="1" customWidth="1"/>
    <col min="2" max="2" width="9.125" style="61" customWidth="1"/>
    <col min="3" max="3" width="10.125" style="61" customWidth="1"/>
    <col min="4" max="4" width="10.375" style="61" customWidth="1"/>
    <col min="5" max="6" width="9.125" style="61" customWidth="1"/>
    <col min="7" max="7" width="10.25390625" style="61" customWidth="1"/>
    <col min="8" max="8" width="9.125" style="61" customWidth="1"/>
    <col min="9" max="9" width="9.875" style="61" customWidth="1"/>
    <col min="10" max="10" width="9.125" style="61" customWidth="1"/>
    <col min="11" max="11" width="10.375" style="61" customWidth="1"/>
    <col min="12" max="14" width="9.125" style="61" customWidth="1"/>
    <col min="15" max="15" width="10.125" style="61" bestFit="1" customWidth="1"/>
    <col min="16" max="18" width="9.125" style="61" customWidth="1"/>
    <col min="19" max="19" width="10.125" style="61" bestFit="1" customWidth="1"/>
    <col min="20" max="20" width="10.125" style="61" customWidth="1"/>
    <col min="21" max="22" width="9.125" style="61" customWidth="1"/>
    <col min="23" max="23" width="10.625" style="61" customWidth="1"/>
    <col min="24" max="24" width="10.125" style="61" customWidth="1"/>
    <col min="25" max="27" width="9.125" style="61" customWidth="1"/>
    <col min="28" max="28" width="10.125" style="61" bestFit="1" customWidth="1"/>
    <col min="29" max="30" width="11.375" style="61" customWidth="1"/>
    <col min="31" max="31" width="9.25390625" style="61" bestFit="1" customWidth="1"/>
    <col min="32" max="32" width="11.25390625" style="61" customWidth="1"/>
    <col min="33" max="33" width="10.25390625" style="61" customWidth="1"/>
    <col min="34" max="38" width="9.25390625" style="61" bestFit="1" customWidth="1"/>
    <col min="39" max="39" width="10.125" style="61" bestFit="1" customWidth="1"/>
    <col min="40" max="42" width="9.25390625" style="61" bestFit="1" customWidth="1"/>
    <col min="43" max="44" width="9.25390625" style="61" customWidth="1"/>
    <col min="45" max="45" width="10.125" style="61" bestFit="1" customWidth="1"/>
    <col min="46" max="46" width="10.125" style="61" customWidth="1"/>
    <col min="47" max="47" width="9.25390625" style="61" bestFit="1" customWidth="1"/>
    <col min="48" max="49" width="9.25390625" style="61" customWidth="1"/>
    <col min="50" max="50" width="10.625" style="61" customWidth="1"/>
    <col min="51" max="51" width="9.25390625" style="61" bestFit="1" customWidth="1"/>
    <col min="52" max="53" width="10.125" style="61" bestFit="1" customWidth="1"/>
    <col min="54" max="55" width="10.375" style="61" customWidth="1"/>
    <col min="56" max="56" width="10.75390625" style="61" customWidth="1"/>
    <col min="57" max="57" width="14.00390625" style="61" customWidth="1"/>
    <col min="58" max="16384" width="9.125" style="61" customWidth="1"/>
  </cols>
  <sheetData>
    <row r="1" spans="1:18" ht="21" customHeight="1">
      <c r="A1" s="320" t="s">
        <v>121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60"/>
      <c r="P1" s="60"/>
      <c r="Q1" s="60"/>
      <c r="R1" s="60"/>
    </row>
    <row r="2" spans="1:18" ht="13.5" thickBot="1">
      <c r="A2" s="60"/>
      <c r="B2" s="62"/>
      <c r="C2" s="63"/>
      <c r="D2" s="6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57" ht="13.5" customHeight="1">
      <c r="A3" s="241" t="s">
        <v>0</v>
      </c>
      <c r="B3" s="322" t="s">
        <v>1</v>
      </c>
      <c r="C3" s="322" t="s">
        <v>2</v>
      </c>
      <c r="D3" s="322" t="s">
        <v>3</v>
      </c>
      <c r="E3" s="325" t="s">
        <v>4</v>
      </c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08" t="s">
        <v>5</v>
      </c>
      <c r="T3" s="308"/>
      <c r="U3" s="309" t="s">
        <v>6</v>
      </c>
      <c r="V3" s="309"/>
      <c r="W3" s="309"/>
      <c r="X3" s="309"/>
      <c r="Y3" s="309"/>
      <c r="Z3" s="309"/>
      <c r="AA3" s="309"/>
      <c r="AB3" s="309"/>
      <c r="AC3" s="311" t="s">
        <v>94</v>
      </c>
      <c r="AD3" s="311" t="s">
        <v>8</v>
      </c>
      <c r="AE3" s="314" t="s">
        <v>9</v>
      </c>
      <c r="AF3" s="317" t="s">
        <v>76</v>
      </c>
      <c r="AG3" s="297" t="s">
        <v>10</v>
      </c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8" t="s">
        <v>85</v>
      </c>
      <c r="BD3" s="301" t="s">
        <v>11</v>
      </c>
      <c r="BE3" s="304" t="s">
        <v>12</v>
      </c>
    </row>
    <row r="4" spans="1:57" ht="36" customHeight="1" thickBot="1">
      <c r="A4" s="242"/>
      <c r="B4" s="323"/>
      <c r="C4" s="323"/>
      <c r="D4" s="323"/>
      <c r="E4" s="307" t="s">
        <v>13</v>
      </c>
      <c r="F4" s="307"/>
      <c r="G4" s="307" t="s">
        <v>14</v>
      </c>
      <c r="H4" s="307"/>
      <c r="I4" s="307" t="s">
        <v>15</v>
      </c>
      <c r="J4" s="307"/>
      <c r="K4" s="307" t="s">
        <v>16</v>
      </c>
      <c r="L4" s="307"/>
      <c r="M4" s="307" t="s">
        <v>17</v>
      </c>
      <c r="N4" s="307"/>
      <c r="O4" s="307" t="s">
        <v>18</v>
      </c>
      <c r="P4" s="307"/>
      <c r="Q4" s="307" t="s">
        <v>19</v>
      </c>
      <c r="R4" s="307"/>
      <c r="S4" s="307"/>
      <c r="T4" s="307"/>
      <c r="U4" s="310"/>
      <c r="V4" s="310"/>
      <c r="W4" s="310"/>
      <c r="X4" s="310"/>
      <c r="Y4" s="310"/>
      <c r="Z4" s="310"/>
      <c r="AA4" s="310"/>
      <c r="AB4" s="310"/>
      <c r="AC4" s="312"/>
      <c r="AD4" s="312"/>
      <c r="AE4" s="315"/>
      <c r="AF4" s="318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99"/>
      <c r="BD4" s="302"/>
      <c r="BE4" s="305"/>
    </row>
    <row r="5" spans="1:57" ht="29.25" customHeight="1" thickBot="1">
      <c r="A5" s="242"/>
      <c r="B5" s="323"/>
      <c r="C5" s="323"/>
      <c r="D5" s="323"/>
      <c r="E5" s="295" t="s">
        <v>20</v>
      </c>
      <c r="F5" s="295" t="s">
        <v>21</v>
      </c>
      <c r="G5" s="295" t="s">
        <v>20</v>
      </c>
      <c r="H5" s="295" t="s">
        <v>21</v>
      </c>
      <c r="I5" s="295" t="s">
        <v>20</v>
      </c>
      <c r="J5" s="295" t="s">
        <v>21</v>
      </c>
      <c r="K5" s="295" t="s">
        <v>20</v>
      </c>
      <c r="L5" s="295" t="s">
        <v>21</v>
      </c>
      <c r="M5" s="295" t="s">
        <v>20</v>
      </c>
      <c r="N5" s="295" t="s">
        <v>21</v>
      </c>
      <c r="O5" s="295" t="s">
        <v>20</v>
      </c>
      <c r="P5" s="295" t="s">
        <v>21</v>
      </c>
      <c r="Q5" s="295" t="s">
        <v>20</v>
      </c>
      <c r="R5" s="295" t="s">
        <v>21</v>
      </c>
      <c r="S5" s="295" t="s">
        <v>20</v>
      </c>
      <c r="T5" s="295" t="s">
        <v>21</v>
      </c>
      <c r="U5" s="293" t="s">
        <v>22</v>
      </c>
      <c r="V5" s="293" t="s">
        <v>23</v>
      </c>
      <c r="W5" s="293" t="s">
        <v>24</v>
      </c>
      <c r="X5" s="293" t="s">
        <v>25</v>
      </c>
      <c r="Y5" s="293" t="s">
        <v>26</v>
      </c>
      <c r="Z5" s="293" t="s">
        <v>27</v>
      </c>
      <c r="AA5" s="293" t="s">
        <v>28</v>
      </c>
      <c r="AB5" s="293" t="s">
        <v>29</v>
      </c>
      <c r="AC5" s="312"/>
      <c r="AD5" s="312"/>
      <c r="AE5" s="315"/>
      <c r="AF5" s="318"/>
      <c r="AG5" s="280" t="s">
        <v>30</v>
      </c>
      <c r="AH5" s="280" t="s">
        <v>31</v>
      </c>
      <c r="AI5" s="280" t="s">
        <v>32</v>
      </c>
      <c r="AJ5" s="280" t="s">
        <v>33</v>
      </c>
      <c r="AK5" s="280" t="s">
        <v>34</v>
      </c>
      <c r="AL5" s="280" t="s">
        <v>33</v>
      </c>
      <c r="AM5" s="280" t="s">
        <v>35</v>
      </c>
      <c r="AN5" s="280" t="s">
        <v>33</v>
      </c>
      <c r="AO5" s="280" t="s">
        <v>36</v>
      </c>
      <c r="AP5" s="280" t="s">
        <v>33</v>
      </c>
      <c r="AQ5" s="287" t="s">
        <v>77</v>
      </c>
      <c r="AR5" s="289" t="s">
        <v>33</v>
      </c>
      <c r="AS5" s="291" t="s">
        <v>78</v>
      </c>
      <c r="AT5" s="282" t="s">
        <v>79</v>
      </c>
      <c r="AU5" s="282" t="s">
        <v>33</v>
      </c>
      <c r="AV5" s="284" t="s">
        <v>80</v>
      </c>
      <c r="AW5" s="285"/>
      <c r="AX5" s="286"/>
      <c r="AY5" s="280" t="s">
        <v>19</v>
      </c>
      <c r="AZ5" s="280" t="s">
        <v>38</v>
      </c>
      <c r="BA5" s="280" t="s">
        <v>33</v>
      </c>
      <c r="BB5" s="280" t="s">
        <v>39</v>
      </c>
      <c r="BC5" s="299"/>
      <c r="BD5" s="302"/>
      <c r="BE5" s="305"/>
    </row>
    <row r="6" spans="1:57" ht="54" customHeight="1" thickBot="1">
      <c r="A6" s="321"/>
      <c r="B6" s="324"/>
      <c r="C6" s="324"/>
      <c r="D6" s="324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4"/>
      <c r="V6" s="294"/>
      <c r="W6" s="294"/>
      <c r="X6" s="294"/>
      <c r="Y6" s="294"/>
      <c r="Z6" s="294"/>
      <c r="AA6" s="294"/>
      <c r="AB6" s="294"/>
      <c r="AC6" s="313"/>
      <c r="AD6" s="313"/>
      <c r="AE6" s="316"/>
      <c r="AF6" s="319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8"/>
      <c r="AR6" s="290"/>
      <c r="AS6" s="292"/>
      <c r="AT6" s="283"/>
      <c r="AU6" s="283"/>
      <c r="AV6" s="46" t="s">
        <v>81</v>
      </c>
      <c r="AW6" s="46" t="s">
        <v>82</v>
      </c>
      <c r="AX6" s="46" t="s">
        <v>83</v>
      </c>
      <c r="AY6" s="281"/>
      <c r="AZ6" s="281"/>
      <c r="BA6" s="281"/>
      <c r="BB6" s="281"/>
      <c r="BC6" s="300"/>
      <c r="BD6" s="303"/>
      <c r="BE6" s="306"/>
    </row>
    <row r="7" spans="1:57" ht="12.75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  <c r="I7" s="4">
        <v>9</v>
      </c>
      <c r="J7" s="5">
        <v>10</v>
      </c>
      <c r="K7" s="4">
        <v>11</v>
      </c>
      <c r="L7" s="5">
        <v>12</v>
      </c>
      <c r="M7" s="4">
        <v>13</v>
      </c>
      <c r="N7" s="5">
        <v>14</v>
      </c>
      <c r="O7" s="4">
        <v>15</v>
      </c>
      <c r="P7" s="5">
        <v>16</v>
      </c>
      <c r="Q7" s="4">
        <v>17</v>
      </c>
      <c r="R7" s="5">
        <v>18</v>
      </c>
      <c r="S7" s="4">
        <v>19</v>
      </c>
      <c r="T7" s="5">
        <v>20</v>
      </c>
      <c r="U7" s="4">
        <v>21</v>
      </c>
      <c r="V7" s="5">
        <v>22</v>
      </c>
      <c r="W7" s="4">
        <v>23</v>
      </c>
      <c r="X7" s="5">
        <v>24</v>
      </c>
      <c r="Y7" s="4">
        <v>25</v>
      </c>
      <c r="Z7" s="5">
        <v>26</v>
      </c>
      <c r="AA7" s="4">
        <v>27</v>
      </c>
      <c r="AB7" s="5">
        <v>28</v>
      </c>
      <c r="AC7" s="4">
        <v>29</v>
      </c>
      <c r="AD7" s="5">
        <v>30</v>
      </c>
      <c r="AE7" s="4">
        <v>31</v>
      </c>
      <c r="AF7" s="5">
        <v>32</v>
      </c>
      <c r="AG7" s="4">
        <v>33</v>
      </c>
      <c r="AH7" s="5">
        <v>34</v>
      </c>
      <c r="AI7" s="4">
        <v>35</v>
      </c>
      <c r="AJ7" s="5">
        <v>36</v>
      </c>
      <c r="AK7" s="4">
        <v>37</v>
      </c>
      <c r="AL7" s="5">
        <v>38</v>
      </c>
      <c r="AM7" s="4">
        <v>39</v>
      </c>
      <c r="AN7" s="5">
        <v>40</v>
      </c>
      <c r="AO7" s="4">
        <v>41</v>
      </c>
      <c r="AP7" s="5">
        <v>42</v>
      </c>
      <c r="AQ7" s="4">
        <v>43</v>
      </c>
      <c r="AR7" s="5">
        <v>44</v>
      </c>
      <c r="AS7" s="4">
        <v>45</v>
      </c>
      <c r="AT7" s="5">
        <v>46</v>
      </c>
      <c r="AU7" s="4">
        <v>47</v>
      </c>
      <c r="AV7" s="5">
        <v>48</v>
      </c>
      <c r="AW7" s="4">
        <v>49</v>
      </c>
      <c r="AX7" s="5">
        <v>50</v>
      </c>
      <c r="AY7" s="4">
        <v>51</v>
      </c>
      <c r="AZ7" s="5">
        <v>52</v>
      </c>
      <c r="BA7" s="4">
        <v>53</v>
      </c>
      <c r="BB7" s="5">
        <v>54</v>
      </c>
      <c r="BC7" s="4">
        <v>55</v>
      </c>
      <c r="BD7" s="5">
        <v>56</v>
      </c>
      <c r="BE7" s="4">
        <v>57</v>
      </c>
    </row>
    <row r="8" spans="1:57" ht="12.75">
      <c r="A8" s="1" t="s">
        <v>40</v>
      </c>
      <c r="B8" s="3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2"/>
      <c r="AT8" s="2"/>
      <c r="AU8" s="2"/>
      <c r="AV8" s="2"/>
      <c r="AW8" s="2"/>
      <c r="AX8" s="3"/>
      <c r="AY8" s="3"/>
      <c r="AZ8" s="3"/>
      <c r="BA8" s="3"/>
      <c r="BB8" s="3"/>
      <c r="BC8" s="3"/>
      <c r="BD8" s="3"/>
      <c r="BE8" s="164"/>
    </row>
    <row r="9" spans="1:57" ht="12.75">
      <c r="A9" s="72" t="s">
        <v>41</v>
      </c>
      <c r="B9" s="73">
        <v>3597.5</v>
      </c>
      <c r="C9" s="47">
        <f>B9*8.65</f>
        <v>31118.375</v>
      </c>
      <c r="D9" s="48">
        <f>C9*0.24088</f>
        <v>7495.79417</v>
      </c>
      <c r="E9" s="74">
        <v>2674.97</v>
      </c>
      <c r="F9" s="74">
        <v>543.41</v>
      </c>
      <c r="G9" s="74">
        <v>3623.67</v>
      </c>
      <c r="H9" s="74">
        <v>736.59</v>
      </c>
      <c r="I9" s="74">
        <v>8706</v>
      </c>
      <c r="J9" s="74">
        <v>1769.11</v>
      </c>
      <c r="K9" s="74">
        <v>6031.03</v>
      </c>
      <c r="L9" s="74">
        <v>1225.71</v>
      </c>
      <c r="M9" s="74">
        <v>2139.89</v>
      </c>
      <c r="N9" s="74">
        <v>434.75</v>
      </c>
      <c r="O9" s="80">
        <v>0</v>
      </c>
      <c r="P9" s="80">
        <v>0</v>
      </c>
      <c r="Q9" s="80">
        <v>0</v>
      </c>
      <c r="R9" s="80">
        <v>0</v>
      </c>
      <c r="S9" s="80">
        <f>E9+G9+I9+K9+M9+O9+Q9</f>
        <v>23175.559999999998</v>
      </c>
      <c r="T9" s="93">
        <f>P9+N9+L9+J9+H9+F9+R9</f>
        <v>4709.57</v>
      </c>
      <c r="U9" s="80">
        <v>21.89</v>
      </c>
      <c r="V9" s="80">
        <v>29.54</v>
      </c>
      <c r="W9" s="80">
        <v>71.13</v>
      </c>
      <c r="X9" s="80">
        <v>49.24</v>
      </c>
      <c r="Y9" s="80">
        <v>17.51</v>
      </c>
      <c r="Z9" s="81">
        <v>0</v>
      </c>
      <c r="AA9" s="81">
        <v>0</v>
      </c>
      <c r="AB9" s="81">
        <f>SUM(U9:AA9)</f>
        <v>189.31</v>
      </c>
      <c r="AC9" s="165">
        <f>D9+T9+AB9</f>
        <v>12394.67417</v>
      </c>
      <c r="AD9" s="166">
        <f>P9+Z9</f>
        <v>0</v>
      </c>
      <c r="AE9" s="85">
        <f>R9+AA9</f>
        <v>0</v>
      </c>
      <c r="AF9" s="85"/>
      <c r="AG9" s="86">
        <f>0.6*B9</f>
        <v>2158.5</v>
      </c>
      <c r="AH9" s="86">
        <f>B9*0.2*1.05826</f>
        <v>761.41807</v>
      </c>
      <c r="AI9" s="86">
        <f>0.8518*B9-0.01</f>
        <v>3064.3405</v>
      </c>
      <c r="AJ9" s="86">
        <f>AI9*0.18</f>
        <v>551.58129</v>
      </c>
      <c r="AK9" s="86">
        <f>1.04*B9*0.9531</f>
        <v>3565.92834</v>
      </c>
      <c r="AL9" s="86">
        <f>AK9*0.18</f>
        <v>641.8671012</v>
      </c>
      <c r="AM9" s="86">
        <f>(1.91)*B9*0.9531</f>
        <v>6548.964547499999</v>
      </c>
      <c r="AN9" s="86">
        <f>AM9*0.18</f>
        <v>1178.8136185499998</v>
      </c>
      <c r="AO9" s="86"/>
      <c r="AP9" s="86">
        <f>AO9*0.18</f>
        <v>0</v>
      </c>
      <c r="AQ9" s="86"/>
      <c r="AR9" s="86"/>
      <c r="AS9" s="87">
        <v>21654.29</v>
      </c>
      <c r="AT9" s="87"/>
      <c r="AU9" s="186">
        <f>AS9*0.18</f>
        <v>3897.7722</v>
      </c>
      <c r="AV9" s="186"/>
      <c r="AW9" s="186"/>
      <c r="AX9" s="142">
        <v>0</v>
      </c>
      <c r="AY9" s="142">
        <v>0</v>
      </c>
      <c r="AZ9" s="142">
        <v>0</v>
      </c>
      <c r="BA9" s="141">
        <f>AZ9*0.18</f>
        <v>0</v>
      </c>
      <c r="BB9" s="141">
        <f>SUM(AG9:BA9)</f>
        <v>44023.47566725</v>
      </c>
      <c r="BC9" s="141">
        <v>0</v>
      </c>
      <c r="BD9" s="141">
        <f>AC9-BB9</f>
        <v>-31628.801497250002</v>
      </c>
      <c r="BE9" s="145">
        <f>AB9-S9</f>
        <v>-22986.249999999996</v>
      </c>
    </row>
    <row r="10" spans="1:57" ht="12.75">
      <c r="A10" s="72" t="s">
        <v>42</v>
      </c>
      <c r="B10" s="73">
        <v>3597.5</v>
      </c>
      <c r="C10" s="47">
        <f>B10*8.65</f>
        <v>31118.375</v>
      </c>
      <c r="D10" s="48">
        <f>C10*0.24088</f>
        <v>7495.79417</v>
      </c>
      <c r="E10" s="74">
        <v>2355.51</v>
      </c>
      <c r="F10" s="74">
        <v>434.42</v>
      </c>
      <c r="G10" s="74">
        <v>3179.94</v>
      </c>
      <c r="H10" s="74">
        <v>586.5</v>
      </c>
      <c r="I10" s="74">
        <v>7655.31</v>
      </c>
      <c r="J10" s="74">
        <v>1411.88</v>
      </c>
      <c r="K10" s="74">
        <v>5299.8</v>
      </c>
      <c r="L10" s="74">
        <v>977.48</v>
      </c>
      <c r="M10" s="74">
        <v>1884.39</v>
      </c>
      <c r="N10" s="74">
        <v>347.54</v>
      </c>
      <c r="O10" s="80">
        <v>0</v>
      </c>
      <c r="P10" s="80">
        <v>0</v>
      </c>
      <c r="Q10" s="80">
        <v>0</v>
      </c>
      <c r="R10" s="80">
        <v>0</v>
      </c>
      <c r="S10" s="80">
        <f>E10+G10+I10+K10+M10+O10+Q10</f>
        <v>20374.95</v>
      </c>
      <c r="T10" s="93">
        <f>P10+N10+L10+J10+H10+F10+R10</f>
        <v>3757.82</v>
      </c>
      <c r="U10" s="80">
        <v>1813.71</v>
      </c>
      <c r="V10" s="80">
        <v>2448.62</v>
      </c>
      <c r="W10" s="80">
        <v>5895.17</v>
      </c>
      <c r="X10" s="80">
        <v>4080.93</v>
      </c>
      <c r="Y10" s="80">
        <v>1451</v>
      </c>
      <c r="Z10" s="80">
        <v>0</v>
      </c>
      <c r="AA10" s="81">
        <v>0</v>
      </c>
      <c r="AB10" s="96">
        <f>SUM(U10:AA10)</f>
        <v>15689.43</v>
      </c>
      <c r="AC10" s="169">
        <f>D10+T10+AB10</f>
        <v>26943.04417</v>
      </c>
      <c r="AD10" s="85">
        <f>P10+Z10</f>
        <v>0</v>
      </c>
      <c r="AE10" s="85">
        <f>R10+AA10</f>
        <v>0</v>
      </c>
      <c r="AF10" s="85"/>
      <c r="AG10" s="86">
        <f>0.6*B10</f>
        <v>2158.5</v>
      </c>
      <c r="AH10" s="86">
        <f>B10*0.201</f>
        <v>723.0975000000001</v>
      </c>
      <c r="AI10" s="86">
        <f>0.8518*B10-0.01</f>
        <v>3064.3405</v>
      </c>
      <c r="AJ10" s="86">
        <f>AI10*0.18</f>
        <v>551.58129</v>
      </c>
      <c r="AK10" s="86">
        <f>1.04*B10*0.9531</f>
        <v>3565.92834</v>
      </c>
      <c r="AL10" s="86">
        <f>AK10*0.18</f>
        <v>641.8671012</v>
      </c>
      <c r="AM10" s="86">
        <f>(1.91)*B10*0.9531</f>
        <v>6548.964547499999</v>
      </c>
      <c r="AN10" s="86">
        <f>AM10*0.18</f>
        <v>1178.8136185499998</v>
      </c>
      <c r="AO10" s="86"/>
      <c r="AP10" s="86">
        <f>AO10*0.18</f>
        <v>0</v>
      </c>
      <c r="AQ10" s="86"/>
      <c r="AR10" s="86"/>
      <c r="AS10" s="87">
        <v>9475</v>
      </c>
      <c r="AT10" s="87"/>
      <c r="AU10" s="186">
        <f>AS10*0.18</f>
        <v>1705.5</v>
      </c>
      <c r="AV10" s="186"/>
      <c r="AW10" s="186"/>
      <c r="AX10" s="142">
        <v>0</v>
      </c>
      <c r="AY10" s="142">
        <v>0</v>
      </c>
      <c r="AZ10" s="142">
        <v>0</v>
      </c>
      <c r="BA10" s="141">
        <f>AZ10*0.18</f>
        <v>0</v>
      </c>
      <c r="BB10" s="141">
        <f>SUM(AG10:BA10)</f>
        <v>29613.59289725</v>
      </c>
      <c r="BC10" s="141">
        <v>0</v>
      </c>
      <c r="BD10" s="141">
        <f>AC10-BB10</f>
        <v>-2670.5487272499995</v>
      </c>
      <c r="BE10" s="145">
        <f>AB10-S10</f>
        <v>-4685.52</v>
      </c>
    </row>
    <row r="11" spans="1:57" ht="12.75">
      <c r="A11" s="72" t="s">
        <v>43</v>
      </c>
      <c r="B11" s="73">
        <v>3597.5</v>
      </c>
      <c r="C11" s="47">
        <f>B11*8.65</f>
        <v>31118.375</v>
      </c>
      <c r="D11" s="48">
        <f>C11*0.24035</f>
        <v>7479.30143125</v>
      </c>
      <c r="E11" s="74">
        <v>2459.24</v>
      </c>
      <c r="F11" s="74">
        <v>444.85</v>
      </c>
      <c r="G11" s="74">
        <v>3320.02</v>
      </c>
      <c r="H11" s="74">
        <v>600.55</v>
      </c>
      <c r="I11" s="74">
        <v>7992.52</v>
      </c>
      <c r="J11" s="74">
        <v>1445.76</v>
      </c>
      <c r="K11" s="74">
        <v>5533.27</v>
      </c>
      <c r="L11" s="74">
        <v>1000.92</v>
      </c>
      <c r="M11" s="74">
        <v>1967.39</v>
      </c>
      <c r="N11" s="75">
        <v>355.87</v>
      </c>
      <c r="O11" s="81">
        <v>0</v>
      </c>
      <c r="P11" s="81">
        <v>0</v>
      </c>
      <c r="Q11" s="81">
        <v>0</v>
      </c>
      <c r="R11" s="81">
        <v>0</v>
      </c>
      <c r="S11" s="80">
        <f>E11+G11+I11+K11+M11+O11+Q11</f>
        <v>21272.440000000002</v>
      </c>
      <c r="T11" s="93">
        <f>P11+N11+L11+J11+H11+F11+R11</f>
        <v>3847.9500000000003</v>
      </c>
      <c r="U11" s="80">
        <v>2850</v>
      </c>
      <c r="V11" s="80">
        <v>3847.61</v>
      </c>
      <c r="W11" s="80">
        <v>9299.99</v>
      </c>
      <c r="X11" s="80">
        <v>6412.56</v>
      </c>
      <c r="Y11" s="80">
        <v>2280.01</v>
      </c>
      <c r="Z11" s="80">
        <v>0</v>
      </c>
      <c r="AA11" s="81">
        <v>0</v>
      </c>
      <c r="AB11" s="96">
        <f>SUM(U11:AA11)</f>
        <v>24690.17</v>
      </c>
      <c r="AC11" s="169">
        <f>D11+T11+AB11</f>
        <v>36017.42143125</v>
      </c>
      <c r="AD11" s="85">
        <f>P11+Z11</f>
        <v>0</v>
      </c>
      <c r="AE11" s="85">
        <f>R11+AA11</f>
        <v>0</v>
      </c>
      <c r="AF11" s="85"/>
      <c r="AG11" s="86">
        <f>0.6*B11</f>
        <v>2158.5</v>
      </c>
      <c r="AH11" s="86">
        <f>B11*0.2*1.02524</f>
        <v>737.66018</v>
      </c>
      <c r="AI11" s="86">
        <f>0.84932*B11</f>
        <v>3055.4287</v>
      </c>
      <c r="AJ11" s="86">
        <f>AI11*0.18</f>
        <v>549.977166</v>
      </c>
      <c r="AK11" s="86">
        <f>1.04*B11*0.95033</f>
        <v>3555.564662</v>
      </c>
      <c r="AL11" s="86">
        <f>AK11*0.18</f>
        <v>640.00163916</v>
      </c>
      <c r="AM11" s="86">
        <f>(1.91)*B11*0.95033</f>
        <v>6529.931254249999</v>
      </c>
      <c r="AN11" s="86">
        <f>AM11*0.18</f>
        <v>1175.3876257649997</v>
      </c>
      <c r="AO11" s="86"/>
      <c r="AP11" s="86">
        <f>AO11*0.18</f>
        <v>0</v>
      </c>
      <c r="AQ11" s="86"/>
      <c r="AR11" s="86"/>
      <c r="AS11" s="87">
        <v>7997</v>
      </c>
      <c r="AT11" s="87"/>
      <c r="AU11" s="186">
        <f>AS11*0.18</f>
        <v>1439.46</v>
      </c>
      <c r="AV11" s="186"/>
      <c r="AW11" s="186"/>
      <c r="AX11" s="142">
        <v>0</v>
      </c>
      <c r="AY11" s="142">
        <v>0</v>
      </c>
      <c r="AZ11" s="142">
        <v>0</v>
      </c>
      <c r="BA11" s="141">
        <f>AZ11*0.18</f>
        <v>0</v>
      </c>
      <c r="BB11" s="141">
        <f>SUM(AG11:BA11)</f>
        <v>27838.911227175</v>
      </c>
      <c r="BC11" s="141">
        <v>0</v>
      </c>
      <c r="BD11" s="141">
        <f>AC11-BB11</f>
        <v>8178.510204074999</v>
      </c>
      <c r="BE11" s="145">
        <f>AB11-S11</f>
        <v>3417.729999999996</v>
      </c>
    </row>
    <row r="12" spans="1:57" s="15" customFormat="1" ht="15" customHeight="1">
      <c r="A12" s="9" t="s">
        <v>5</v>
      </c>
      <c r="B12" s="10"/>
      <c r="C12" s="10">
        <f aca="true" t="shared" si="0" ref="C12:BE12">SUM(C9:C11)</f>
        <v>93355.125</v>
      </c>
      <c r="D12" s="10">
        <f t="shared" si="0"/>
        <v>22470.88977125</v>
      </c>
      <c r="E12" s="11">
        <f>SUM(E9:E11)</f>
        <v>7489.719999999999</v>
      </c>
      <c r="F12" s="11">
        <f t="shared" si="0"/>
        <v>1422.6799999999998</v>
      </c>
      <c r="G12" s="11">
        <f t="shared" si="0"/>
        <v>10123.630000000001</v>
      </c>
      <c r="H12" s="11">
        <f t="shared" si="0"/>
        <v>1923.64</v>
      </c>
      <c r="I12" s="11">
        <f t="shared" si="0"/>
        <v>24353.83</v>
      </c>
      <c r="J12" s="11">
        <f t="shared" si="0"/>
        <v>4626.75</v>
      </c>
      <c r="K12" s="11">
        <f t="shared" si="0"/>
        <v>16864.1</v>
      </c>
      <c r="L12" s="11">
        <f t="shared" si="0"/>
        <v>3204.11</v>
      </c>
      <c r="M12" s="11">
        <f t="shared" si="0"/>
        <v>5991.67</v>
      </c>
      <c r="N12" s="11">
        <f t="shared" si="0"/>
        <v>1138.1599999999999</v>
      </c>
      <c r="O12" s="11">
        <f t="shared" si="0"/>
        <v>0</v>
      </c>
      <c r="P12" s="11">
        <f t="shared" si="0"/>
        <v>0</v>
      </c>
      <c r="Q12" s="11">
        <f t="shared" si="0"/>
        <v>0</v>
      </c>
      <c r="R12" s="11">
        <f t="shared" si="0"/>
        <v>0</v>
      </c>
      <c r="S12" s="11">
        <f t="shared" si="0"/>
        <v>64822.95</v>
      </c>
      <c r="T12" s="11">
        <f t="shared" si="0"/>
        <v>12315.34</v>
      </c>
      <c r="U12" s="12">
        <f t="shared" si="0"/>
        <v>4685.6</v>
      </c>
      <c r="V12" s="12">
        <f t="shared" si="0"/>
        <v>6325.77</v>
      </c>
      <c r="W12" s="12">
        <f t="shared" si="0"/>
        <v>15266.29</v>
      </c>
      <c r="X12" s="12">
        <f t="shared" si="0"/>
        <v>10542.73</v>
      </c>
      <c r="Y12" s="12">
        <f t="shared" si="0"/>
        <v>3748.5200000000004</v>
      </c>
      <c r="Z12" s="12">
        <f t="shared" si="0"/>
        <v>0</v>
      </c>
      <c r="AA12" s="12">
        <f t="shared" si="0"/>
        <v>0</v>
      </c>
      <c r="AB12" s="12">
        <f t="shared" si="0"/>
        <v>40568.909999999996</v>
      </c>
      <c r="AC12" s="12">
        <f t="shared" si="0"/>
        <v>75355.13977124999</v>
      </c>
      <c r="AD12" s="12">
        <f>SUM(AD9:AD11)</f>
        <v>0</v>
      </c>
      <c r="AE12" s="44">
        <f t="shared" si="0"/>
        <v>0</v>
      </c>
      <c r="AF12" s="44">
        <f t="shared" si="0"/>
        <v>0</v>
      </c>
      <c r="AG12" s="13">
        <f t="shared" si="0"/>
        <v>6475.5</v>
      </c>
      <c r="AH12" s="13">
        <f t="shared" si="0"/>
        <v>2222.17575</v>
      </c>
      <c r="AI12" s="13">
        <f t="shared" si="0"/>
        <v>9184.109699999999</v>
      </c>
      <c r="AJ12" s="13">
        <f t="shared" si="0"/>
        <v>1653.1397459999998</v>
      </c>
      <c r="AK12" s="13">
        <f t="shared" si="0"/>
        <v>10687.421342</v>
      </c>
      <c r="AL12" s="13">
        <f t="shared" si="0"/>
        <v>1923.73584156</v>
      </c>
      <c r="AM12" s="13">
        <f>SUM(AM9:AM11)</f>
        <v>19627.860349249997</v>
      </c>
      <c r="AN12" s="13">
        <f>SUM(AN9:AN11)</f>
        <v>3533.0148628649995</v>
      </c>
      <c r="AO12" s="13">
        <f t="shared" si="0"/>
        <v>0</v>
      </c>
      <c r="AP12" s="13">
        <f t="shared" si="0"/>
        <v>0</v>
      </c>
      <c r="AQ12" s="13">
        <f>SUM(AQ9:AQ11)</f>
        <v>0</v>
      </c>
      <c r="AR12" s="13">
        <f>SUM(AR9:AR11)</f>
        <v>0</v>
      </c>
      <c r="AS12" s="13">
        <f>SUM(AS9:AS11)</f>
        <v>39126.29</v>
      </c>
      <c r="AT12" s="13">
        <f>SUM(AT9:AT11)</f>
        <v>0</v>
      </c>
      <c r="AU12" s="13">
        <f>SUM(AU9:AU11)</f>
        <v>7042.7321999999995</v>
      </c>
      <c r="AV12" s="13"/>
      <c r="AW12" s="13"/>
      <c r="AX12" s="13">
        <f t="shared" si="0"/>
        <v>0</v>
      </c>
      <c r="AY12" s="13">
        <f t="shared" si="0"/>
        <v>0</v>
      </c>
      <c r="AZ12" s="13">
        <f t="shared" si="0"/>
        <v>0</v>
      </c>
      <c r="BA12" s="13">
        <f t="shared" si="0"/>
        <v>0</v>
      </c>
      <c r="BB12" s="13">
        <f t="shared" si="0"/>
        <v>101475.979791675</v>
      </c>
      <c r="BC12" s="13">
        <f t="shared" si="0"/>
        <v>0</v>
      </c>
      <c r="BD12" s="13">
        <f t="shared" si="0"/>
        <v>-26120.840020425</v>
      </c>
      <c r="BE12" s="14">
        <f t="shared" si="0"/>
        <v>-24254.04</v>
      </c>
    </row>
    <row r="13" spans="1:57" ht="15" customHeight="1">
      <c r="A13" s="1" t="s">
        <v>44</v>
      </c>
      <c r="B13" s="38"/>
      <c r="C13" s="8"/>
      <c r="D13" s="8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1"/>
      <c r="R13" s="171"/>
      <c r="S13" s="171"/>
      <c r="T13" s="171"/>
      <c r="U13" s="172"/>
      <c r="V13" s="172"/>
      <c r="W13" s="172"/>
      <c r="X13" s="172"/>
      <c r="Y13" s="172"/>
      <c r="Z13" s="172"/>
      <c r="AA13" s="173"/>
      <c r="AB13" s="173"/>
      <c r="AC13" s="43"/>
      <c r="AD13" s="43"/>
      <c r="AE13" s="174"/>
      <c r="AF13" s="174"/>
      <c r="AG13" s="141"/>
      <c r="AH13" s="141"/>
      <c r="AI13" s="141"/>
      <c r="AJ13" s="141"/>
      <c r="AK13" s="141"/>
      <c r="AL13" s="141"/>
      <c r="AM13" s="141"/>
      <c r="AN13" s="141"/>
      <c r="AO13" s="142"/>
      <c r="AP13" s="142"/>
      <c r="AQ13" s="142"/>
      <c r="AR13" s="142"/>
      <c r="AS13" s="200"/>
      <c r="AT13" s="200"/>
      <c r="AU13" s="186"/>
      <c r="AV13" s="186"/>
      <c r="AW13" s="186"/>
      <c r="AX13" s="142"/>
      <c r="AY13" s="142"/>
      <c r="AZ13" s="142"/>
      <c r="BA13" s="141"/>
      <c r="BB13" s="141"/>
      <c r="BC13" s="141"/>
      <c r="BD13" s="141"/>
      <c r="BE13" s="145"/>
    </row>
    <row r="14" spans="1:57" ht="12.75">
      <c r="A14" s="72" t="s">
        <v>45</v>
      </c>
      <c r="B14" s="175">
        <v>3597.5</v>
      </c>
      <c r="C14" s="47">
        <f aca="true" t="shared" si="1" ref="C14:C25">B14*8.65</f>
        <v>31118.375</v>
      </c>
      <c r="D14" s="48">
        <f>C14*0.125</f>
        <v>3889.796875</v>
      </c>
      <c r="E14" s="74">
        <v>2451.92</v>
      </c>
      <c r="F14" s="74">
        <v>444.85</v>
      </c>
      <c r="G14" s="74">
        <v>3310.18</v>
      </c>
      <c r="H14" s="74">
        <v>600.55</v>
      </c>
      <c r="I14" s="74">
        <v>7968.75</v>
      </c>
      <c r="J14" s="74">
        <v>1445.76</v>
      </c>
      <c r="K14" s="74">
        <v>5516.83</v>
      </c>
      <c r="L14" s="74">
        <v>1000.92</v>
      </c>
      <c r="M14" s="74">
        <v>1961.55</v>
      </c>
      <c r="N14" s="75">
        <v>355.87</v>
      </c>
      <c r="O14" s="81">
        <v>0</v>
      </c>
      <c r="P14" s="81">
        <v>0</v>
      </c>
      <c r="Q14" s="81">
        <v>0</v>
      </c>
      <c r="R14" s="81">
        <v>0</v>
      </c>
      <c r="S14" s="80">
        <f>E14+G14+I14+K14+M14+O14+Q14</f>
        <v>21209.23</v>
      </c>
      <c r="T14" s="93">
        <f>P14+N14+L14+J14+H14+F14+R14</f>
        <v>3847.9500000000003</v>
      </c>
      <c r="U14" s="80">
        <v>1563.55</v>
      </c>
      <c r="V14" s="80">
        <v>2110.82</v>
      </c>
      <c r="W14" s="80">
        <v>5055.04</v>
      </c>
      <c r="X14" s="80">
        <v>3517.95</v>
      </c>
      <c r="Y14" s="80">
        <v>1250.79</v>
      </c>
      <c r="Z14" s="80">
        <v>0</v>
      </c>
      <c r="AA14" s="81">
        <v>0</v>
      </c>
      <c r="AB14" s="49">
        <f aca="true" t="shared" si="2" ref="AB14:AB22">SUM(U14:AA14)</f>
        <v>13498.150000000001</v>
      </c>
      <c r="AC14" s="169">
        <f>D14+T14+AB14</f>
        <v>21235.896875000002</v>
      </c>
      <c r="AD14" s="85">
        <f>P14+Z14</f>
        <v>0</v>
      </c>
      <c r="AE14" s="85">
        <f>R14+AA14</f>
        <v>0</v>
      </c>
      <c r="AF14" s="85"/>
      <c r="AG14" s="86">
        <f>0.6*B14*0.9</f>
        <v>1942.65</v>
      </c>
      <c r="AH14" s="86">
        <f>B14*0.2*0.891</f>
        <v>641.0745000000001</v>
      </c>
      <c r="AI14" s="86">
        <f>0.85*B14*0.867-0.02</f>
        <v>2651.157625</v>
      </c>
      <c r="AJ14" s="86">
        <f>AI14*0.18</f>
        <v>477.20837249999994</v>
      </c>
      <c r="AK14" s="86">
        <f>0.83*B14*0.8685</f>
        <v>2593.2758625</v>
      </c>
      <c r="AL14" s="86">
        <f>AK14*0.18</f>
        <v>466.78965525</v>
      </c>
      <c r="AM14" s="86">
        <f>1.91*B14*0.8686</f>
        <v>5968.346035</v>
      </c>
      <c r="AN14" s="86">
        <f>AM14*0.18</f>
        <v>1074.3022862999999</v>
      </c>
      <c r="AO14" s="86"/>
      <c r="AP14" s="86">
        <f aca="true" t="shared" si="3" ref="AP14:AR25">AO14*0.18</f>
        <v>0</v>
      </c>
      <c r="AQ14" s="88"/>
      <c r="AR14" s="88">
        <f>AQ14*0.18</f>
        <v>0</v>
      </c>
      <c r="AS14" s="87">
        <v>1858</v>
      </c>
      <c r="AT14" s="87"/>
      <c r="AU14" s="87">
        <f>(AS14+AT14)*0.18+0.01</f>
        <v>334.45</v>
      </c>
      <c r="AV14" s="167"/>
      <c r="AW14" s="168">
        <v>1436</v>
      </c>
      <c r="AX14" s="86">
        <f aca="true" t="shared" si="4" ref="AX14:AX25">AW14*1.12*1.18</f>
        <v>1897.8176</v>
      </c>
      <c r="AY14" s="50"/>
      <c r="AZ14" s="89"/>
      <c r="BA14" s="89">
        <f>AZ14*0.18</f>
        <v>0</v>
      </c>
      <c r="BB14" s="89">
        <f>SUM(AG14:AU14)</f>
        <v>18007.254336550002</v>
      </c>
      <c r="BC14" s="90"/>
      <c r="BD14" s="141">
        <f aca="true" t="shared" si="5" ref="BD14:BD25">AC14+AF14-BB14-BC14</f>
        <v>3228.64253845</v>
      </c>
      <c r="BE14" s="145">
        <f>AB14-S14</f>
        <v>-7711.079999999998</v>
      </c>
    </row>
    <row r="15" spans="1:57" ht="12.75">
      <c r="A15" s="72" t="s">
        <v>46</v>
      </c>
      <c r="B15" s="175">
        <v>3597.1</v>
      </c>
      <c r="C15" s="47">
        <f t="shared" si="1"/>
        <v>31114.915</v>
      </c>
      <c r="D15" s="48">
        <f>C15*0.125</f>
        <v>3889.364375</v>
      </c>
      <c r="E15" s="74">
        <v>2477.88</v>
      </c>
      <c r="F15" s="74">
        <v>426.84</v>
      </c>
      <c r="G15" s="74">
        <v>3345.21</v>
      </c>
      <c r="H15" s="74">
        <v>576.23</v>
      </c>
      <c r="I15" s="74">
        <v>8053.11</v>
      </c>
      <c r="J15" s="74">
        <v>1387.21</v>
      </c>
      <c r="K15" s="74">
        <v>5575.23</v>
      </c>
      <c r="L15" s="74">
        <v>960.39</v>
      </c>
      <c r="M15" s="74">
        <v>1982.31</v>
      </c>
      <c r="N15" s="75">
        <v>341.46</v>
      </c>
      <c r="O15" s="81">
        <v>0</v>
      </c>
      <c r="P15" s="81">
        <v>0</v>
      </c>
      <c r="Q15" s="81">
        <v>0</v>
      </c>
      <c r="R15" s="81">
        <v>0</v>
      </c>
      <c r="S15" s="80">
        <f>E15+G15+I15+K15+M15+O15+Q15</f>
        <v>21433.74</v>
      </c>
      <c r="T15" s="93">
        <f>P15+N15+L15+J15+H15+F15+R15</f>
        <v>3692.13</v>
      </c>
      <c r="U15" s="80">
        <v>2134.04</v>
      </c>
      <c r="V15" s="80">
        <v>2880.8</v>
      </c>
      <c r="W15" s="80">
        <v>6930.76</v>
      </c>
      <c r="X15" s="80">
        <v>4801.12</v>
      </c>
      <c r="Y15" s="80">
        <v>1706.88</v>
      </c>
      <c r="Z15" s="80">
        <v>0</v>
      </c>
      <c r="AA15" s="81">
        <v>0</v>
      </c>
      <c r="AB15" s="96">
        <f t="shared" si="2"/>
        <v>18453.600000000002</v>
      </c>
      <c r="AC15" s="169">
        <f>D15+T15+AB15</f>
        <v>26035.094375</v>
      </c>
      <c r="AD15" s="85">
        <f>P15+Z15</f>
        <v>0</v>
      </c>
      <c r="AE15" s="85">
        <f>R15+AA15</f>
        <v>0</v>
      </c>
      <c r="AF15" s="85"/>
      <c r="AG15" s="86">
        <f>0.6*B15*0.9</f>
        <v>1942.4339999999997</v>
      </c>
      <c r="AH15" s="86">
        <f>B15*0.2*0.9153</f>
        <v>658.485126</v>
      </c>
      <c r="AI15" s="86">
        <f>0.85*B15*0.867</f>
        <v>2650.8828449999996</v>
      </c>
      <c r="AJ15" s="86">
        <f>AI15*0.18</f>
        <v>477.1589120999999</v>
      </c>
      <c r="AK15" s="86">
        <f>0.83*B15*0.8684</f>
        <v>2592.6889611999995</v>
      </c>
      <c r="AL15" s="86">
        <f>AK15*0.18</f>
        <v>466.6840130159999</v>
      </c>
      <c r="AM15" s="86">
        <f>(1.91)*B15*0.8684</f>
        <v>5966.308332399999</v>
      </c>
      <c r="AN15" s="86">
        <f>AM15*0.18</f>
        <v>1073.9354998319998</v>
      </c>
      <c r="AO15" s="86"/>
      <c r="AP15" s="86">
        <f t="shared" si="3"/>
        <v>0</v>
      </c>
      <c r="AQ15" s="88"/>
      <c r="AR15" s="88">
        <f>AQ15*0.18</f>
        <v>0</v>
      </c>
      <c r="AS15" s="87"/>
      <c r="AT15" s="87"/>
      <c r="AU15" s="87">
        <f aca="true" t="shared" si="6" ref="AU15:AU25">(AS15+AT15)*0.18</f>
        <v>0</v>
      </c>
      <c r="AV15" s="167"/>
      <c r="AW15" s="168">
        <v>1375</v>
      </c>
      <c r="AX15" s="86">
        <f t="shared" si="4"/>
        <v>1817.2000000000003</v>
      </c>
      <c r="AY15" s="50"/>
      <c r="AZ15" s="89"/>
      <c r="BA15" s="89">
        <f>AZ15*0.18</f>
        <v>0</v>
      </c>
      <c r="BB15" s="89">
        <f>SUM(AG15:AU15)+AY15</f>
        <v>15828.577689547996</v>
      </c>
      <c r="BC15" s="176"/>
      <c r="BD15" s="141">
        <f t="shared" si="5"/>
        <v>10206.516685452005</v>
      </c>
      <c r="BE15" s="145">
        <f aca="true" t="shared" si="7" ref="BE15:BE24">AB15-S15</f>
        <v>-2980.1399999999994</v>
      </c>
    </row>
    <row r="16" spans="1:57" ht="12.75">
      <c r="A16" s="72" t="s">
        <v>47</v>
      </c>
      <c r="B16" s="201">
        <v>3597.1</v>
      </c>
      <c r="C16" s="47">
        <f t="shared" si="1"/>
        <v>31114.915</v>
      </c>
      <c r="D16" s="48">
        <f>C16*0.125</f>
        <v>3889.364375</v>
      </c>
      <c r="E16" s="178">
        <v>2394.58</v>
      </c>
      <c r="F16" s="178">
        <v>422.43</v>
      </c>
      <c r="G16" s="178">
        <v>3232.82</v>
      </c>
      <c r="H16" s="178">
        <v>570.29</v>
      </c>
      <c r="I16" s="178">
        <v>7782.48</v>
      </c>
      <c r="J16" s="178">
        <v>1372.9</v>
      </c>
      <c r="K16" s="178">
        <v>5387.9</v>
      </c>
      <c r="L16" s="178">
        <v>950.48</v>
      </c>
      <c r="M16" s="178">
        <v>1915.64</v>
      </c>
      <c r="N16" s="202">
        <v>337.94</v>
      </c>
      <c r="O16" s="81">
        <v>0</v>
      </c>
      <c r="P16" s="81">
        <v>0</v>
      </c>
      <c r="Q16" s="81">
        <v>0</v>
      </c>
      <c r="R16" s="81">
        <v>0</v>
      </c>
      <c r="S16" s="80">
        <f>E16+G16+I16+K16+M16+O16+Q16</f>
        <v>20713.42</v>
      </c>
      <c r="T16" s="93">
        <f>P16+N16+L16+J16+H16+F16+R16</f>
        <v>3654.04</v>
      </c>
      <c r="U16" s="39">
        <v>3054.74</v>
      </c>
      <c r="V16" s="39">
        <v>4124.07</v>
      </c>
      <c r="W16" s="39">
        <v>9919.7</v>
      </c>
      <c r="X16" s="39">
        <v>6873.32</v>
      </c>
      <c r="Y16" s="39">
        <v>2443.86</v>
      </c>
      <c r="Z16" s="39">
        <v>0</v>
      </c>
      <c r="AA16" s="51">
        <v>0</v>
      </c>
      <c r="AB16" s="49">
        <f t="shared" si="2"/>
        <v>26415.690000000002</v>
      </c>
      <c r="AC16" s="169">
        <f>D16+T16+AB16</f>
        <v>33959.094375</v>
      </c>
      <c r="AD16" s="85">
        <f>P16+Z16</f>
        <v>0</v>
      </c>
      <c r="AE16" s="85">
        <f>R16+AA16</f>
        <v>0</v>
      </c>
      <c r="AF16" s="85"/>
      <c r="AG16" s="86">
        <f>0.6*B16*0.9</f>
        <v>1942.4339999999997</v>
      </c>
      <c r="AH16" s="52">
        <f>B16*0.2*0.9082</f>
        <v>653.377244</v>
      </c>
      <c r="AI16" s="86">
        <f>0.85*B16*0.8675</f>
        <v>2652.4116125</v>
      </c>
      <c r="AJ16" s="86">
        <f>AI16*0.18</f>
        <v>477.43409025</v>
      </c>
      <c r="AK16" s="52">
        <f>0.83*B16*0.838</f>
        <v>2501.9269339999996</v>
      </c>
      <c r="AL16" s="86">
        <f>AK16*0.18</f>
        <v>450.3468481199999</v>
      </c>
      <c r="AM16" s="86">
        <f>1.91*B16*0.8381</f>
        <v>5758.133364099999</v>
      </c>
      <c r="AN16" s="86">
        <f>AM16*0.18</f>
        <v>1036.4640055379998</v>
      </c>
      <c r="AO16" s="86"/>
      <c r="AP16" s="86">
        <f t="shared" si="3"/>
        <v>0</v>
      </c>
      <c r="AQ16" s="88"/>
      <c r="AR16" s="88">
        <f>AQ16*0.18</f>
        <v>0</v>
      </c>
      <c r="AS16" s="87">
        <v>5524</v>
      </c>
      <c r="AT16" s="87"/>
      <c r="AU16" s="87">
        <f t="shared" si="6"/>
        <v>994.3199999999999</v>
      </c>
      <c r="AV16" s="167"/>
      <c r="AW16" s="168">
        <v>1161</v>
      </c>
      <c r="AX16" s="86">
        <f t="shared" si="4"/>
        <v>1534.3776</v>
      </c>
      <c r="AY16" s="50"/>
      <c r="AZ16" s="89"/>
      <c r="BA16" s="89">
        <f>AZ16*0.18</f>
        <v>0</v>
      </c>
      <c r="BB16" s="89">
        <f>SUM(AG16:AU16)</f>
        <v>21990.848098508</v>
      </c>
      <c r="BC16" s="176"/>
      <c r="BD16" s="141">
        <f t="shared" si="5"/>
        <v>11968.246276492002</v>
      </c>
      <c r="BE16" s="145">
        <f t="shared" si="7"/>
        <v>5702.270000000004</v>
      </c>
    </row>
    <row r="17" spans="1:57" ht="12.75">
      <c r="A17" s="72" t="s">
        <v>48</v>
      </c>
      <c r="B17" s="179">
        <v>3597.1</v>
      </c>
      <c r="C17" s="47">
        <f t="shared" si="1"/>
        <v>31114.915</v>
      </c>
      <c r="D17" s="48">
        <f>C17*0.125</f>
        <v>3889.364375</v>
      </c>
      <c r="E17" s="178">
        <v>2474.08</v>
      </c>
      <c r="F17" s="178">
        <v>421.85</v>
      </c>
      <c r="G17" s="178">
        <v>3340.07</v>
      </c>
      <c r="H17" s="178">
        <v>569.5</v>
      </c>
      <c r="I17" s="178">
        <v>8040.73</v>
      </c>
      <c r="J17" s="178">
        <v>1371.01</v>
      </c>
      <c r="K17" s="178">
        <v>5566.66</v>
      </c>
      <c r="L17" s="178">
        <v>949.17</v>
      </c>
      <c r="M17" s="178">
        <v>1979.24</v>
      </c>
      <c r="N17" s="202">
        <v>337.47</v>
      </c>
      <c r="O17" s="51">
        <v>0</v>
      </c>
      <c r="P17" s="51">
        <v>0</v>
      </c>
      <c r="Q17" s="51">
        <v>0</v>
      </c>
      <c r="R17" s="51">
        <v>0</v>
      </c>
      <c r="S17" s="80">
        <f aca="true" t="shared" si="8" ref="S17:S25">E17+G17+I17+K17+M17+O17+Q17</f>
        <v>21400.780000000002</v>
      </c>
      <c r="T17" s="93">
        <f aca="true" t="shared" si="9" ref="T17:T25">P17+N17+L17+J17+H17+F17+R17</f>
        <v>3648.9999999999995</v>
      </c>
      <c r="U17" s="80">
        <v>2236.89</v>
      </c>
      <c r="V17" s="80">
        <v>3020.09</v>
      </c>
      <c r="W17" s="80">
        <v>7270.27</v>
      </c>
      <c r="X17" s="80">
        <v>5033.38</v>
      </c>
      <c r="Y17" s="80">
        <v>1789.74</v>
      </c>
      <c r="Z17" s="80">
        <v>0</v>
      </c>
      <c r="AA17" s="80">
        <v>0</v>
      </c>
      <c r="AB17" s="49">
        <f t="shared" si="2"/>
        <v>19350.370000000003</v>
      </c>
      <c r="AC17" s="169">
        <f aca="true" t="shared" si="10" ref="AC17:AC22">D17+T17+AB17</f>
        <v>26888.734375</v>
      </c>
      <c r="AD17" s="85">
        <f aca="true" t="shared" si="11" ref="AD17:AD25">P17+Z17</f>
        <v>0</v>
      </c>
      <c r="AE17" s="85">
        <f aca="true" t="shared" si="12" ref="AE17:AE25">R17+AA17</f>
        <v>0</v>
      </c>
      <c r="AF17" s="85"/>
      <c r="AG17" s="86">
        <f>0.6*B17*0.9</f>
        <v>1942.4339999999997</v>
      </c>
      <c r="AH17" s="52">
        <f>B17*0.2*0.9234</f>
        <v>664.3124280000001</v>
      </c>
      <c r="AI17" s="86">
        <f>0.85*B17*0.8934</f>
        <v>2731.601769</v>
      </c>
      <c r="AJ17" s="86">
        <f aca="true" t="shared" si="13" ref="AJ17:AJ25">AI17*0.18</f>
        <v>491.68831842</v>
      </c>
      <c r="AK17" s="86">
        <f>0.83*B17*0.8498</f>
        <v>2537.1569314</v>
      </c>
      <c r="AL17" s="86">
        <f aca="true" t="shared" si="14" ref="AL17:AL25">AK17*0.18</f>
        <v>456.688247652</v>
      </c>
      <c r="AM17" s="86">
        <f>(1.91)*B17*0.8498</f>
        <v>5838.517757799999</v>
      </c>
      <c r="AN17" s="86">
        <f aca="true" t="shared" si="15" ref="AN17:AN25">AM17*0.18</f>
        <v>1050.9331964039998</v>
      </c>
      <c r="AO17" s="86"/>
      <c r="AP17" s="86">
        <f t="shared" si="3"/>
        <v>0</v>
      </c>
      <c r="AQ17" s="88"/>
      <c r="AR17" s="88">
        <f t="shared" si="3"/>
        <v>0</v>
      </c>
      <c r="AS17" s="87">
        <v>4037.15</v>
      </c>
      <c r="AT17" s="87"/>
      <c r="AU17" s="87">
        <f t="shared" si="6"/>
        <v>726.687</v>
      </c>
      <c r="AV17" s="167"/>
      <c r="AW17" s="180">
        <v>965</v>
      </c>
      <c r="AX17" s="86">
        <f t="shared" si="4"/>
        <v>1275.344</v>
      </c>
      <c r="AY17" s="181"/>
      <c r="AZ17" s="142"/>
      <c r="BA17" s="141">
        <f>AZ17*0.18</f>
        <v>0</v>
      </c>
      <c r="BB17" s="141">
        <f>SUM(AG17:BA17)-AV17-AW17+AX14+AX15+AX16</f>
        <v>27001.908848676</v>
      </c>
      <c r="BC17" s="176"/>
      <c r="BD17" s="141">
        <f t="shared" si="5"/>
        <v>-113.17447367600107</v>
      </c>
      <c r="BE17" s="145">
        <f t="shared" si="7"/>
        <v>-2050.41</v>
      </c>
    </row>
    <row r="18" spans="1:57" ht="12.75">
      <c r="A18" s="72" t="s">
        <v>49</v>
      </c>
      <c r="B18" s="177">
        <v>3597.1</v>
      </c>
      <c r="C18" s="47">
        <f t="shared" si="1"/>
        <v>31114.915</v>
      </c>
      <c r="D18" s="53">
        <f aca="true" t="shared" si="16" ref="D18:D25">C18-E18-F18-G18-H18-I18-J18-K18-L18-M18-N18</f>
        <v>3109.6849999999995</v>
      </c>
      <c r="E18" s="178">
        <v>2680.68</v>
      </c>
      <c r="F18" s="178">
        <v>551.59</v>
      </c>
      <c r="G18" s="178">
        <v>3631.53</v>
      </c>
      <c r="H18" s="178">
        <v>747.45</v>
      </c>
      <c r="I18" s="178">
        <v>8724.79</v>
      </c>
      <c r="J18" s="178">
        <v>1795.5</v>
      </c>
      <c r="K18" s="178">
        <v>6044.08</v>
      </c>
      <c r="L18" s="178">
        <v>1243.88</v>
      </c>
      <c r="M18" s="178">
        <v>2144.51</v>
      </c>
      <c r="N18" s="202">
        <v>441.22</v>
      </c>
      <c r="O18" s="51">
        <v>0</v>
      </c>
      <c r="P18" s="51">
        <v>0</v>
      </c>
      <c r="Q18" s="51">
        <v>0</v>
      </c>
      <c r="R18" s="51">
        <v>0</v>
      </c>
      <c r="S18" s="80">
        <f t="shared" si="8"/>
        <v>23225.590000000004</v>
      </c>
      <c r="T18" s="93">
        <f t="shared" si="9"/>
        <v>4779.64</v>
      </c>
      <c r="U18" s="39">
        <v>2128.13</v>
      </c>
      <c r="V18" s="39">
        <v>2873</v>
      </c>
      <c r="W18" s="39">
        <v>6916.36</v>
      </c>
      <c r="X18" s="39">
        <v>4788.25</v>
      </c>
      <c r="Y18" s="39">
        <v>1702.51</v>
      </c>
      <c r="Z18" s="39">
        <v>0</v>
      </c>
      <c r="AA18" s="51">
        <v>0</v>
      </c>
      <c r="AB18" s="49">
        <f t="shared" si="2"/>
        <v>18408.249999999996</v>
      </c>
      <c r="AC18" s="169">
        <f t="shared" si="10"/>
        <v>26297.574999999997</v>
      </c>
      <c r="AD18" s="85">
        <f t="shared" si="11"/>
        <v>0</v>
      </c>
      <c r="AE18" s="85">
        <f t="shared" si="12"/>
        <v>0</v>
      </c>
      <c r="AF18" s="85"/>
      <c r="AG18" s="86">
        <f aca="true" t="shared" si="17" ref="AG18:AG25">0.6*B18</f>
        <v>2158.2599999999998</v>
      </c>
      <c r="AH18" s="86">
        <f>B18*0.2*1.01</f>
        <v>726.6142000000001</v>
      </c>
      <c r="AI18" s="86">
        <f>0.85*B18</f>
        <v>3057.535</v>
      </c>
      <c r="AJ18" s="86">
        <f t="shared" si="13"/>
        <v>550.3562999999999</v>
      </c>
      <c r="AK18" s="86">
        <f>0.83*B18</f>
        <v>2985.593</v>
      </c>
      <c r="AL18" s="86">
        <f t="shared" si="14"/>
        <v>537.4067399999999</v>
      </c>
      <c r="AM18" s="86">
        <f>(1.91)*B18</f>
        <v>6870.460999999999</v>
      </c>
      <c r="AN18" s="86">
        <f t="shared" si="15"/>
        <v>1236.6829799999998</v>
      </c>
      <c r="AO18" s="86"/>
      <c r="AP18" s="86">
        <f t="shared" si="3"/>
        <v>0</v>
      </c>
      <c r="AQ18" s="88"/>
      <c r="AR18" s="88">
        <f t="shared" si="3"/>
        <v>0</v>
      </c>
      <c r="AS18" s="87">
        <v>74.6</v>
      </c>
      <c r="AT18" s="87"/>
      <c r="AU18" s="87">
        <f t="shared" si="6"/>
        <v>13.427999999999999</v>
      </c>
      <c r="AV18" s="167"/>
      <c r="AW18" s="180">
        <v>693</v>
      </c>
      <c r="AX18" s="86">
        <f t="shared" si="4"/>
        <v>915.8688000000001</v>
      </c>
      <c r="AY18" s="50"/>
      <c r="AZ18" s="89"/>
      <c r="BA18" s="89">
        <f aca="true" t="shared" si="18" ref="BA18:BA25">AZ18*0.18</f>
        <v>0</v>
      </c>
      <c r="BB18" s="89">
        <f>SUM(AG18:BA18)-AV18-AW18</f>
        <v>19126.806019999996</v>
      </c>
      <c r="BC18" s="176"/>
      <c r="BD18" s="141">
        <f t="shared" si="5"/>
        <v>7170.768980000001</v>
      </c>
      <c r="BE18" s="145">
        <f>AB18-S18</f>
        <v>-4817.340000000007</v>
      </c>
    </row>
    <row r="19" spans="1:57" ht="12.75">
      <c r="A19" s="72" t="s">
        <v>50</v>
      </c>
      <c r="B19" s="177">
        <v>3597.1</v>
      </c>
      <c r="C19" s="47">
        <f t="shared" si="1"/>
        <v>31114.915</v>
      </c>
      <c r="D19" s="53">
        <f t="shared" si="16"/>
        <v>3216.2149999999997</v>
      </c>
      <c r="E19" s="178">
        <v>2694.15</v>
      </c>
      <c r="F19" s="178">
        <v>525.8</v>
      </c>
      <c r="G19" s="178">
        <v>3649.64</v>
      </c>
      <c r="H19" s="178">
        <v>712.71</v>
      </c>
      <c r="I19" s="178">
        <v>8768.45</v>
      </c>
      <c r="J19" s="178">
        <v>1711.77</v>
      </c>
      <c r="K19" s="178">
        <v>6074.29</v>
      </c>
      <c r="L19" s="178">
        <v>1185.98</v>
      </c>
      <c r="M19" s="178">
        <v>2155.26</v>
      </c>
      <c r="N19" s="202">
        <v>420.65</v>
      </c>
      <c r="O19" s="51">
        <v>0</v>
      </c>
      <c r="P19" s="51">
        <v>0</v>
      </c>
      <c r="Q19" s="51">
        <v>0</v>
      </c>
      <c r="R19" s="51">
        <v>0</v>
      </c>
      <c r="S19" s="80">
        <f t="shared" si="8"/>
        <v>23341.79</v>
      </c>
      <c r="T19" s="93">
        <f t="shared" si="9"/>
        <v>4556.91</v>
      </c>
      <c r="U19" s="39">
        <v>2626.76</v>
      </c>
      <c r="V19" s="39">
        <v>3555.13</v>
      </c>
      <c r="W19" s="39">
        <v>8545.84</v>
      </c>
      <c r="X19" s="39">
        <v>5918.94</v>
      </c>
      <c r="Y19" s="39">
        <v>2101.34</v>
      </c>
      <c r="Z19" s="39">
        <v>0</v>
      </c>
      <c r="AA19" s="51">
        <v>0</v>
      </c>
      <c r="AB19" s="49">
        <f t="shared" si="2"/>
        <v>22748.01</v>
      </c>
      <c r="AC19" s="169">
        <f t="shared" si="10"/>
        <v>30521.135</v>
      </c>
      <c r="AD19" s="85">
        <f t="shared" si="11"/>
        <v>0</v>
      </c>
      <c r="AE19" s="85">
        <f t="shared" si="12"/>
        <v>0</v>
      </c>
      <c r="AF19" s="85"/>
      <c r="AG19" s="86">
        <f t="shared" si="17"/>
        <v>2158.2599999999998</v>
      </c>
      <c r="AH19" s="86">
        <f>B19*0.2*1.01045</f>
        <v>726.9379390000001</v>
      </c>
      <c r="AI19" s="86">
        <f>0.85*B19</f>
        <v>3057.535</v>
      </c>
      <c r="AJ19" s="86">
        <f t="shared" si="13"/>
        <v>550.3562999999999</v>
      </c>
      <c r="AK19" s="86">
        <f>0.83*B19</f>
        <v>2985.593</v>
      </c>
      <c r="AL19" s="86">
        <f t="shared" si="14"/>
        <v>537.4067399999999</v>
      </c>
      <c r="AM19" s="86">
        <f>(1.91)*B19</f>
        <v>6870.460999999999</v>
      </c>
      <c r="AN19" s="86">
        <f t="shared" si="15"/>
        <v>1236.6829799999998</v>
      </c>
      <c r="AO19" s="86"/>
      <c r="AP19" s="86">
        <f t="shared" si="3"/>
        <v>0</v>
      </c>
      <c r="AQ19" s="88"/>
      <c r="AR19" s="88">
        <f t="shared" si="3"/>
        <v>0</v>
      </c>
      <c r="AS19" s="87">
        <v>150.14</v>
      </c>
      <c r="AT19" s="87"/>
      <c r="AU19" s="87">
        <f t="shared" si="6"/>
        <v>27.025199999999998</v>
      </c>
      <c r="AV19" s="167"/>
      <c r="AW19" s="180">
        <v>702</v>
      </c>
      <c r="AX19" s="86">
        <f t="shared" si="4"/>
        <v>927.7632000000001</v>
      </c>
      <c r="AY19" s="50"/>
      <c r="AZ19" s="89"/>
      <c r="BA19" s="89">
        <f t="shared" si="18"/>
        <v>0</v>
      </c>
      <c r="BB19" s="89">
        <f>SUM(AG19:BA19)-AV19-AW19</f>
        <v>19228.161358999998</v>
      </c>
      <c r="BC19" s="176"/>
      <c r="BD19" s="141">
        <f t="shared" si="5"/>
        <v>11292.973641</v>
      </c>
      <c r="BE19" s="145">
        <f t="shared" si="7"/>
        <v>-593.7800000000025</v>
      </c>
    </row>
    <row r="20" spans="1:57" ht="12.75">
      <c r="A20" s="72" t="s">
        <v>51</v>
      </c>
      <c r="B20" s="175">
        <v>3596.3</v>
      </c>
      <c r="C20" s="47">
        <f t="shared" si="1"/>
        <v>31107.995000000003</v>
      </c>
      <c r="D20" s="53">
        <f t="shared" si="16"/>
        <v>3271.6450000000054</v>
      </c>
      <c r="E20" s="178">
        <v>2690.53</v>
      </c>
      <c r="F20" s="178">
        <v>522.23</v>
      </c>
      <c r="G20" s="178">
        <v>3644.78</v>
      </c>
      <c r="H20" s="178">
        <v>707.86</v>
      </c>
      <c r="I20" s="178">
        <v>8756.72</v>
      </c>
      <c r="J20" s="178">
        <v>1700.06</v>
      </c>
      <c r="K20" s="178">
        <v>6066.13</v>
      </c>
      <c r="L20" s="178">
        <v>1177.9</v>
      </c>
      <c r="M20" s="178">
        <v>2152.33</v>
      </c>
      <c r="N20" s="202">
        <v>417.81</v>
      </c>
      <c r="O20" s="51">
        <v>0</v>
      </c>
      <c r="P20" s="51">
        <v>0</v>
      </c>
      <c r="Q20" s="51">
        <v>0</v>
      </c>
      <c r="R20" s="51">
        <v>0</v>
      </c>
      <c r="S20" s="80">
        <f t="shared" si="8"/>
        <v>23310.489999999998</v>
      </c>
      <c r="T20" s="93">
        <f t="shared" si="9"/>
        <v>4525.860000000001</v>
      </c>
      <c r="U20" s="39">
        <v>2589.62</v>
      </c>
      <c r="V20" s="39">
        <v>3505.55</v>
      </c>
      <c r="W20" s="39">
        <v>8427.07</v>
      </c>
      <c r="X20" s="39">
        <v>5836.02</v>
      </c>
      <c r="Y20" s="39">
        <v>2071.66</v>
      </c>
      <c r="Z20" s="39">
        <v>0</v>
      </c>
      <c r="AA20" s="51">
        <v>0</v>
      </c>
      <c r="AB20" s="49">
        <f t="shared" si="2"/>
        <v>22429.920000000002</v>
      </c>
      <c r="AC20" s="169">
        <f t="shared" si="10"/>
        <v>30227.42500000001</v>
      </c>
      <c r="AD20" s="85">
        <f t="shared" si="11"/>
        <v>0</v>
      </c>
      <c r="AE20" s="85">
        <f t="shared" si="12"/>
        <v>0</v>
      </c>
      <c r="AF20" s="85">
        <f>'[1]Т07-09'!$I$62+'[1]Т07-09'!$I$83</f>
        <v>2223.5678399999997</v>
      </c>
      <c r="AG20" s="86">
        <f t="shared" si="17"/>
        <v>2157.78</v>
      </c>
      <c r="AH20" s="86">
        <f>B20*0.2*0.99426</f>
        <v>715.1314476000001</v>
      </c>
      <c r="AI20" s="86">
        <f>0.85*B20*0.9857</f>
        <v>3013.1419735</v>
      </c>
      <c r="AJ20" s="86">
        <f t="shared" si="13"/>
        <v>542.3655552299999</v>
      </c>
      <c r="AK20" s="86">
        <f>0.83*B20*0.9905</f>
        <v>2956.5721745</v>
      </c>
      <c r="AL20" s="86">
        <f t="shared" si="14"/>
        <v>532.18299141</v>
      </c>
      <c r="AM20" s="86">
        <f>(1.91)*B20*0.9904</f>
        <v>6802.991243199999</v>
      </c>
      <c r="AN20" s="86">
        <f t="shared" si="15"/>
        <v>1224.5384237759997</v>
      </c>
      <c r="AO20" s="86"/>
      <c r="AP20" s="86">
        <f t="shared" si="3"/>
        <v>0</v>
      </c>
      <c r="AQ20" s="88"/>
      <c r="AR20" s="88">
        <f t="shared" si="3"/>
        <v>0</v>
      </c>
      <c r="AS20" s="87">
        <f>38498.85</f>
        <v>38498.85</v>
      </c>
      <c r="AT20" s="87">
        <f>641.53*3</f>
        <v>1924.59</v>
      </c>
      <c r="AU20" s="87">
        <f t="shared" si="6"/>
        <v>7276.219199999999</v>
      </c>
      <c r="AV20" s="167"/>
      <c r="AW20" s="180">
        <v>632</v>
      </c>
      <c r="AX20" s="86">
        <f t="shared" si="4"/>
        <v>835.2512</v>
      </c>
      <c r="AY20" s="50"/>
      <c r="AZ20" s="89"/>
      <c r="BA20" s="89">
        <f t="shared" si="18"/>
        <v>0</v>
      </c>
      <c r="BB20" s="89">
        <f>SUM(AG20:BA20)-AV20-AW20</f>
        <v>66479.61420921599</v>
      </c>
      <c r="BC20" s="176">
        <f>'[2]Т07-09'!$O$62+'[2]Т07-09'!$O$83</f>
        <v>912.65560908</v>
      </c>
      <c r="BD20" s="141">
        <f t="shared" si="5"/>
        <v>-34941.27697829598</v>
      </c>
      <c r="BE20" s="145">
        <f t="shared" si="7"/>
        <v>-880.5699999999961</v>
      </c>
    </row>
    <row r="21" spans="1:57" ht="12.75">
      <c r="A21" s="72" t="s">
        <v>52</v>
      </c>
      <c r="B21" s="73">
        <v>3596.3</v>
      </c>
      <c r="C21" s="47">
        <f t="shared" si="1"/>
        <v>31107.995000000003</v>
      </c>
      <c r="D21" s="53">
        <f t="shared" si="16"/>
        <v>3215.245000000001</v>
      </c>
      <c r="E21" s="178">
        <v>2693.81</v>
      </c>
      <c r="F21" s="178">
        <v>525.46</v>
      </c>
      <c r="G21" s="178">
        <v>3649.17</v>
      </c>
      <c r="H21" s="178">
        <v>712.25</v>
      </c>
      <c r="I21" s="178">
        <v>8767.33</v>
      </c>
      <c r="J21" s="178">
        <v>1710.66</v>
      </c>
      <c r="K21" s="178">
        <v>6073.5</v>
      </c>
      <c r="L21" s="178">
        <v>1185.21</v>
      </c>
      <c r="M21" s="178">
        <v>2154.97</v>
      </c>
      <c r="N21" s="202">
        <v>420.39</v>
      </c>
      <c r="O21" s="51">
        <v>0</v>
      </c>
      <c r="P21" s="51">
        <v>0</v>
      </c>
      <c r="Q21" s="39">
        <v>0</v>
      </c>
      <c r="R21" s="39">
        <v>0</v>
      </c>
      <c r="S21" s="80">
        <f t="shared" si="8"/>
        <v>23338.78</v>
      </c>
      <c r="T21" s="93">
        <f t="shared" si="9"/>
        <v>4553.97</v>
      </c>
      <c r="U21" s="39">
        <v>2845.09</v>
      </c>
      <c r="V21" s="39">
        <v>3852.51</v>
      </c>
      <c r="W21" s="39">
        <v>9258.21</v>
      </c>
      <c r="X21" s="39">
        <v>6413</v>
      </c>
      <c r="Y21" s="39">
        <v>2276.08</v>
      </c>
      <c r="Z21" s="39">
        <v>0</v>
      </c>
      <c r="AA21" s="51">
        <v>0</v>
      </c>
      <c r="AB21" s="49">
        <f t="shared" si="2"/>
        <v>24644.89</v>
      </c>
      <c r="AC21" s="169">
        <f t="shared" si="10"/>
        <v>32414.105</v>
      </c>
      <c r="AD21" s="85">
        <f t="shared" si="11"/>
        <v>0</v>
      </c>
      <c r="AE21" s="85">
        <f t="shared" si="12"/>
        <v>0</v>
      </c>
      <c r="AF21" s="85">
        <f>'[1]Т07-09'!$I$62+'[1]Т07-09'!$I$83</f>
        <v>2223.5678399999997</v>
      </c>
      <c r="AG21" s="86">
        <f t="shared" si="17"/>
        <v>2157.78</v>
      </c>
      <c r="AH21" s="86">
        <f>B21*0.2*0.99875</f>
        <v>718.3609250000002</v>
      </c>
      <c r="AI21" s="86">
        <f>0.85*B21*0.98526</f>
        <v>3011.7969573</v>
      </c>
      <c r="AJ21" s="86">
        <f t="shared" si="13"/>
        <v>542.123452314</v>
      </c>
      <c r="AK21" s="86">
        <f>0.83*B21*0.99</f>
        <v>2955.07971</v>
      </c>
      <c r="AL21" s="86">
        <f t="shared" si="14"/>
        <v>531.9143478</v>
      </c>
      <c r="AM21" s="86">
        <f>(1.91)*B21*0.99</f>
        <v>6800.24367</v>
      </c>
      <c r="AN21" s="86">
        <f t="shared" si="15"/>
        <v>1224.0438606</v>
      </c>
      <c r="AO21" s="86"/>
      <c r="AP21" s="86">
        <f t="shared" si="3"/>
        <v>0</v>
      </c>
      <c r="AQ21" s="88">
        <v>1050.54</v>
      </c>
      <c r="AR21" s="88">
        <f t="shared" si="3"/>
        <v>189.0972</v>
      </c>
      <c r="AS21" s="87">
        <v>10798</v>
      </c>
      <c r="AT21" s="87"/>
      <c r="AU21" s="87">
        <f t="shared" si="6"/>
        <v>1943.6399999999999</v>
      </c>
      <c r="AV21" s="167"/>
      <c r="AW21" s="180">
        <v>592</v>
      </c>
      <c r="AX21" s="86">
        <f t="shared" si="4"/>
        <v>782.3872</v>
      </c>
      <c r="AY21" s="50"/>
      <c r="AZ21" s="89"/>
      <c r="BA21" s="89">
        <f t="shared" si="18"/>
        <v>0</v>
      </c>
      <c r="BB21" s="89">
        <f>SUM(AG21:BA21)-AV21-AW21</f>
        <v>32705.007323013997</v>
      </c>
      <c r="BC21" s="176">
        <f>'[2]Т08-09'!$O$63+'[2]Т08-09'!$O$84</f>
        <v>912.2409285239999</v>
      </c>
      <c r="BD21" s="141">
        <f t="shared" si="5"/>
        <v>1020.4245884620025</v>
      </c>
      <c r="BE21" s="145">
        <f t="shared" si="7"/>
        <v>1306.1100000000006</v>
      </c>
    </row>
    <row r="22" spans="1:57" ht="12.75">
      <c r="A22" s="72" t="s">
        <v>53</v>
      </c>
      <c r="B22" s="73">
        <v>3596.3</v>
      </c>
      <c r="C22" s="47">
        <f t="shared" si="1"/>
        <v>31107.995000000003</v>
      </c>
      <c r="D22" s="53">
        <f t="shared" si="16"/>
        <v>3221.335000000001</v>
      </c>
      <c r="E22" s="74">
        <v>2675.15</v>
      </c>
      <c r="F22" s="74">
        <v>543.41</v>
      </c>
      <c r="G22" s="74">
        <v>3623.9</v>
      </c>
      <c r="H22" s="74">
        <v>736.6</v>
      </c>
      <c r="I22" s="74">
        <v>8706.56</v>
      </c>
      <c r="J22" s="74">
        <v>1769.11</v>
      </c>
      <c r="K22" s="74">
        <v>6031.42</v>
      </c>
      <c r="L22" s="74">
        <v>1225.71</v>
      </c>
      <c r="M22" s="74">
        <v>2140.07</v>
      </c>
      <c r="N22" s="75">
        <v>434.73</v>
      </c>
      <c r="O22" s="81">
        <v>0</v>
      </c>
      <c r="P22" s="81">
        <v>0</v>
      </c>
      <c r="Q22" s="81">
        <v>0</v>
      </c>
      <c r="R22" s="81">
        <v>0</v>
      </c>
      <c r="S22" s="80">
        <f t="shared" si="8"/>
        <v>23177.1</v>
      </c>
      <c r="T22" s="93">
        <f t="shared" si="9"/>
        <v>4709.56</v>
      </c>
      <c r="U22" s="80">
        <v>2351.4</v>
      </c>
      <c r="V22" s="80">
        <v>3184.83</v>
      </c>
      <c r="W22" s="80">
        <v>7652.31</v>
      </c>
      <c r="X22" s="80">
        <v>5300.97</v>
      </c>
      <c r="Y22" s="80">
        <v>1881.02</v>
      </c>
      <c r="Z22" s="80">
        <v>0</v>
      </c>
      <c r="AA22" s="81">
        <v>0</v>
      </c>
      <c r="AB22" s="49">
        <f t="shared" si="2"/>
        <v>20370.530000000002</v>
      </c>
      <c r="AC22" s="169">
        <f t="shared" si="10"/>
        <v>28301.425000000003</v>
      </c>
      <c r="AD22" s="85">
        <f t="shared" si="11"/>
        <v>0</v>
      </c>
      <c r="AE22" s="85">
        <f t="shared" si="12"/>
        <v>0</v>
      </c>
      <c r="AF22" s="85">
        <f>'[1]Т07-09'!$I$62+'[1]Т07-09'!$I$83</f>
        <v>2223.5678399999997</v>
      </c>
      <c r="AG22" s="86">
        <f t="shared" si="17"/>
        <v>2157.78</v>
      </c>
      <c r="AH22" s="86">
        <f>B22*0.2*0.9997</f>
        <v>719.0442220000001</v>
      </c>
      <c r="AI22" s="86">
        <f>0.85*B22*0.98509</f>
        <v>3011.2772919500003</v>
      </c>
      <c r="AJ22" s="86">
        <f t="shared" si="13"/>
        <v>542.029912551</v>
      </c>
      <c r="AK22" s="86">
        <f>0.83*B22*0.98981</f>
        <v>2954.51257349</v>
      </c>
      <c r="AL22" s="86">
        <f t="shared" si="14"/>
        <v>531.8122632282</v>
      </c>
      <c r="AM22" s="86">
        <f>(1.91)*B22*0.9898</f>
        <v>6798.8698834</v>
      </c>
      <c r="AN22" s="86">
        <f t="shared" si="15"/>
        <v>1223.796579012</v>
      </c>
      <c r="AO22" s="86"/>
      <c r="AP22" s="86">
        <f t="shared" si="3"/>
        <v>0</v>
      </c>
      <c r="AQ22" s="88"/>
      <c r="AR22" s="88">
        <f t="shared" si="3"/>
        <v>0</v>
      </c>
      <c r="AS22" s="87">
        <v>463.56</v>
      </c>
      <c r="AT22" s="87"/>
      <c r="AU22" s="87">
        <f t="shared" si="6"/>
        <v>83.4408</v>
      </c>
      <c r="AV22" s="167"/>
      <c r="AW22" s="180">
        <v>719</v>
      </c>
      <c r="AX22" s="86">
        <f t="shared" si="4"/>
        <v>950.2304</v>
      </c>
      <c r="AY22" s="50"/>
      <c r="AZ22" s="89"/>
      <c r="BA22" s="89">
        <f t="shared" si="18"/>
        <v>0</v>
      </c>
      <c r="BB22" s="89">
        <f>SUM(AG22:BA22)-AV22-AW22</f>
        <v>19436.3539256312</v>
      </c>
      <c r="BC22" s="176">
        <f>'[2]Т09-09'!$O$63+'[2]Т09-09'!$O$84</f>
        <v>912.1029575196</v>
      </c>
      <c r="BD22" s="141">
        <f t="shared" si="5"/>
        <v>10176.535956849202</v>
      </c>
      <c r="BE22" s="145">
        <f>AB22-S22</f>
        <v>-2806.569999999996</v>
      </c>
    </row>
    <row r="23" spans="1:57" ht="12.75">
      <c r="A23" s="72" t="s">
        <v>41</v>
      </c>
      <c r="B23" s="73">
        <v>3596.3</v>
      </c>
      <c r="C23" s="54">
        <f t="shared" si="1"/>
        <v>31107.995000000003</v>
      </c>
      <c r="D23" s="53">
        <f t="shared" si="16"/>
        <v>3222.8649999999993</v>
      </c>
      <c r="E23" s="94">
        <v>2674.97</v>
      </c>
      <c r="F23" s="80">
        <v>543.41</v>
      </c>
      <c r="G23" s="80">
        <v>3623.67</v>
      </c>
      <c r="H23" s="80">
        <v>736.59</v>
      </c>
      <c r="I23" s="80">
        <v>8706</v>
      </c>
      <c r="J23" s="80">
        <v>1769.11</v>
      </c>
      <c r="K23" s="80">
        <v>6031.03</v>
      </c>
      <c r="L23" s="80">
        <v>1225.71</v>
      </c>
      <c r="M23" s="80">
        <v>2139.89</v>
      </c>
      <c r="N23" s="81">
        <v>434.75</v>
      </c>
      <c r="O23" s="81">
        <v>0</v>
      </c>
      <c r="P23" s="81">
        <v>0</v>
      </c>
      <c r="Q23" s="80">
        <v>0</v>
      </c>
      <c r="R23" s="80">
        <v>0</v>
      </c>
      <c r="S23" s="80">
        <f t="shared" si="8"/>
        <v>23175.559999999998</v>
      </c>
      <c r="T23" s="93">
        <f t="shared" si="9"/>
        <v>4709.57</v>
      </c>
      <c r="U23" s="182">
        <f>2336.29+590</f>
        <v>2926.29</v>
      </c>
      <c r="V23" s="80">
        <f>3164.42+799.21</f>
        <v>3963.63</v>
      </c>
      <c r="W23" s="80">
        <f>7603.33+1920.25</f>
        <v>9523.58</v>
      </c>
      <c r="X23" s="80">
        <f>5266.97+1330.17</f>
        <v>6597.14</v>
      </c>
      <c r="Y23" s="80">
        <f>1869.07+472.01</f>
        <v>2341.08</v>
      </c>
      <c r="Z23" s="81">
        <v>0</v>
      </c>
      <c r="AA23" s="81">
        <v>0</v>
      </c>
      <c r="AB23" s="81">
        <f>SUM(U23:AA23)</f>
        <v>25351.72</v>
      </c>
      <c r="AC23" s="169">
        <f>AB23+T23+D23</f>
        <v>33284.155</v>
      </c>
      <c r="AD23" s="85">
        <f t="shared" si="11"/>
        <v>0</v>
      </c>
      <c r="AE23" s="85">
        <f t="shared" si="12"/>
        <v>0</v>
      </c>
      <c r="AF23" s="85">
        <f>'[3]Т10'!$I$65+'[3]Т10'!$I$91</f>
        <v>2223.5678399999997</v>
      </c>
      <c r="AG23" s="86">
        <f t="shared" si="17"/>
        <v>2157.78</v>
      </c>
      <c r="AH23" s="86">
        <f>B23*0.2</f>
        <v>719.2600000000001</v>
      </c>
      <c r="AI23" s="86">
        <f>0.847*B23</f>
        <v>3046.0661</v>
      </c>
      <c r="AJ23" s="86">
        <f t="shared" si="13"/>
        <v>548.291898</v>
      </c>
      <c r="AK23" s="86">
        <f>0.83*B23</f>
        <v>2984.929</v>
      </c>
      <c r="AL23" s="86">
        <f t="shared" si="14"/>
        <v>537.28722</v>
      </c>
      <c r="AM23" s="86">
        <f>(2.25/1.18)*B23</f>
        <v>6857.3516949152545</v>
      </c>
      <c r="AN23" s="86">
        <f t="shared" si="15"/>
        <v>1234.3233050847457</v>
      </c>
      <c r="AO23" s="86"/>
      <c r="AP23" s="86">
        <f t="shared" si="3"/>
        <v>0</v>
      </c>
      <c r="AQ23" s="88"/>
      <c r="AR23" s="88">
        <f t="shared" si="3"/>
        <v>0</v>
      </c>
      <c r="AS23" s="87">
        <v>21009.23</v>
      </c>
      <c r="AT23" s="87">
        <v>983</v>
      </c>
      <c r="AU23" s="87">
        <f t="shared" si="6"/>
        <v>3958.6013999999996</v>
      </c>
      <c r="AV23" s="167"/>
      <c r="AW23" s="168">
        <v>751</v>
      </c>
      <c r="AX23" s="86">
        <f>AW23*1.12*1.18</f>
        <v>992.5216</v>
      </c>
      <c r="AY23" s="50"/>
      <c r="AZ23" s="55"/>
      <c r="BA23" s="89">
        <f t="shared" si="18"/>
        <v>0</v>
      </c>
      <c r="BB23" s="89">
        <f>SUM(AG23:AU23)+AX23+AY23+AZ23+BA23</f>
        <v>45028.642218</v>
      </c>
      <c r="BC23" s="176">
        <f>'[4]Т10'!$O$65+'[4]Т10'!$O$91</f>
        <v>919.221068</v>
      </c>
      <c r="BD23" s="141">
        <f t="shared" si="5"/>
        <v>-10440.140446</v>
      </c>
      <c r="BE23" s="145">
        <f>AB23-S23</f>
        <v>2176.1600000000035</v>
      </c>
    </row>
    <row r="24" spans="1:57" ht="12.75">
      <c r="A24" s="72" t="s">
        <v>42</v>
      </c>
      <c r="B24" s="175">
        <v>3597.5</v>
      </c>
      <c r="C24" s="54">
        <f t="shared" si="1"/>
        <v>31118.375</v>
      </c>
      <c r="D24" s="53">
        <f t="shared" si="16"/>
        <v>3223.884999999998</v>
      </c>
      <c r="E24" s="74">
        <v>2675.86</v>
      </c>
      <c r="F24" s="74">
        <v>543.59</v>
      </c>
      <c r="G24" s="74">
        <v>3624.89</v>
      </c>
      <c r="H24" s="74">
        <v>736.83</v>
      </c>
      <c r="I24" s="74">
        <v>8708.94</v>
      </c>
      <c r="J24" s="74">
        <v>1769.69</v>
      </c>
      <c r="K24" s="74">
        <v>6033.07</v>
      </c>
      <c r="L24" s="74">
        <v>1226.11</v>
      </c>
      <c r="M24" s="74">
        <v>2140.62</v>
      </c>
      <c r="N24" s="75">
        <v>434.89</v>
      </c>
      <c r="O24" s="81">
        <v>0</v>
      </c>
      <c r="P24" s="81">
        <v>0</v>
      </c>
      <c r="Q24" s="81">
        <v>0</v>
      </c>
      <c r="R24" s="81">
        <v>0</v>
      </c>
      <c r="S24" s="80">
        <f t="shared" si="8"/>
        <v>23183.38</v>
      </c>
      <c r="T24" s="93">
        <f t="shared" si="9"/>
        <v>4711.110000000001</v>
      </c>
      <c r="U24" s="80">
        <v>2840.27</v>
      </c>
      <c r="V24" s="80">
        <v>3847.38</v>
      </c>
      <c r="W24" s="80">
        <v>9243.76</v>
      </c>
      <c r="X24" s="80">
        <v>6403.58</v>
      </c>
      <c r="Y24" s="80">
        <v>2272.09</v>
      </c>
      <c r="Z24" s="80">
        <v>0</v>
      </c>
      <c r="AA24" s="81">
        <v>0</v>
      </c>
      <c r="AB24" s="81">
        <f>SUM(U24:AA24)</f>
        <v>24607.079999999998</v>
      </c>
      <c r="AC24" s="169">
        <f>D24+T24+AB24</f>
        <v>32542.074999999997</v>
      </c>
      <c r="AD24" s="85">
        <f t="shared" si="11"/>
        <v>0</v>
      </c>
      <c r="AE24" s="85">
        <f t="shared" si="12"/>
        <v>0</v>
      </c>
      <c r="AF24" s="85">
        <f>'[3]Т11'!$I$65+'[3]Т11'!$I$91</f>
        <v>2223.5678399999997</v>
      </c>
      <c r="AG24" s="86">
        <f t="shared" si="17"/>
        <v>2158.5</v>
      </c>
      <c r="AH24" s="86">
        <f>B24*0.2</f>
        <v>719.5</v>
      </c>
      <c r="AI24" s="86">
        <f>0.85*B24</f>
        <v>3057.875</v>
      </c>
      <c r="AJ24" s="86">
        <f t="shared" si="13"/>
        <v>550.4175</v>
      </c>
      <c r="AK24" s="86">
        <f>0.83*B24</f>
        <v>2985.9249999999997</v>
      </c>
      <c r="AL24" s="86">
        <f t="shared" si="14"/>
        <v>537.4664999999999</v>
      </c>
      <c r="AM24" s="86">
        <f>(1.91)*B24</f>
        <v>6871.224999999999</v>
      </c>
      <c r="AN24" s="86">
        <f t="shared" si="15"/>
        <v>1236.8204999999998</v>
      </c>
      <c r="AO24" s="86"/>
      <c r="AP24" s="86">
        <f t="shared" si="3"/>
        <v>0</v>
      </c>
      <c r="AQ24" s="88"/>
      <c r="AR24" s="88">
        <f t="shared" si="3"/>
        <v>0</v>
      </c>
      <c r="AS24" s="87">
        <v>444</v>
      </c>
      <c r="AT24" s="87">
        <f>1*375</f>
        <v>375</v>
      </c>
      <c r="AU24" s="87">
        <f t="shared" si="6"/>
        <v>147.42</v>
      </c>
      <c r="AV24" s="167"/>
      <c r="AW24" s="168">
        <v>699</v>
      </c>
      <c r="AX24" s="86">
        <f t="shared" si="4"/>
        <v>923.7984000000001</v>
      </c>
      <c r="AY24" s="50"/>
      <c r="AZ24" s="89"/>
      <c r="BA24" s="89">
        <f t="shared" si="18"/>
        <v>0</v>
      </c>
      <c r="BB24" s="89">
        <f>SUM(AG24:AU24)+AX24+AY24+AZ24+BA24</f>
        <v>20007.9479</v>
      </c>
      <c r="BC24" s="90">
        <f>'[3]Т11'!$O$65+'[3]Т11'!$O$91</f>
        <v>920.52396</v>
      </c>
      <c r="BD24" s="141">
        <f t="shared" si="5"/>
        <v>13837.17098</v>
      </c>
      <c r="BE24" s="145">
        <f t="shared" si="7"/>
        <v>1423.699999999997</v>
      </c>
    </row>
    <row r="25" spans="1:57" ht="12.75">
      <c r="A25" s="72" t="s">
        <v>43</v>
      </c>
      <c r="B25" s="73">
        <v>3597.4</v>
      </c>
      <c r="C25" s="54">
        <f t="shared" si="1"/>
        <v>31117.510000000002</v>
      </c>
      <c r="D25" s="53">
        <f t="shared" si="16"/>
        <v>3222.06</v>
      </c>
      <c r="E25" s="74">
        <v>2676.01</v>
      </c>
      <c r="F25" s="74">
        <v>543.55</v>
      </c>
      <c r="G25" s="74">
        <v>3625.11</v>
      </c>
      <c r="H25" s="74">
        <v>736.77</v>
      </c>
      <c r="I25" s="74">
        <v>8709.43</v>
      </c>
      <c r="J25" s="74">
        <v>1769.55</v>
      </c>
      <c r="K25" s="74">
        <v>6033.42</v>
      </c>
      <c r="L25" s="74">
        <v>1226.01</v>
      </c>
      <c r="M25" s="74">
        <v>2140.74</v>
      </c>
      <c r="N25" s="75">
        <v>434.86</v>
      </c>
      <c r="O25" s="81">
        <v>0</v>
      </c>
      <c r="P25" s="81">
        <v>0</v>
      </c>
      <c r="Q25" s="81"/>
      <c r="R25" s="81"/>
      <c r="S25" s="80">
        <f t="shared" si="8"/>
        <v>23184.71</v>
      </c>
      <c r="T25" s="93">
        <f t="shared" si="9"/>
        <v>4710.740000000001</v>
      </c>
      <c r="U25" s="80">
        <v>3616.94</v>
      </c>
      <c r="V25" s="80">
        <v>4359.85</v>
      </c>
      <c r="W25" s="80">
        <v>10471.77</v>
      </c>
      <c r="X25" s="80">
        <v>7254.88</v>
      </c>
      <c r="Y25" s="80">
        <v>2573.37</v>
      </c>
      <c r="Z25" s="80">
        <v>0</v>
      </c>
      <c r="AA25" s="81">
        <v>0</v>
      </c>
      <c r="AB25" s="81">
        <f>SUM(U25:AA25)</f>
        <v>28276.81</v>
      </c>
      <c r="AC25" s="169">
        <f>D25+T25+AB25</f>
        <v>36209.61</v>
      </c>
      <c r="AD25" s="85">
        <f t="shared" si="11"/>
        <v>0</v>
      </c>
      <c r="AE25" s="85">
        <f t="shared" si="12"/>
        <v>0</v>
      </c>
      <c r="AF25" s="85">
        <f>'[3]Т12'!$I$66+'[3]Т12'!$I$92</f>
        <v>2223.5678399999997</v>
      </c>
      <c r="AG25" s="86">
        <f t="shared" si="17"/>
        <v>2158.44</v>
      </c>
      <c r="AH25" s="86">
        <f>B25*0.2</f>
        <v>719.48</v>
      </c>
      <c r="AI25" s="86">
        <f>0.85*B25</f>
        <v>3057.79</v>
      </c>
      <c r="AJ25" s="86">
        <f t="shared" si="13"/>
        <v>550.4022</v>
      </c>
      <c r="AK25" s="86">
        <f>0.83*B25</f>
        <v>2985.842</v>
      </c>
      <c r="AL25" s="86">
        <f t="shared" si="14"/>
        <v>537.45156</v>
      </c>
      <c r="AM25" s="86">
        <f>(1.91)*B25</f>
        <v>6871.034</v>
      </c>
      <c r="AN25" s="86">
        <f t="shared" si="15"/>
        <v>1236.78612</v>
      </c>
      <c r="AO25" s="86"/>
      <c r="AP25" s="86">
        <f t="shared" si="3"/>
        <v>0</v>
      </c>
      <c r="AQ25" s="88"/>
      <c r="AR25" s="88">
        <f t="shared" si="3"/>
        <v>0</v>
      </c>
      <c r="AS25" s="87">
        <v>97916</v>
      </c>
      <c r="AT25" s="87">
        <v>463.56</v>
      </c>
      <c r="AU25" s="87">
        <f t="shared" si="6"/>
        <v>17708.320799999998</v>
      </c>
      <c r="AV25" s="167"/>
      <c r="AW25" s="168">
        <v>846</v>
      </c>
      <c r="AX25" s="86">
        <f t="shared" si="4"/>
        <v>1118.0736</v>
      </c>
      <c r="AY25" s="50"/>
      <c r="AZ25" s="89"/>
      <c r="BA25" s="89">
        <f t="shared" si="18"/>
        <v>0</v>
      </c>
      <c r="BB25" s="89">
        <f>SUM(AG25:BA25)-AV25-AW25</f>
        <v>135323.18028</v>
      </c>
      <c r="BC25" s="90">
        <f>'[3]Т12'!$O$66+'[3]Т12'!$O$92</f>
        <v>920.52396</v>
      </c>
      <c r="BD25" s="141">
        <f t="shared" si="5"/>
        <v>-97810.5264</v>
      </c>
      <c r="BE25" s="145">
        <f>AB25-S25</f>
        <v>5092.100000000002</v>
      </c>
    </row>
    <row r="26" spans="1:57" s="15" customFormat="1" ht="12.75">
      <c r="A26" s="9" t="s">
        <v>5</v>
      </c>
      <c r="B26" s="10"/>
      <c r="C26" s="10">
        <f aca="true" t="shared" si="19" ref="C26:BC26">SUM(C14:C25)</f>
        <v>373360.815</v>
      </c>
      <c r="D26" s="10">
        <f t="shared" si="19"/>
        <v>41260.82499999999</v>
      </c>
      <c r="E26" s="11">
        <f t="shared" si="19"/>
        <v>31259.620000000003</v>
      </c>
      <c r="F26" s="11">
        <f t="shared" si="19"/>
        <v>6015.010000000001</v>
      </c>
      <c r="G26" s="11">
        <f t="shared" si="19"/>
        <v>42300.969999999994</v>
      </c>
      <c r="H26" s="11">
        <f t="shared" si="19"/>
        <v>8143.629999999999</v>
      </c>
      <c r="I26" s="11">
        <f t="shared" si="19"/>
        <v>101693.29000000001</v>
      </c>
      <c r="J26" s="11">
        <f t="shared" si="19"/>
        <v>19572.33</v>
      </c>
      <c r="K26" s="11">
        <f t="shared" si="19"/>
        <v>70433.56</v>
      </c>
      <c r="L26" s="11">
        <f t="shared" si="19"/>
        <v>13557.47</v>
      </c>
      <c r="M26" s="11">
        <f t="shared" si="19"/>
        <v>25007.129999999997</v>
      </c>
      <c r="N26" s="11">
        <f t="shared" si="19"/>
        <v>4812.04</v>
      </c>
      <c r="O26" s="11">
        <f t="shared" si="19"/>
        <v>0</v>
      </c>
      <c r="P26" s="11">
        <f t="shared" si="19"/>
        <v>0</v>
      </c>
      <c r="Q26" s="11">
        <f t="shared" si="19"/>
        <v>0</v>
      </c>
      <c r="R26" s="11">
        <f t="shared" si="19"/>
        <v>0</v>
      </c>
      <c r="S26" s="11">
        <f t="shared" si="19"/>
        <v>270694.57</v>
      </c>
      <c r="T26" s="11">
        <f t="shared" si="19"/>
        <v>52100.479999999996</v>
      </c>
      <c r="U26" s="12">
        <f t="shared" si="19"/>
        <v>30913.72</v>
      </c>
      <c r="V26" s="12">
        <f t="shared" si="19"/>
        <v>41277.659999999996</v>
      </c>
      <c r="W26" s="12">
        <f t="shared" si="19"/>
        <v>99214.67</v>
      </c>
      <c r="X26" s="12">
        <f t="shared" si="19"/>
        <v>68738.55</v>
      </c>
      <c r="Y26" s="12">
        <f t="shared" si="19"/>
        <v>24410.42</v>
      </c>
      <c r="Z26" s="12">
        <f t="shared" si="19"/>
        <v>0</v>
      </c>
      <c r="AA26" s="12">
        <f t="shared" si="19"/>
        <v>0</v>
      </c>
      <c r="AB26" s="12">
        <f t="shared" si="19"/>
        <v>264555.02</v>
      </c>
      <c r="AC26" s="12">
        <f t="shared" si="19"/>
        <v>357916.325</v>
      </c>
      <c r="AD26" s="12">
        <f t="shared" si="19"/>
        <v>0</v>
      </c>
      <c r="AE26" s="44">
        <f t="shared" si="19"/>
        <v>0</v>
      </c>
      <c r="AF26" s="44">
        <f t="shared" si="19"/>
        <v>13341.407039999998</v>
      </c>
      <c r="AG26" s="13">
        <f t="shared" si="19"/>
        <v>25034.531999999996</v>
      </c>
      <c r="AH26" s="13">
        <f t="shared" si="19"/>
        <v>8381.5780316</v>
      </c>
      <c r="AI26" s="13">
        <f t="shared" si="19"/>
        <v>34999.07117425</v>
      </c>
      <c r="AJ26" s="13">
        <f t="shared" si="19"/>
        <v>6299.832811365</v>
      </c>
      <c r="AK26" s="13">
        <f t="shared" si="19"/>
        <v>34019.095147089996</v>
      </c>
      <c r="AL26" s="13">
        <f t="shared" si="19"/>
        <v>6123.437126476199</v>
      </c>
      <c r="AM26" s="13">
        <f t="shared" si="19"/>
        <v>78273.94298081525</v>
      </c>
      <c r="AN26" s="13">
        <f t="shared" si="19"/>
        <v>14089.309736546746</v>
      </c>
      <c r="AO26" s="13">
        <f t="shared" si="19"/>
        <v>0</v>
      </c>
      <c r="AP26" s="13">
        <f t="shared" si="19"/>
        <v>0</v>
      </c>
      <c r="AQ26" s="13">
        <f>SUM(AQ14:AQ25)</f>
        <v>1050.54</v>
      </c>
      <c r="AR26" s="13">
        <f>SUM(AR14:AR25)</f>
        <v>189.0972</v>
      </c>
      <c r="AS26" s="13">
        <f>SUM(AS14:AS25)</f>
        <v>180773.53</v>
      </c>
      <c r="AT26" s="13">
        <f>SUM(AT14:AT25)</f>
        <v>3746.15</v>
      </c>
      <c r="AU26" s="13">
        <f>SUM(AU14:AU25)</f>
        <v>33213.55239999999</v>
      </c>
      <c r="AV26" s="13"/>
      <c r="AW26" s="13"/>
      <c r="AX26" s="13">
        <f t="shared" si="19"/>
        <v>13970.6336</v>
      </c>
      <c r="AY26" s="13">
        <f t="shared" si="19"/>
        <v>0</v>
      </c>
      <c r="AZ26" s="13">
        <f t="shared" si="19"/>
        <v>0</v>
      </c>
      <c r="BA26" s="13">
        <f t="shared" si="19"/>
        <v>0</v>
      </c>
      <c r="BB26" s="13">
        <f t="shared" si="19"/>
        <v>440164.30220814317</v>
      </c>
      <c r="BC26" s="13">
        <f t="shared" si="19"/>
        <v>5497.2684831236</v>
      </c>
      <c r="BD26" s="13">
        <f>SUM(BD14:BD25)</f>
        <v>-74403.83865126676</v>
      </c>
      <c r="BE26" s="14">
        <f>SUM(BE14:BE25)</f>
        <v>-6139.549999999992</v>
      </c>
    </row>
    <row r="27" spans="1:57" ht="15" customHeight="1">
      <c r="A27" s="1" t="s">
        <v>84</v>
      </c>
      <c r="B27" s="38"/>
      <c r="C27" s="8"/>
      <c r="D27" s="8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1"/>
      <c r="R27" s="171"/>
      <c r="S27" s="171"/>
      <c r="T27" s="171"/>
      <c r="U27" s="172"/>
      <c r="V27" s="172"/>
      <c r="W27" s="172"/>
      <c r="X27" s="172"/>
      <c r="Y27" s="172"/>
      <c r="Z27" s="172"/>
      <c r="AA27" s="173"/>
      <c r="AB27" s="173"/>
      <c r="AC27" s="43"/>
      <c r="AD27" s="43"/>
      <c r="AE27" s="174"/>
      <c r="AF27" s="174"/>
      <c r="AG27" s="141"/>
      <c r="AH27" s="141"/>
      <c r="AI27" s="141"/>
      <c r="AJ27" s="141"/>
      <c r="AK27" s="141"/>
      <c r="AL27" s="141"/>
      <c r="AM27" s="141"/>
      <c r="AN27" s="141"/>
      <c r="AO27" s="142"/>
      <c r="AP27" s="142"/>
      <c r="AQ27" s="142"/>
      <c r="AR27" s="142"/>
      <c r="AS27" s="200"/>
      <c r="AT27" s="200"/>
      <c r="AU27" s="186"/>
      <c r="AV27" s="186"/>
      <c r="AW27" s="186"/>
      <c r="AX27" s="142"/>
      <c r="AY27" s="142"/>
      <c r="AZ27" s="142"/>
      <c r="BA27" s="141"/>
      <c r="BB27" s="141"/>
      <c r="BC27" s="141"/>
      <c r="BD27" s="141"/>
      <c r="BE27" s="145"/>
    </row>
    <row r="28" spans="1:57" ht="12.75">
      <c r="A28" s="72" t="s">
        <v>45</v>
      </c>
      <c r="B28" s="73">
        <v>3597.4</v>
      </c>
      <c r="C28" s="54">
        <f aca="true" t="shared" si="20" ref="C28:C39">B28*8.65</f>
        <v>31117.510000000002</v>
      </c>
      <c r="D28" s="53">
        <f aca="true" t="shared" si="21" ref="D28:D39">C28-E28-F28-G28-H28-I28-J28-K28-L28-M28-N28</f>
        <v>3223.78</v>
      </c>
      <c r="E28" s="74">
        <v>2669.11</v>
      </c>
      <c r="F28" s="74">
        <v>550.26</v>
      </c>
      <c r="G28" s="74">
        <v>3615.74</v>
      </c>
      <c r="H28" s="74">
        <v>745.86</v>
      </c>
      <c r="I28" s="74">
        <v>8686.96</v>
      </c>
      <c r="J28" s="74">
        <v>1791.38</v>
      </c>
      <c r="K28" s="74">
        <v>6017.84</v>
      </c>
      <c r="L28" s="74">
        <v>1241.14</v>
      </c>
      <c r="M28" s="74">
        <v>2135.21</v>
      </c>
      <c r="N28" s="75">
        <v>440.23</v>
      </c>
      <c r="O28" s="81">
        <v>0</v>
      </c>
      <c r="P28" s="81">
        <v>0</v>
      </c>
      <c r="Q28" s="81"/>
      <c r="R28" s="81"/>
      <c r="S28" s="80">
        <f aca="true" t="shared" si="22" ref="S28:S39">E28+G28+I28+K28+M28+O28+Q28</f>
        <v>23124.86</v>
      </c>
      <c r="T28" s="93">
        <f aca="true" t="shared" si="23" ref="T28:T39">P28+N28+L28+J28+H28+F28+R28</f>
        <v>4768.87</v>
      </c>
      <c r="U28" s="80">
        <v>1927.88</v>
      </c>
      <c r="V28" s="80">
        <v>2609.12</v>
      </c>
      <c r="W28" s="80">
        <v>6268.55</v>
      </c>
      <c r="X28" s="80">
        <v>4342.54</v>
      </c>
      <c r="Y28" s="80">
        <v>1540.81</v>
      </c>
      <c r="Z28" s="80">
        <v>0</v>
      </c>
      <c r="AA28" s="81">
        <v>0</v>
      </c>
      <c r="AB28" s="81">
        <f>SUM(U28:AA28)</f>
        <v>16688.9</v>
      </c>
      <c r="AC28" s="169">
        <f aca="true" t="shared" si="24" ref="AC28:AC39">D28+T28+AB28</f>
        <v>24681.550000000003</v>
      </c>
      <c r="AD28" s="85">
        <f aca="true" t="shared" si="25" ref="AD28:AD39">P28+Z28</f>
        <v>0</v>
      </c>
      <c r="AE28" s="85">
        <f aca="true" t="shared" si="26" ref="AE28:AE39">R28+AA28</f>
        <v>0</v>
      </c>
      <c r="AF28" s="85">
        <f>'[5]Т01-10'!$I$63+'[5]Т01-10'!$I$89</f>
        <v>2223.5678399999997</v>
      </c>
      <c r="AG28" s="86">
        <f aca="true" t="shared" si="27" ref="AG28:AG39">0.6*B28</f>
        <v>2158.44</v>
      </c>
      <c r="AH28" s="86">
        <f aca="true" t="shared" si="28" ref="AH28:AH39">B28*0.2</f>
        <v>719.48</v>
      </c>
      <c r="AI28" s="86">
        <f aca="true" t="shared" si="29" ref="AI28:AI39">1*B28</f>
        <v>3597.4</v>
      </c>
      <c r="AJ28" s="86">
        <v>0</v>
      </c>
      <c r="AK28" s="86">
        <f aca="true" t="shared" si="30" ref="AK28:AK39">0.98*B28</f>
        <v>3525.452</v>
      </c>
      <c r="AL28" s="86">
        <v>0</v>
      </c>
      <c r="AM28" s="86">
        <f aca="true" t="shared" si="31" ref="AM28:AM39">2.25*B28</f>
        <v>8094.150000000001</v>
      </c>
      <c r="AN28" s="86">
        <v>0</v>
      </c>
      <c r="AO28" s="86"/>
      <c r="AP28" s="86">
        <v>0</v>
      </c>
      <c r="AQ28" s="88"/>
      <c r="AR28" s="88"/>
      <c r="AS28" s="87">
        <v>4480</v>
      </c>
      <c r="AT28" s="87"/>
      <c r="AU28" s="87">
        <f>AT28*0.18</f>
        <v>0</v>
      </c>
      <c r="AV28" s="167"/>
      <c r="AW28" s="168">
        <v>926</v>
      </c>
      <c r="AX28" s="86">
        <f aca="true" t="shared" si="32" ref="AX28:AX38">AW28*1.4</f>
        <v>1296.3999999999999</v>
      </c>
      <c r="AY28" s="50"/>
      <c r="AZ28" s="89"/>
      <c r="BA28" s="89">
        <f aca="true" t="shared" si="33" ref="BA28:BA39">AZ28*0.18</f>
        <v>0</v>
      </c>
      <c r="BB28" s="89">
        <f aca="true" t="shared" si="34" ref="BB28:BB39">SUM(AG28:BA28)-AV28-AW28</f>
        <v>23871.322000000004</v>
      </c>
      <c r="BC28" s="90">
        <f>'[5]Т03-10'!$M$64+'[5]Т03-10'!$M$90</f>
        <v>919.434</v>
      </c>
      <c r="BD28" s="141">
        <f aca="true" t="shared" si="35" ref="BD28:BD39">AC28+AF28-BB28-BC28</f>
        <v>2114.3618399999987</v>
      </c>
      <c r="BE28" s="145">
        <f aca="true" t="shared" si="36" ref="BE28:BE39">AB28-S28</f>
        <v>-6435.959999999999</v>
      </c>
    </row>
    <row r="29" spans="1:57" ht="12.75">
      <c r="A29" s="72" t="s">
        <v>46</v>
      </c>
      <c r="B29" s="175">
        <v>3597.4</v>
      </c>
      <c r="C29" s="54">
        <f t="shared" si="20"/>
        <v>31117.510000000002</v>
      </c>
      <c r="D29" s="53">
        <f t="shared" si="21"/>
        <v>3235.809999999999</v>
      </c>
      <c r="E29" s="74">
        <v>2649.11</v>
      </c>
      <c r="F29" s="74">
        <v>568.84</v>
      </c>
      <c r="G29" s="74">
        <v>3588.7</v>
      </c>
      <c r="H29" s="74">
        <v>771.06</v>
      </c>
      <c r="I29" s="74">
        <v>8621.92</v>
      </c>
      <c r="J29" s="74">
        <v>1851.89</v>
      </c>
      <c r="K29" s="74">
        <v>5972.81</v>
      </c>
      <c r="L29" s="74">
        <v>1283.06</v>
      </c>
      <c r="M29" s="74">
        <v>2119.22</v>
      </c>
      <c r="N29" s="75">
        <v>455.09</v>
      </c>
      <c r="O29" s="81">
        <v>0</v>
      </c>
      <c r="P29" s="81">
        <v>0</v>
      </c>
      <c r="Q29" s="81">
        <v>0</v>
      </c>
      <c r="R29" s="81">
        <v>0</v>
      </c>
      <c r="S29" s="80">
        <f t="shared" si="22"/>
        <v>22951.760000000002</v>
      </c>
      <c r="T29" s="93">
        <f t="shared" si="23"/>
        <v>4929.9400000000005</v>
      </c>
      <c r="U29" s="80">
        <v>2127.86</v>
      </c>
      <c r="V29" s="80">
        <v>2885.33</v>
      </c>
      <c r="W29" s="80">
        <v>6931.61</v>
      </c>
      <c r="X29" s="80">
        <v>4801.82</v>
      </c>
      <c r="Y29" s="80">
        <v>1703.71</v>
      </c>
      <c r="Z29" s="80">
        <v>0</v>
      </c>
      <c r="AA29" s="81">
        <v>0</v>
      </c>
      <c r="AB29" s="81">
        <f>SUM(U29:AA29)</f>
        <v>18450.329999999998</v>
      </c>
      <c r="AC29" s="169">
        <f t="shared" si="24"/>
        <v>26616.079999999998</v>
      </c>
      <c r="AD29" s="85">
        <f t="shared" si="25"/>
        <v>0</v>
      </c>
      <c r="AE29" s="85">
        <f t="shared" si="26"/>
        <v>0</v>
      </c>
      <c r="AF29" s="85">
        <f>'[5]Т01-10'!$I$63+'[5]Т01-10'!$I$89</f>
        <v>2223.5678399999997</v>
      </c>
      <c r="AG29" s="86">
        <f t="shared" si="27"/>
        <v>2158.44</v>
      </c>
      <c r="AH29" s="86">
        <f t="shared" si="28"/>
        <v>719.48</v>
      </c>
      <c r="AI29" s="86">
        <f t="shared" si="29"/>
        <v>3597.4</v>
      </c>
      <c r="AJ29" s="86">
        <v>0</v>
      </c>
      <c r="AK29" s="86">
        <f t="shared" si="30"/>
        <v>3525.452</v>
      </c>
      <c r="AL29" s="86">
        <v>0</v>
      </c>
      <c r="AM29" s="86">
        <f t="shared" si="31"/>
        <v>8094.150000000001</v>
      </c>
      <c r="AN29" s="86">
        <v>0</v>
      </c>
      <c r="AO29" s="86"/>
      <c r="AP29" s="86"/>
      <c r="AQ29" s="88"/>
      <c r="AR29" s="88"/>
      <c r="AS29" s="87">
        <v>7712</v>
      </c>
      <c r="AT29" s="87"/>
      <c r="AU29" s="87">
        <f>AT29*0.18</f>
        <v>0</v>
      </c>
      <c r="AV29" s="167"/>
      <c r="AW29" s="168">
        <v>789</v>
      </c>
      <c r="AX29" s="86">
        <f t="shared" si="32"/>
        <v>1104.6</v>
      </c>
      <c r="AY29" s="50"/>
      <c r="AZ29" s="89"/>
      <c r="BA29" s="89">
        <f t="shared" si="33"/>
        <v>0</v>
      </c>
      <c r="BB29" s="89">
        <f t="shared" si="34"/>
        <v>26911.522</v>
      </c>
      <c r="BC29" s="90">
        <f>'[5]Т03-10'!$M$64+'[5]Т03-10'!$M$90</f>
        <v>919.434</v>
      </c>
      <c r="BD29" s="141">
        <f t="shared" si="35"/>
        <v>1008.691839999997</v>
      </c>
      <c r="BE29" s="145">
        <f t="shared" si="36"/>
        <v>-4501.430000000004</v>
      </c>
    </row>
    <row r="30" spans="1:57" ht="12.75">
      <c r="A30" s="72" t="s">
        <v>47</v>
      </c>
      <c r="B30" s="73">
        <v>3597.4</v>
      </c>
      <c r="C30" s="54">
        <f t="shared" si="20"/>
        <v>31117.510000000002</v>
      </c>
      <c r="D30" s="53">
        <f t="shared" si="21"/>
        <v>3208.610000000001</v>
      </c>
      <c r="E30" s="74">
        <v>2635.84</v>
      </c>
      <c r="F30" s="74">
        <v>585.31</v>
      </c>
      <c r="G30" s="74">
        <v>3570.63</v>
      </c>
      <c r="H30" s="74">
        <v>793.37</v>
      </c>
      <c r="I30" s="74">
        <v>8578.53</v>
      </c>
      <c r="J30" s="74">
        <v>1905.48</v>
      </c>
      <c r="K30" s="74">
        <v>5942.69</v>
      </c>
      <c r="L30" s="74">
        <v>1320.19</v>
      </c>
      <c r="M30" s="74">
        <v>2108.59</v>
      </c>
      <c r="N30" s="75">
        <v>468.27</v>
      </c>
      <c r="O30" s="81">
        <v>0</v>
      </c>
      <c r="P30" s="81">
        <v>0</v>
      </c>
      <c r="Q30" s="81">
        <v>0</v>
      </c>
      <c r="R30" s="81">
        <v>0</v>
      </c>
      <c r="S30" s="80">
        <f t="shared" si="22"/>
        <v>22836.28</v>
      </c>
      <c r="T30" s="93">
        <f t="shared" si="23"/>
        <v>5072.620000000001</v>
      </c>
      <c r="U30" s="80">
        <v>3092.39</v>
      </c>
      <c r="V30" s="80">
        <v>4186.86</v>
      </c>
      <c r="W30" s="80">
        <v>10062.32</v>
      </c>
      <c r="X30" s="80">
        <v>6970.11</v>
      </c>
      <c r="Y30" s="80">
        <v>2473.89</v>
      </c>
      <c r="Z30" s="80">
        <v>0</v>
      </c>
      <c r="AA30" s="81">
        <v>0</v>
      </c>
      <c r="AB30" s="81">
        <f>SUM(U30:AA30)</f>
        <v>26785.57</v>
      </c>
      <c r="AC30" s="169">
        <f t="shared" si="24"/>
        <v>35066.8</v>
      </c>
      <c r="AD30" s="85">
        <f t="shared" si="25"/>
        <v>0</v>
      </c>
      <c r="AE30" s="85">
        <f t="shared" si="26"/>
        <v>0</v>
      </c>
      <c r="AF30" s="85">
        <f>'[5]Т01-10'!$I$63+'[5]Т01-10'!$I$89</f>
        <v>2223.5678399999997</v>
      </c>
      <c r="AG30" s="86">
        <f t="shared" si="27"/>
        <v>2158.44</v>
      </c>
      <c r="AH30" s="86">
        <f t="shared" si="28"/>
        <v>719.48</v>
      </c>
      <c r="AI30" s="86">
        <f t="shared" si="29"/>
        <v>3597.4</v>
      </c>
      <c r="AJ30" s="86">
        <v>0</v>
      </c>
      <c r="AK30" s="86">
        <f t="shared" si="30"/>
        <v>3525.452</v>
      </c>
      <c r="AL30" s="86">
        <v>0</v>
      </c>
      <c r="AM30" s="86">
        <f t="shared" si="31"/>
        <v>8094.150000000001</v>
      </c>
      <c r="AN30" s="86">
        <v>0</v>
      </c>
      <c r="AO30" s="86"/>
      <c r="AP30" s="86"/>
      <c r="AQ30" s="88"/>
      <c r="AR30" s="88"/>
      <c r="AS30" s="87">
        <v>735</v>
      </c>
      <c r="AT30" s="87"/>
      <c r="AU30" s="87">
        <f>AT30*0.18</f>
        <v>0</v>
      </c>
      <c r="AV30" s="167"/>
      <c r="AW30" s="168">
        <v>743</v>
      </c>
      <c r="AX30" s="86">
        <f t="shared" si="32"/>
        <v>1040.2</v>
      </c>
      <c r="AY30" s="50"/>
      <c r="AZ30" s="89"/>
      <c r="BA30" s="89">
        <f t="shared" si="33"/>
        <v>0</v>
      </c>
      <c r="BB30" s="89">
        <f t="shared" si="34"/>
        <v>19870.122000000003</v>
      </c>
      <c r="BC30" s="90">
        <f>'[5]Т03-10'!$M$64+'[5]Т03-10'!$M$90</f>
        <v>919.434</v>
      </c>
      <c r="BD30" s="141">
        <f t="shared" si="35"/>
        <v>16500.811840000002</v>
      </c>
      <c r="BE30" s="145">
        <f t="shared" si="36"/>
        <v>3949.290000000001</v>
      </c>
    </row>
    <row r="31" spans="1:57" ht="12.75">
      <c r="A31" s="72" t="s">
        <v>48</v>
      </c>
      <c r="B31" s="73">
        <v>3597.4</v>
      </c>
      <c r="C31" s="54">
        <f t="shared" si="20"/>
        <v>31117.510000000002</v>
      </c>
      <c r="D31" s="53">
        <f t="shared" si="21"/>
        <v>3206.670000000007</v>
      </c>
      <c r="E31" s="74">
        <v>2628.37</v>
      </c>
      <c r="F31" s="74">
        <v>593.01</v>
      </c>
      <c r="G31" s="74">
        <v>3560.42</v>
      </c>
      <c r="H31" s="74">
        <v>803.81</v>
      </c>
      <c r="I31" s="74">
        <v>8554.23</v>
      </c>
      <c r="J31" s="74">
        <v>1930.55</v>
      </c>
      <c r="K31" s="74">
        <v>5925.84</v>
      </c>
      <c r="L31" s="74">
        <v>1337.56</v>
      </c>
      <c r="M31" s="74">
        <v>2102.62</v>
      </c>
      <c r="N31" s="75">
        <v>474.43</v>
      </c>
      <c r="O31" s="81">
        <v>0</v>
      </c>
      <c r="P31" s="81">
        <v>0</v>
      </c>
      <c r="Q31" s="81"/>
      <c r="R31" s="81"/>
      <c r="S31" s="80">
        <f t="shared" si="22"/>
        <v>22771.48</v>
      </c>
      <c r="T31" s="93">
        <f t="shared" si="23"/>
        <v>5139.360000000001</v>
      </c>
      <c r="U31" s="80">
        <v>2236.89</v>
      </c>
      <c r="V31" s="80">
        <v>3020.09</v>
      </c>
      <c r="W31" s="80">
        <v>7270.27</v>
      </c>
      <c r="X31" s="80">
        <v>5033.38</v>
      </c>
      <c r="Y31" s="80">
        <v>1789.74</v>
      </c>
      <c r="Z31" s="80">
        <v>0</v>
      </c>
      <c r="AA31" s="81">
        <v>0</v>
      </c>
      <c r="AB31" s="81">
        <f>SUM(U31:AA31)</f>
        <v>19350.370000000003</v>
      </c>
      <c r="AC31" s="169">
        <f t="shared" si="24"/>
        <v>27696.40000000001</v>
      </c>
      <c r="AD31" s="85">
        <f t="shared" si="25"/>
        <v>0</v>
      </c>
      <c r="AE31" s="85">
        <f t="shared" si="26"/>
        <v>0</v>
      </c>
      <c r="AF31" s="85">
        <f>'[13]Т04-10'!$I$64+'[13]Т04-10'!$I$90</f>
        <v>2223.5678399999997</v>
      </c>
      <c r="AG31" s="86">
        <f t="shared" si="27"/>
        <v>2158.44</v>
      </c>
      <c r="AH31" s="86">
        <f t="shared" si="28"/>
        <v>719.48</v>
      </c>
      <c r="AI31" s="86">
        <f t="shared" si="29"/>
        <v>3597.4</v>
      </c>
      <c r="AJ31" s="86">
        <v>0</v>
      </c>
      <c r="AK31" s="86">
        <f t="shared" si="30"/>
        <v>3525.452</v>
      </c>
      <c r="AL31" s="86">
        <v>0</v>
      </c>
      <c r="AM31" s="86">
        <f t="shared" si="31"/>
        <v>8094.150000000001</v>
      </c>
      <c r="AN31" s="86">
        <v>0</v>
      </c>
      <c r="AO31" s="86">
        <v>4769.28</v>
      </c>
      <c r="AP31" s="86"/>
      <c r="AQ31" s="88"/>
      <c r="AR31" s="88"/>
      <c r="AS31" s="87">
        <v>3208</v>
      </c>
      <c r="AT31" s="87"/>
      <c r="AU31" s="87">
        <f>AT31*0</f>
        <v>0</v>
      </c>
      <c r="AV31" s="167"/>
      <c r="AW31" s="168">
        <v>566</v>
      </c>
      <c r="AX31" s="86">
        <f t="shared" si="32"/>
        <v>792.4</v>
      </c>
      <c r="AY31" s="50"/>
      <c r="AZ31" s="89"/>
      <c r="BA31" s="89">
        <f t="shared" si="33"/>
        <v>0</v>
      </c>
      <c r="BB31" s="89">
        <f t="shared" si="34"/>
        <v>26864.602000000003</v>
      </c>
      <c r="BC31" s="90">
        <f>'[13]Т04-10'!$M$64+'[13]Т04-10'!$M$90</f>
        <v>919.434</v>
      </c>
      <c r="BD31" s="141">
        <f t="shared" si="35"/>
        <v>2135.9318400000056</v>
      </c>
      <c r="BE31" s="145">
        <f t="shared" si="36"/>
        <v>-3421.109999999997</v>
      </c>
    </row>
    <row r="32" spans="1:57" ht="12.75">
      <c r="A32" s="72" t="s">
        <v>49</v>
      </c>
      <c r="B32" s="73">
        <v>3599.5</v>
      </c>
      <c r="C32" s="54">
        <f t="shared" si="20"/>
        <v>31135.675000000003</v>
      </c>
      <c r="D32" s="53">
        <f t="shared" si="21"/>
        <v>3235.0950000000053</v>
      </c>
      <c r="E32" s="74">
        <v>2612.76</v>
      </c>
      <c r="F32" s="74">
        <v>607.36</v>
      </c>
      <c r="G32" s="74">
        <v>3539.42</v>
      </c>
      <c r="H32" s="74">
        <v>823.26</v>
      </c>
      <c r="I32" s="74">
        <v>8503.64</v>
      </c>
      <c r="J32" s="74">
        <v>1977.3</v>
      </c>
      <c r="K32" s="74">
        <v>5890.79</v>
      </c>
      <c r="L32" s="74">
        <v>1369.96</v>
      </c>
      <c r="M32" s="74">
        <v>2090.18</v>
      </c>
      <c r="N32" s="75">
        <v>485.91</v>
      </c>
      <c r="O32" s="81">
        <v>0</v>
      </c>
      <c r="P32" s="81">
        <v>0</v>
      </c>
      <c r="Q32" s="81"/>
      <c r="R32" s="81"/>
      <c r="S32" s="80">
        <f t="shared" si="22"/>
        <v>22636.79</v>
      </c>
      <c r="T32" s="93">
        <f t="shared" si="23"/>
        <v>5263.79</v>
      </c>
      <c r="U32" s="56">
        <v>2336.52</v>
      </c>
      <c r="V32" s="56">
        <v>3165.36</v>
      </c>
      <c r="W32" s="56">
        <v>7604.64</v>
      </c>
      <c r="X32" s="56">
        <v>5268.1</v>
      </c>
      <c r="Y32" s="56">
        <v>1869.13</v>
      </c>
      <c r="Z32" s="56">
        <v>0</v>
      </c>
      <c r="AA32" s="57">
        <v>0</v>
      </c>
      <c r="AB32" s="81">
        <f aca="true" t="shared" si="37" ref="AB32:AB39">SUM(U32:AA32)</f>
        <v>20243.750000000004</v>
      </c>
      <c r="AC32" s="169">
        <f t="shared" si="24"/>
        <v>28742.63500000001</v>
      </c>
      <c r="AD32" s="85">
        <f t="shared" si="25"/>
        <v>0</v>
      </c>
      <c r="AE32" s="85">
        <f t="shared" si="26"/>
        <v>0</v>
      </c>
      <c r="AF32" s="85">
        <f>'[13]Т04-10'!$I$64+'[13]Т04-10'!$I$90</f>
        <v>2223.5678399999997</v>
      </c>
      <c r="AG32" s="86">
        <f t="shared" si="27"/>
        <v>2159.7</v>
      </c>
      <c r="AH32" s="86">
        <f t="shared" si="28"/>
        <v>719.9000000000001</v>
      </c>
      <c r="AI32" s="86">
        <f t="shared" si="29"/>
        <v>3599.5</v>
      </c>
      <c r="AJ32" s="86">
        <v>0</v>
      </c>
      <c r="AK32" s="86">
        <f t="shared" si="30"/>
        <v>3527.5099999999998</v>
      </c>
      <c r="AL32" s="86">
        <v>0</v>
      </c>
      <c r="AM32" s="86">
        <f t="shared" si="31"/>
        <v>8098.875</v>
      </c>
      <c r="AN32" s="86">
        <v>0</v>
      </c>
      <c r="AO32" s="86"/>
      <c r="AP32" s="86"/>
      <c r="AQ32" s="88"/>
      <c r="AR32" s="88"/>
      <c r="AS32" s="87">
        <v>2881</v>
      </c>
      <c r="AT32" s="87">
        <v>766.27</v>
      </c>
      <c r="AU32" s="87">
        <f>385*0</f>
        <v>0</v>
      </c>
      <c r="AV32" s="167"/>
      <c r="AW32" s="168">
        <v>532</v>
      </c>
      <c r="AX32" s="86">
        <f t="shared" si="32"/>
        <v>744.8</v>
      </c>
      <c r="AY32" s="50"/>
      <c r="AZ32" s="89"/>
      <c r="BA32" s="89">
        <f t="shared" si="33"/>
        <v>0</v>
      </c>
      <c r="BB32" s="89">
        <f t="shared" si="34"/>
        <v>22497.555</v>
      </c>
      <c r="BC32" s="90">
        <f>'[13]Т04-10'!$M$64+'[13]Т04-10'!$M$90</f>
        <v>919.434</v>
      </c>
      <c r="BD32" s="141">
        <f t="shared" si="35"/>
        <v>7549.2138400000085</v>
      </c>
      <c r="BE32" s="145">
        <f t="shared" si="36"/>
        <v>-2393.0399999999972</v>
      </c>
    </row>
    <row r="33" spans="1:57" ht="12.75">
      <c r="A33" s="72" t="s">
        <v>50</v>
      </c>
      <c r="B33" s="73">
        <v>3599.5</v>
      </c>
      <c r="C33" s="54">
        <f t="shared" si="20"/>
        <v>31135.675000000003</v>
      </c>
      <c r="D33" s="53">
        <f t="shared" si="21"/>
        <v>3221.8250000000044</v>
      </c>
      <c r="E33" s="74">
        <v>2628.17</v>
      </c>
      <c r="F33" s="74">
        <v>593.5</v>
      </c>
      <c r="G33" s="74">
        <v>3560.23</v>
      </c>
      <c r="H33" s="74">
        <v>804.48</v>
      </c>
      <c r="I33" s="74">
        <v>8553.76</v>
      </c>
      <c r="J33" s="74">
        <v>1932.17</v>
      </c>
      <c r="K33" s="74">
        <v>5925.5</v>
      </c>
      <c r="L33" s="74">
        <v>1338.69</v>
      </c>
      <c r="M33" s="74">
        <v>2102.53</v>
      </c>
      <c r="N33" s="75">
        <v>474.82</v>
      </c>
      <c r="O33" s="81">
        <v>0</v>
      </c>
      <c r="P33" s="81">
        <v>0</v>
      </c>
      <c r="Q33" s="81">
        <v>0</v>
      </c>
      <c r="R33" s="81">
        <v>0</v>
      </c>
      <c r="S33" s="80">
        <f t="shared" si="22"/>
        <v>22770.19</v>
      </c>
      <c r="T33" s="93">
        <f t="shared" si="23"/>
        <v>5143.66</v>
      </c>
      <c r="U33" s="80">
        <v>2077.96</v>
      </c>
      <c r="V33" s="80">
        <v>2815.49</v>
      </c>
      <c r="W33" s="80">
        <v>6763.77</v>
      </c>
      <c r="X33" s="80">
        <v>4685.5</v>
      </c>
      <c r="Y33" s="80">
        <v>1662.36</v>
      </c>
      <c r="Z33" s="80">
        <v>0</v>
      </c>
      <c r="AA33" s="81">
        <v>0</v>
      </c>
      <c r="AB33" s="81">
        <f t="shared" si="37"/>
        <v>18005.08</v>
      </c>
      <c r="AC33" s="169">
        <f t="shared" si="24"/>
        <v>26370.565000000006</v>
      </c>
      <c r="AD33" s="85">
        <f t="shared" si="25"/>
        <v>0</v>
      </c>
      <c r="AE33" s="85">
        <f t="shared" si="26"/>
        <v>0</v>
      </c>
      <c r="AF33" s="85">
        <f>'[6]Т06-10'!$I$62+'[6]Т06-10'!$I$88</f>
        <v>2223.5678399999997</v>
      </c>
      <c r="AG33" s="86">
        <f t="shared" si="27"/>
        <v>2159.7</v>
      </c>
      <c r="AH33" s="86">
        <f t="shared" si="28"/>
        <v>719.9000000000001</v>
      </c>
      <c r="AI33" s="86">
        <f t="shared" si="29"/>
        <v>3599.5</v>
      </c>
      <c r="AJ33" s="86">
        <v>0</v>
      </c>
      <c r="AK33" s="86">
        <f t="shared" si="30"/>
        <v>3527.5099999999998</v>
      </c>
      <c r="AL33" s="86">
        <v>0</v>
      </c>
      <c r="AM33" s="86">
        <f t="shared" si="31"/>
        <v>8098.875</v>
      </c>
      <c r="AN33" s="86">
        <v>0</v>
      </c>
      <c r="AO33" s="86"/>
      <c r="AP33" s="86"/>
      <c r="AQ33" s="88"/>
      <c r="AR33" s="88"/>
      <c r="AS33" s="87">
        <v>4693</v>
      </c>
      <c r="AT33" s="87"/>
      <c r="AU33" s="87">
        <f>AT33*0</f>
        <v>0</v>
      </c>
      <c r="AV33" s="167"/>
      <c r="AW33" s="168">
        <v>429</v>
      </c>
      <c r="AX33" s="86">
        <f t="shared" si="32"/>
        <v>600.5999999999999</v>
      </c>
      <c r="AY33" s="50"/>
      <c r="AZ33" s="89"/>
      <c r="BA33" s="89">
        <f t="shared" si="33"/>
        <v>0</v>
      </c>
      <c r="BB33" s="89">
        <f t="shared" si="34"/>
        <v>23399.085</v>
      </c>
      <c r="BC33" s="90">
        <f>'[13]Т06-10'!$M$62+'[13]Т06-10'!$M$88</f>
        <v>919.434</v>
      </c>
      <c r="BD33" s="141">
        <f t="shared" si="35"/>
        <v>4275.613840000006</v>
      </c>
      <c r="BE33" s="145">
        <f t="shared" si="36"/>
        <v>-4765.109999999997</v>
      </c>
    </row>
    <row r="34" spans="1:57" ht="12.75">
      <c r="A34" s="72" t="s">
        <v>51</v>
      </c>
      <c r="B34" s="73">
        <v>3599.5</v>
      </c>
      <c r="C34" s="54">
        <f t="shared" si="20"/>
        <v>31135.675000000003</v>
      </c>
      <c r="D34" s="53">
        <f t="shared" si="21"/>
        <v>3245.7350000000024</v>
      </c>
      <c r="E34" s="188">
        <v>3218.86</v>
      </c>
      <c r="F34" s="74">
        <v>0</v>
      </c>
      <c r="G34" s="74">
        <v>4361.05</v>
      </c>
      <c r="H34" s="74">
        <v>0</v>
      </c>
      <c r="I34" s="74">
        <v>10476.94</v>
      </c>
      <c r="J34" s="74">
        <v>0</v>
      </c>
      <c r="K34" s="74">
        <v>7258</v>
      </c>
      <c r="L34" s="74">
        <v>0</v>
      </c>
      <c r="M34" s="74">
        <v>2575.09</v>
      </c>
      <c r="N34" s="75">
        <v>0</v>
      </c>
      <c r="O34" s="81">
        <v>0</v>
      </c>
      <c r="P34" s="81">
        <v>0</v>
      </c>
      <c r="Q34" s="81"/>
      <c r="R34" s="81"/>
      <c r="S34" s="80">
        <f t="shared" si="22"/>
        <v>27889.94</v>
      </c>
      <c r="T34" s="93">
        <f t="shared" si="23"/>
        <v>0</v>
      </c>
      <c r="U34" s="94">
        <v>2484.44</v>
      </c>
      <c r="V34" s="80">
        <v>3365.31</v>
      </c>
      <c r="W34" s="80">
        <v>8085.61</v>
      </c>
      <c r="X34" s="80">
        <v>5601.15</v>
      </c>
      <c r="Y34" s="80">
        <v>1987.59</v>
      </c>
      <c r="Z34" s="80">
        <v>0</v>
      </c>
      <c r="AA34" s="81">
        <v>0</v>
      </c>
      <c r="AB34" s="81">
        <f t="shared" si="37"/>
        <v>21524.100000000002</v>
      </c>
      <c r="AC34" s="169">
        <f t="shared" si="24"/>
        <v>24769.835000000006</v>
      </c>
      <c r="AD34" s="85">
        <f t="shared" si="25"/>
        <v>0</v>
      </c>
      <c r="AE34" s="85">
        <f t="shared" si="26"/>
        <v>0</v>
      </c>
      <c r="AF34" s="85">
        <f>'[6]Т07-10'!$I$62+'[6]Т07-10'!$I$87</f>
        <v>2223.5678399999997</v>
      </c>
      <c r="AG34" s="86">
        <f t="shared" si="27"/>
        <v>2159.7</v>
      </c>
      <c r="AH34" s="86">
        <f t="shared" si="28"/>
        <v>719.9000000000001</v>
      </c>
      <c r="AI34" s="86">
        <f t="shared" si="29"/>
        <v>3599.5</v>
      </c>
      <c r="AJ34" s="86">
        <v>0</v>
      </c>
      <c r="AK34" s="86">
        <f t="shared" si="30"/>
        <v>3527.5099999999998</v>
      </c>
      <c r="AL34" s="86">
        <v>0</v>
      </c>
      <c r="AM34" s="86">
        <f t="shared" si="31"/>
        <v>8098.875</v>
      </c>
      <c r="AN34" s="86">
        <v>0</v>
      </c>
      <c r="AO34" s="86"/>
      <c r="AP34" s="86"/>
      <c r="AQ34" s="88"/>
      <c r="AR34" s="88"/>
      <c r="AS34" s="87"/>
      <c r="AT34" s="87">
        <v>25.6</v>
      </c>
      <c r="AU34" s="87">
        <f>0*0.18</f>
        <v>0</v>
      </c>
      <c r="AV34" s="167"/>
      <c r="AW34" s="168">
        <v>467</v>
      </c>
      <c r="AX34" s="86">
        <f t="shared" si="32"/>
        <v>653.8</v>
      </c>
      <c r="AY34" s="50"/>
      <c r="AZ34" s="89"/>
      <c r="BA34" s="89">
        <f t="shared" si="33"/>
        <v>0</v>
      </c>
      <c r="BB34" s="89">
        <f t="shared" si="34"/>
        <v>18784.885</v>
      </c>
      <c r="BC34" s="90">
        <f>'[13]Т06-10'!$M$62+'[13]Т06-10'!$M$88</f>
        <v>919.434</v>
      </c>
      <c r="BD34" s="141">
        <f t="shared" si="35"/>
        <v>7289.0838400000075</v>
      </c>
      <c r="BE34" s="145">
        <f t="shared" si="36"/>
        <v>-6365.8399999999965</v>
      </c>
    </row>
    <row r="35" spans="1:57" ht="12.75">
      <c r="A35" s="72" t="s">
        <v>52</v>
      </c>
      <c r="B35" s="73">
        <v>3599.5</v>
      </c>
      <c r="C35" s="54">
        <f t="shared" si="20"/>
        <v>31135.675000000003</v>
      </c>
      <c r="D35" s="203">
        <v>3209.89</v>
      </c>
      <c r="E35" s="188">
        <v>3223.08</v>
      </c>
      <c r="F35" s="74">
        <v>0</v>
      </c>
      <c r="G35" s="74">
        <v>4366.53</v>
      </c>
      <c r="H35" s="74">
        <v>0</v>
      </c>
      <c r="I35" s="74">
        <v>10490.43</v>
      </c>
      <c r="J35" s="74">
        <v>0</v>
      </c>
      <c r="K35" s="74">
        <v>7267.28</v>
      </c>
      <c r="L35" s="74">
        <v>0</v>
      </c>
      <c r="M35" s="74">
        <v>2578.48</v>
      </c>
      <c r="N35" s="75">
        <v>0</v>
      </c>
      <c r="O35" s="81">
        <v>0</v>
      </c>
      <c r="P35" s="81">
        <v>0</v>
      </c>
      <c r="Q35" s="81"/>
      <c r="R35" s="81"/>
      <c r="S35" s="80">
        <f t="shared" si="22"/>
        <v>27925.8</v>
      </c>
      <c r="T35" s="93">
        <f t="shared" si="23"/>
        <v>0</v>
      </c>
      <c r="U35" s="56">
        <v>2973.19</v>
      </c>
      <c r="V35" s="56">
        <v>4027.98</v>
      </c>
      <c r="W35" s="56">
        <v>9677.16</v>
      </c>
      <c r="X35" s="56">
        <v>6703.95</v>
      </c>
      <c r="Y35" s="56">
        <v>2378.56</v>
      </c>
      <c r="Z35" s="56">
        <v>0</v>
      </c>
      <c r="AA35" s="57">
        <v>0</v>
      </c>
      <c r="AB35" s="81">
        <f t="shared" si="37"/>
        <v>25760.840000000004</v>
      </c>
      <c r="AC35" s="169">
        <f t="shared" si="24"/>
        <v>28970.730000000003</v>
      </c>
      <c r="AD35" s="85">
        <f t="shared" si="25"/>
        <v>0</v>
      </c>
      <c r="AE35" s="85">
        <f t="shared" si="26"/>
        <v>0</v>
      </c>
      <c r="AF35" s="85">
        <f>'[6]Т07-10'!$I$62+'[6]Т07-10'!$I$87</f>
        <v>2223.5678399999997</v>
      </c>
      <c r="AG35" s="86">
        <f t="shared" si="27"/>
        <v>2159.7</v>
      </c>
      <c r="AH35" s="86">
        <f t="shared" si="28"/>
        <v>719.9000000000001</v>
      </c>
      <c r="AI35" s="86">
        <f t="shared" si="29"/>
        <v>3599.5</v>
      </c>
      <c r="AJ35" s="86">
        <v>0</v>
      </c>
      <c r="AK35" s="86">
        <f t="shared" si="30"/>
        <v>3527.5099999999998</v>
      </c>
      <c r="AL35" s="86">
        <v>0</v>
      </c>
      <c r="AM35" s="86">
        <f t="shared" si="31"/>
        <v>8098.875</v>
      </c>
      <c r="AN35" s="86">
        <v>0</v>
      </c>
      <c r="AO35" s="86"/>
      <c r="AP35" s="86"/>
      <c r="AQ35" s="88"/>
      <c r="AR35" s="88"/>
      <c r="AS35" s="87">
        <v>4043</v>
      </c>
      <c r="AT35" s="87">
        <f>47.8</f>
        <v>47.8</v>
      </c>
      <c r="AU35" s="87">
        <f>0*0.18</f>
        <v>0</v>
      </c>
      <c r="AV35" s="167"/>
      <c r="AW35" s="168">
        <v>453</v>
      </c>
      <c r="AX35" s="86">
        <f t="shared" si="32"/>
        <v>634.1999999999999</v>
      </c>
      <c r="AY35" s="50"/>
      <c r="AZ35" s="89"/>
      <c r="BA35" s="89">
        <f t="shared" si="33"/>
        <v>0</v>
      </c>
      <c r="BB35" s="89">
        <f>SUM(AG35:BA35)-AV35-AW35</f>
        <v>22830.485</v>
      </c>
      <c r="BC35" s="90">
        <f>'[13]Т06-10'!$M$62+'[13]Т06-10'!$M$88</f>
        <v>919.434</v>
      </c>
      <c r="BD35" s="141">
        <f t="shared" si="35"/>
        <v>7444.378840000002</v>
      </c>
      <c r="BE35" s="145">
        <f t="shared" si="36"/>
        <v>-2164.9599999999955</v>
      </c>
    </row>
    <row r="36" spans="1:57" ht="12.75">
      <c r="A36" s="72" t="s">
        <v>53</v>
      </c>
      <c r="B36" s="73">
        <v>3599.5</v>
      </c>
      <c r="C36" s="54">
        <f t="shared" si="20"/>
        <v>31135.675000000003</v>
      </c>
      <c r="D36" s="203">
        <v>53220.49</v>
      </c>
      <c r="E36" s="74">
        <v>3221.86</v>
      </c>
      <c r="F36" s="74">
        <v>0</v>
      </c>
      <c r="G36" s="74">
        <v>4364.86</v>
      </c>
      <c r="H36" s="74">
        <v>0</v>
      </c>
      <c r="I36" s="74">
        <v>10486.45</v>
      </c>
      <c r="J36" s="74">
        <v>0</v>
      </c>
      <c r="K36" s="74">
        <v>7264.51</v>
      </c>
      <c r="L36" s="74">
        <v>0</v>
      </c>
      <c r="M36" s="74">
        <v>2577.51</v>
      </c>
      <c r="N36" s="75">
        <v>0</v>
      </c>
      <c r="O36" s="81">
        <v>0</v>
      </c>
      <c r="P36" s="81">
        <v>0</v>
      </c>
      <c r="Q36" s="81"/>
      <c r="R36" s="81"/>
      <c r="S36" s="80">
        <f t="shared" si="22"/>
        <v>27915.190000000002</v>
      </c>
      <c r="T36" s="93">
        <f t="shared" si="23"/>
        <v>0</v>
      </c>
      <c r="U36" s="80">
        <v>3289.55</v>
      </c>
      <c r="V36" s="80">
        <v>4456.39</v>
      </c>
      <c r="W36" s="80">
        <v>12699.46</v>
      </c>
      <c r="X36" s="80">
        <v>7416.99</v>
      </c>
      <c r="Y36" s="80">
        <v>2629.8</v>
      </c>
      <c r="Z36" s="80">
        <v>0</v>
      </c>
      <c r="AA36" s="81">
        <v>0</v>
      </c>
      <c r="AB36" s="81">
        <f t="shared" si="37"/>
        <v>30492.19</v>
      </c>
      <c r="AC36" s="169">
        <f t="shared" si="24"/>
        <v>83712.68</v>
      </c>
      <c r="AD36" s="85">
        <f t="shared" si="25"/>
        <v>0</v>
      </c>
      <c r="AE36" s="85">
        <f t="shared" si="26"/>
        <v>0</v>
      </c>
      <c r="AF36" s="85">
        <f>'[6]Т07-10'!$I$62+'[6]Т07-10'!$I$87</f>
        <v>2223.5678399999997</v>
      </c>
      <c r="AG36" s="86">
        <f t="shared" si="27"/>
        <v>2159.7</v>
      </c>
      <c r="AH36" s="86">
        <f t="shared" si="28"/>
        <v>719.9000000000001</v>
      </c>
      <c r="AI36" s="86">
        <f t="shared" si="29"/>
        <v>3599.5</v>
      </c>
      <c r="AJ36" s="86">
        <v>0</v>
      </c>
      <c r="AK36" s="86">
        <f t="shared" si="30"/>
        <v>3527.5099999999998</v>
      </c>
      <c r="AL36" s="86">
        <v>0</v>
      </c>
      <c r="AM36" s="86">
        <f t="shared" si="31"/>
        <v>8098.875</v>
      </c>
      <c r="AN36" s="86">
        <v>0</v>
      </c>
      <c r="AO36" s="86"/>
      <c r="AP36" s="86"/>
      <c r="AQ36" s="88"/>
      <c r="AR36" s="88"/>
      <c r="AS36" s="87">
        <v>865</v>
      </c>
      <c r="AT36" s="87">
        <v>83</v>
      </c>
      <c r="AU36" s="189">
        <f>0*0.18</f>
        <v>0</v>
      </c>
      <c r="AV36" s="167"/>
      <c r="AW36" s="168">
        <v>659</v>
      </c>
      <c r="AX36" s="86">
        <f t="shared" si="32"/>
        <v>922.5999999999999</v>
      </c>
      <c r="AY36" s="50"/>
      <c r="AZ36" s="89"/>
      <c r="BA36" s="89">
        <f t="shared" si="33"/>
        <v>0</v>
      </c>
      <c r="BB36" s="89">
        <f>SUM(AG36:BA36)-AV36-AW36</f>
        <v>19976.085</v>
      </c>
      <c r="BC36" s="90">
        <f>'[13]Т06-10'!$M$62+'[13]Т06-10'!$M$88</f>
        <v>919.434</v>
      </c>
      <c r="BD36" s="141">
        <f t="shared" si="35"/>
        <v>65040.72884</v>
      </c>
      <c r="BE36" s="145">
        <f t="shared" si="36"/>
        <v>2576.9999999999964</v>
      </c>
    </row>
    <row r="37" spans="1:57" ht="12.75">
      <c r="A37" s="72" t="s">
        <v>41</v>
      </c>
      <c r="B37" s="73">
        <v>3599.5</v>
      </c>
      <c r="C37" s="54">
        <f t="shared" si="20"/>
        <v>31135.675000000003</v>
      </c>
      <c r="D37" s="53">
        <f>C37-E37-F37-G37-H37-I37-J37-K37-L37-M37-N37</f>
        <v>3197.7350000000015</v>
      </c>
      <c r="E37" s="178">
        <v>3224.51</v>
      </c>
      <c r="F37" s="178">
        <v>0</v>
      </c>
      <c r="G37" s="178">
        <v>4368.39</v>
      </c>
      <c r="H37" s="178">
        <v>0</v>
      </c>
      <c r="I37" s="178">
        <v>10495</v>
      </c>
      <c r="J37" s="178">
        <v>0</v>
      </c>
      <c r="K37" s="178">
        <v>7270.42</v>
      </c>
      <c r="L37" s="178">
        <v>0</v>
      </c>
      <c r="M37" s="178">
        <v>2579.62</v>
      </c>
      <c r="N37" s="202">
        <v>0</v>
      </c>
      <c r="O37" s="51">
        <v>0</v>
      </c>
      <c r="P37" s="51">
        <v>0</v>
      </c>
      <c r="Q37" s="51"/>
      <c r="R37" s="51"/>
      <c r="S37" s="80">
        <f t="shared" si="22"/>
        <v>27937.94</v>
      </c>
      <c r="T37" s="93">
        <f t="shared" si="23"/>
        <v>0</v>
      </c>
      <c r="U37" s="80">
        <v>2939.57</v>
      </c>
      <c r="V37" s="80">
        <v>3983.49</v>
      </c>
      <c r="W37" s="80">
        <v>9575.71</v>
      </c>
      <c r="X37" s="80">
        <v>6629.16</v>
      </c>
      <c r="Y37" s="80">
        <v>2353.5</v>
      </c>
      <c r="Z37" s="80">
        <v>0</v>
      </c>
      <c r="AA37" s="81">
        <v>0</v>
      </c>
      <c r="AB37" s="81">
        <f t="shared" si="37"/>
        <v>25481.429999999997</v>
      </c>
      <c r="AC37" s="169">
        <f t="shared" si="24"/>
        <v>28679.164999999997</v>
      </c>
      <c r="AD37" s="85">
        <f t="shared" si="25"/>
        <v>0</v>
      </c>
      <c r="AE37" s="85">
        <f t="shared" si="26"/>
        <v>0</v>
      </c>
      <c r="AF37" s="85">
        <f>'[6]Т10-10'!$I$62+'[6]Т10-10'!$I$87+150</f>
        <v>2373.5678399999997</v>
      </c>
      <c r="AG37" s="86">
        <f t="shared" si="27"/>
        <v>2159.7</v>
      </c>
      <c r="AH37" s="86">
        <f t="shared" si="28"/>
        <v>719.9000000000001</v>
      </c>
      <c r="AI37" s="86">
        <f t="shared" si="29"/>
        <v>3599.5</v>
      </c>
      <c r="AJ37" s="86">
        <v>0</v>
      </c>
      <c r="AK37" s="86">
        <f t="shared" si="30"/>
        <v>3527.5099999999998</v>
      </c>
      <c r="AL37" s="86">
        <v>0</v>
      </c>
      <c r="AM37" s="86">
        <f t="shared" si="31"/>
        <v>8098.875</v>
      </c>
      <c r="AN37" s="86">
        <v>0</v>
      </c>
      <c r="AO37" s="86"/>
      <c r="AP37" s="86"/>
      <c r="AQ37" s="88"/>
      <c r="AR37" s="88"/>
      <c r="AS37" s="87">
        <v>869</v>
      </c>
      <c r="AT37" s="87">
        <v>60</v>
      </c>
      <c r="AU37" s="87">
        <f>0*0.18</f>
        <v>0</v>
      </c>
      <c r="AV37" s="167"/>
      <c r="AW37" s="168">
        <v>725</v>
      </c>
      <c r="AX37" s="86">
        <f t="shared" si="32"/>
        <v>1014.9999999999999</v>
      </c>
      <c r="AY37" s="50"/>
      <c r="AZ37" s="89"/>
      <c r="BA37" s="89">
        <f t="shared" si="33"/>
        <v>0</v>
      </c>
      <c r="BB37" s="89">
        <f>SUM(AG37:BA37)-AV37-AW37</f>
        <v>20049.485</v>
      </c>
      <c r="BC37" s="90">
        <f>'[6]Т10-10'!$M$62+'[6]Т10-10'!$M$87+37.5</f>
        <v>956.934</v>
      </c>
      <c r="BD37" s="141">
        <f t="shared" si="35"/>
        <v>10046.313839999997</v>
      </c>
      <c r="BE37" s="145">
        <f t="shared" si="36"/>
        <v>-2456.510000000002</v>
      </c>
    </row>
    <row r="38" spans="1:57" ht="12.75">
      <c r="A38" s="72" t="s">
        <v>42</v>
      </c>
      <c r="B38" s="73">
        <v>3599.5</v>
      </c>
      <c r="C38" s="54">
        <f t="shared" si="20"/>
        <v>31135.675000000003</v>
      </c>
      <c r="D38" s="53">
        <f t="shared" si="21"/>
        <v>3197.7450000000053</v>
      </c>
      <c r="E38" s="74">
        <v>3224.49</v>
      </c>
      <c r="F38" s="74">
        <v>0</v>
      </c>
      <c r="G38" s="74">
        <v>4368.39</v>
      </c>
      <c r="H38" s="74">
        <v>0</v>
      </c>
      <c r="I38" s="74">
        <v>10495</v>
      </c>
      <c r="J38" s="74">
        <v>0</v>
      </c>
      <c r="K38" s="74">
        <v>7270.43</v>
      </c>
      <c r="L38" s="74">
        <v>0</v>
      </c>
      <c r="M38" s="74">
        <v>2579.62</v>
      </c>
      <c r="N38" s="75">
        <v>0</v>
      </c>
      <c r="O38" s="81">
        <v>0</v>
      </c>
      <c r="P38" s="81">
        <v>0</v>
      </c>
      <c r="Q38" s="81"/>
      <c r="R38" s="81"/>
      <c r="S38" s="80">
        <f t="shared" si="22"/>
        <v>27937.93</v>
      </c>
      <c r="T38" s="93">
        <f t="shared" si="23"/>
        <v>0</v>
      </c>
      <c r="U38" s="94">
        <v>2688.01</v>
      </c>
      <c r="V38" s="80">
        <v>3641.39</v>
      </c>
      <c r="W38" s="80">
        <v>12998.72</v>
      </c>
      <c r="X38" s="80">
        <v>6060.59</v>
      </c>
      <c r="Y38" s="80">
        <v>2150.37</v>
      </c>
      <c r="Z38" s="80">
        <v>0</v>
      </c>
      <c r="AA38" s="81">
        <v>0</v>
      </c>
      <c r="AB38" s="81">
        <f t="shared" si="37"/>
        <v>27539.079999999998</v>
      </c>
      <c r="AC38" s="169">
        <f t="shared" si="24"/>
        <v>30736.825000000004</v>
      </c>
      <c r="AD38" s="85">
        <f t="shared" si="25"/>
        <v>0</v>
      </c>
      <c r="AE38" s="85">
        <f t="shared" si="26"/>
        <v>0</v>
      </c>
      <c r="AF38" s="85">
        <f>'[6]Т10-10'!$I$62+'[6]Т10-10'!$I$87+150</f>
        <v>2373.5678399999997</v>
      </c>
      <c r="AG38" s="86">
        <f t="shared" si="27"/>
        <v>2159.7</v>
      </c>
      <c r="AH38" s="86">
        <f t="shared" si="28"/>
        <v>719.9000000000001</v>
      </c>
      <c r="AI38" s="86">
        <f t="shared" si="29"/>
        <v>3599.5</v>
      </c>
      <c r="AJ38" s="86">
        <v>0</v>
      </c>
      <c r="AK38" s="86">
        <f t="shared" si="30"/>
        <v>3527.5099999999998</v>
      </c>
      <c r="AL38" s="86">
        <v>0</v>
      </c>
      <c r="AM38" s="86">
        <f t="shared" si="31"/>
        <v>8098.875</v>
      </c>
      <c r="AN38" s="86">
        <v>0</v>
      </c>
      <c r="AO38" s="86"/>
      <c r="AP38" s="86"/>
      <c r="AQ38" s="88"/>
      <c r="AR38" s="88"/>
      <c r="AS38" s="87">
        <v>8881</v>
      </c>
      <c r="AT38" s="87"/>
      <c r="AU38" s="87">
        <f>AT38*0.18</f>
        <v>0</v>
      </c>
      <c r="AV38" s="167"/>
      <c r="AW38" s="168">
        <v>888</v>
      </c>
      <c r="AX38" s="86">
        <f t="shared" si="32"/>
        <v>1243.1999999999998</v>
      </c>
      <c r="AY38" s="50"/>
      <c r="AZ38" s="89"/>
      <c r="BA38" s="89">
        <f t="shared" si="33"/>
        <v>0</v>
      </c>
      <c r="BB38" s="89">
        <f>SUM(AG38:BA38)-AV38-AW38</f>
        <v>28229.685</v>
      </c>
      <c r="BC38" s="90">
        <f>'[6]Т10-10'!$M$62+'[6]Т10-10'!$M$87+37.5</f>
        <v>956.934</v>
      </c>
      <c r="BD38" s="141">
        <f t="shared" si="35"/>
        <v>3923.773839999999</v>
      </c>
      <c r="BE38" s="145">
        <f t="shared" si="36"/>
        <v>-398.8500000000022</v>
      </c>
    </row>
    <row r="39" spans="1:57" ht="12.75">
      <c r="A39" s="72" t="s">
        <v>43</v>
      </c>
      <c r="B39" s="73">
        <v>3599.5</v>
      </c>
      <c r="C39" s="54">
        <f t="shared" si="20"/>
        <v>31135.675000000003</v>
      </c>
      <c r="D39" s="53">
        <f t="shared" si="21"/>
        <v>3197.755000000002</v>
      </c>
      <c r="E39" s="74">
        <v>3224.5</v>
      </c>
      <c r="F39" s="74">
        <v>0</v>
      </c>
      <c r="G39" s="74">
        <v>4368.38</v>
      </c>
      <c r="H39" s="74">
        <v>0</v>
      </c>
      <c r="I39" s="74">
        <v>10495</v>
      </c>
      <c r="J39" s="74">
        <v>0</v>
      </c>
      <c r="K39" s="74">
        <v>7270.42</v>
      </c>
      <c r="L39" s="74">
        <v>0</v>
      </c>
      <c r="M39" s="74">
        <v>2579.62</v>
      </c>
      <c r="N39" s="75">
        <v>0</v>
      </c>
      <c r="O39" s="81">
        <v>0</v>
      </c>
      <c r="P39" s="81">
        <v>0</v>
      </c>
      <c r="Q39" s="81"/>
      <c r="R39" s="81"/>
      <c r="S39" s="80">
        <f t="shared" si="22"/>
        <v>27937.920000000002</v>
      </c>
      <c r="T39" s="93">
        <f t="shared" si="23"/>
        <v>0</v>
      </c>
      <c r="U39" s="80">
        <v>4858.9</v>
      </c>
      <c r="V39" s="80">
        <v>6587.08</v>
      </c>
      <c r="W39" s="80">
        <v>18625.68</v>
      </c>
      <c r="X39" s="80">
        <v>10958.29</v>
      </c>
      <c r="Y39" s="80">
        <v>3887.93</v>
      </c>
      <c r="Z39" s="80">
        <v>0</v>
      </c>
      <c r="AA39" s="81">
        <v>0</v>
      </c>
      <c r="AB39" s="81">
        <f t="shared" si="37"/>
        <v>44917.88</v>
      </c>
      <c r="AC39" s="169">
        <f t="shared" si="24"/>
        <v>48115.635</v>
      </c>
      <c r="AD39" s="85">
        <f t="shared" si="25"/>
        <v>0</v>
      </c>
      <c r="AE39" s="85">
        <f t="shared" si="26"/>
        <v>0</v>
      </c>
      <c r="AF39" s="85">
        <f>'[6]Т10-10'!$I$62+'[6]Т10-10'!$I$87+150</f>
        <v>2373.5678399999997</v>
      </c>
      <c r="AG39" s="86">
        <f t="shared" si="27"/>
        <v>2159.7</v>
      </c>
      <c r="AH39" s="86">
        <f t="shared" si="28"/>
        <v>719.9000000000001</v>
      </c>
      <c r="AI39" s="86">
        <f t="shared" si="29"/>
        <v>3599.5</v>
      </c>
      <c r="AJ39" s="86">
        <v>0</v>
      </c>
      <c r="AK39" s="86">
        <f t="shared" si="30"/>
        <v>3527.5099999999998</v>
      </c>
      <c r="AL39" s="86">
        <v>0</v>
      </c>
      <c r="AM39" s="86">
        <f t="shared" si="31"/>
        <v>8098.875</v>
      </c>
      <c r="AN39" s="86">
        <v>0</v>
      </c>
      <c r="AO39" s="86"/>
      <c r="AP39" s="86"/>
      <c r="AQ39" s="88"/>
      <c r="AR39" s="88"/>
      <c r="AS39" s="87">
        <v>4760</v>
      </c>
      <c r="AT39" s="87">
        <f>15116.92+40506.48</f>
        <v>55623.4</v>
      </c>
      <c r="AU39" s="87">
        <f>AT39*0.18</f>
        <v>10012.212</v>
      </c>
      <c r="AV39" s="167"/>
      <c r="AW39" s="168">
        <v>1110</v>
      </c>
      <c r="AX39" s="86">
        <f>AW39*1.4+11141.2</f>
        <v>12695.2</v>
      </c>
      <c r="AY39" s="50"/>
      <c r="AZ39" s="89"/>
      <c r="BA39" s="89">
        <f t="shared" si="33"/>
        <v>0</v>
      </c>
      <c r="BB39" s="89">
        <f t="shared" si="34"/>
        <v>101196.297</v>
      </c>
      <c r="BC39" s="90">
        <f>'[6]Т10-10'!$M$62+'[6]Т10-10'!$M$87+37.5</f>
        <v>956.934</v>
      </c>
      <c r="BD39" s="141">
        <f t="shared" si="35"/>
        <v>-51664.02816000001</v>
      </c>
      <c r="BE39" s="145">
        <f t="shared" si="36"/>
        <v>16979.959999999995</v>
      </c>
    </row>
    <row r="40" spans="1:57" s="15" customFormat="1" ht="12.75">
      <c r="A40" s="9" t="s">
        <v>5</v>
      </c>
      <c r="B40" s="10"/>
      <c r="C40" s="10">
        <f aca="true" t="shared" si="38" ref="C40:AU40">SUM(C28:C39)</f>
        <v>373555.43999999994</v>
      </c>
      <c r="D40" s="10">
        <f t="shared" si="38"/>
        <v>88601.14000000003</v>
      </c>
      <c r="E40" s="11">
        <f t="shared" si="38"/>
        <v>35160.66</v>
      </c>
      <c r="F40" s="11">
        <f t="shared" si="38"/>
        <v>3498.28</v>
      </c>
      <c r="G40" s="11">
        <f t="shared" si="38"/>
        <v>47632.73999999999</v>
      </c>
      <c r="H40" s="11">
        <f t="shared" si="38"/>
        <v>4741.84</v>
      </c>
      <c r="I40" s="11">
        <f t="shared" si="38"/>
        <v>114437.86</v>
      </c>
      <c r="J40" s="11">
        <f t="shared" si="38"/>
        <v>11388.77</v>
      </c>
      <c r="K40" s="11">
        <f t="shared" si="38"/>
        <v>79276.53</v>
      </c>
      <c r="L40" s="11">
        <f t="shared" si="38"/>
        <v>7890.6</v>
      </c>
      <c r="M40" s="11">
        <f t="shared" si="38"/>
        <v>28128.289999999997</v>
      </c>
      <c r="N40" s="11">
        <f t="shared" si="38"/>
        <v>2798.75</v>
      </c>
      <c r="O40" s="11">
        <f t="shared" si="38"/>
        <v>0</v>
      </c>
      <c r="P40" s="11">
        <f t="shared" si="38"/>
        <v>0</v>
      </c>
      <c r="Q40" s="11">
        <f t="shared" si="38"/>
        <v>0</v>
      </c>
      <c r="R40" s="11">
        <f t="shared" si="38"/>
        <v>0</v>
      </c>
      <c r="S40" s="11">
        <f t="shared" si="38"/>
        <v>304636.07999999996</v>
      </c>
      <c r="T40" s="11">
        <f t="shared" si="38"/>
        <v>30318.24</v>
      </c>
      <c r="U40" s="12">
        <f t="shared" si="38"/>
        <v>33033.16</v>
      </c>
      <c r="V40" s="12">
        <f t="shared" si="38"/>
        <v>44743.89</v>
      </c>
      <c r="W40" s="12">
        <f t="shared" si="38"/>
        <v>116563.5</v>
      </c>
      <c r="X40" s="12">
        <f t="shared" si="38"/>
        <v>74471.57999999999</v>
      </c>
      <c r="Y40" s="12">
        <f t="shared" si="38"/>
        <v>26427.39</v>
      </c>
      <c r="Z40" s="12">
        <f t="shared" si="38"/>
        <v>0</v>
      </c>
      <c r="AA40" s="12">
        <f t="shared" si="38"/>
        <v>0</v>
      </c>
      <c r="AB40" s="12">
        <f t="shared" si="38"/>
        <v>295239.51999999996</v>
      </c>
      <c r="AC40" s="12">
        <f t="shared" si="38"/>
        <v>414158.9</v>
      </c>
      <c r="AD40" s="12">
        <f t="shared" si="38"/>
        <v>0</v>
      </c>
      <c r="AE40" s="44">
        <f t="shared" si="38"/>
        <v>0</v>
      </c>
      <c r="AF40" s="44">
        <f t="shared" si="38"/>
        <v>27132.814079999996</v>
      </c>
      <c r="AG40" s="13">
        <f t="shared" si="38"/>
        <v>25911.360000000004</v>
      </c>
      <c r="AH40" s="13">
        <f t="shared" si="38"/>
        <v>8637.119999999999</v>
      </c>
      <c r="AI40" s="13">
        <f t="shared" si="38"/>
        <v>43185.6</v>
      </c>
      <c r="AJ40" s="13">
        <f t="shared" si="38"/>
        <v>0</v>
      </c>
      <c r="AK40" s="13">
        <f t="shared" si="38"/>
        <v>42321.888</v>
      </c>
      <c r="AL40" s="13">
        <f t="shared" si="38"/>
        <v>0</v>
      </c>
      <c r="AM40" s="13">
        <f t="shared" si="38"/>
        <v>97167.6</v>
      </c>
      <c r="AN40" s="13">
        <f t="shared" si="38"/>
        <v>0</v>
      </c>
      <c r="AO40" s="13">
        <f t="shared" si="38"/>
        <v>4769.28</v>
      </c>
      <c r="AP40" s="13">
        <f t="shared" si="38"/>
        <v>0</v>
      </c>
      <c r="AQ40" s="13">
        <f t="shared" si="38"/>
        <v>0</v>
      </c>
      <c r="AR40" s="13">
        <f t="shared" si="38"/>
        <v>0</v>
      </c>
      <c r="AS40" s="13">
        <f t="shared" si="38"/>
        <v>43127</v>
      </c>
      <c r="AT40" s="13">
        <f t="shared" si="38"/>
        <v>56606.07</v>
      </c>
      <c r="AU40" s="13">
        <f t="shared" si="38"/>
        <v>10012.212</v>
      </c>
      <c r="AV40" s="13"/>
      <c r="AW40" s="13"/>
      <c r="AX40" s="13">
        <f aca="true" t="shared" si="39" ref="AX40:BE40">SUM(AX28:AX39)</f>
        <v>22743</v>
      </c>
      <c r="AY40" s="13">
        <f t="shared" si="39"/>
        <v>0</v>
      </c>
      <c r="AZ40" s="13">
        <f t="shared" si="39"/>
        <v>0</v>
      </c>
      <c r="BA40" s="13">
        <f t="shared" si="39"/>
        <v>0</v>
      </c>
      <c r="BB40" s="13">
        <f t="shared" si="39"/>
        <v>354481.13000000006</v>
      </c>
      <c r="BC40" s="13">
        <f t="shared" si="39"/>
        <v>11145.707999999999</v>
      </c>
      <c r="BD40" s="13">
        <f t="shared" si="39"/>
        <v>75664.87608000002</v>
      </c>
      <c r="BE40" s="14">
        <f t="shared" si="39"/>
        <v>-9396.559999999998</v>
      </c>
    </row>
    <row r="41" spans="1:57" ht="12.75">
      <c r="A41" s="72"/>
      <c r="B41" s="183"/>
      <c r="C41" s="184"/>
      <c r="D41" s="184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6"/>
      <c r="T41" s="186"/>
      <c r="U41" s="98"/>
      <c r="V41" s="98"/>
      <c r="W41" s="98"/>
      <c r="X41" s="98"/>
      <c r="Y41" s="98"/>
      <c r="Z41" s="98"/>
      <c r="AA41" s="98"/>
      <c r="AB41" s="98"/>
      <c r="AC41" s="45"/>
      <c r="AD41" s="45"/>
      <c r="AE41" s="85"/>
      <c r="AF41" s="85"/>
      <c r="AG41" s="86"/>
      <c r="AH41" s="86"/>
      <c r="AI41" s="86"/>
      <c r="AJ41" s="86"/>
      <c r="AK41" s="86"/>
      <c r="AL41" s="86"/>
      <c r="AM41" s="86"/>
      <c r="AN41" s="86"/>
      <c r="AO41" s="187"/>
      <c r="AP41" s="187"/>
      <c r="AQ41" s="187"/>
      <c r="AR41" s="187"/>
      <c r="AS41" s="204"/>
      <c r="AT41" s="204"/>
      <c r="AU41" s="87"/>
      <c r="AV41" s="87"/>
      <c r="AW41" s="87"/>
      <c r="AX41" s="70"/>
      <c r="AY41" s="187"/>
      <c r="AZ41" s="187"/>
      <c r="BA41" s="86"/>
      <c r="BB41" s="86"/>
      <c r="BC41" s="86"/>
      <c r="BD41" s="86"/>
      <c r="BE41" s="164"/>
    </row>
    <row r="42" spans="1:57" s="15" customFormat="1" ht="13.5" thickBot="1">
      <c r="A42" s="16" t="s">
        <v>54</v>
      </c>
      <c r="B42" s="17"/>
      <c r="C42" s="17">
        <f>C12+C26+C40</f>
        <v>840271.3799999999</v>
      </c>
      <c r="D42" s="17">
        <f aca="true" t="shared" si="40" ref="D42:BE42">D12+D26+D40</f>
        <v>152332.85477125001</v>
      </c>
      <c r="E42" s="17">
        <f t="shared" si="40"/>
        <v>73910</v>
      </c>
      <c r="F42" s="17">
        <f t="shared" si="40"/>
        <v>10935.970000000001</v>
      </c>
      <c r="G42" s="17">
        <f t="shared" si="40"/>
        <v>100057.33999999998</v>
      </c>
      <c r="H42" s="17">
        <f t="shared" si="40"/>
        <v>14809.109999999999</v>
      </c>
      <c r="I42" s="17">
        <f t="shared" si="40"/>
        <v>240484.98</v>
      </c>
      <c r="J42" s="17">
        <f t="shared" si="40"/>
        <v>35587.850000000006</v>
      </c>
      <c r="K42" s="17">
        <f t="shared" si="40"/>
        <v>166574.19</v>
      </c>
      <c r="L42" s="17">
        <f t="shared" si="40"/>
        <v>24652.18</v>
      </c>
      <c r="M42" s="17">
        <f t="shared" si="40"/>
        <v>59127.09</v>
      </c>
      <c r="N42" s="17">
        <f t="shared" si="40"/>
        <v>8748.95</v>
      </c>
      <c r="O42" s="17">
        <f t="shared" si="40"/>
        <v>0</v>
      </c>
      <c r="P42" s="17">
        <f t="shared" si="40"/>
        <v>0</v>
      </c>
      <c r="Q42" s="17">
        <f t="shared" si="40"/>
        <v>0</v>
      </c>
      <c r="R42" s="17">
        <f t="shared" si="40"/>
        <v>0</v>
      </c>
      <c r="S42" s="17">
        <f t="shared" si="40"/>
        <v>640153.6</v>
      </c>
      <c r="T42" s="17">
        <f t="shared" si="40"/>
        <v>94734.06</v>
      </c>
      <c r="U42" s="17">
        <f t="shared" si="40"/>
        <v>68632.48000000001</v>
      </c>
      <c r="V42" s="17">
        <f t="shared" si="40"/>
        <v>92347.31999999999</v>
      </c>
      <c r="W42" s="17">
        <f t="shared" si="40"/>
        <v>231044.46</v>
      </c>
      <c r="X42" s="17">
        <f t="shared" si="40"/>
        <v>153752.86</v>
      </c>
      <c r="Y42" s="17">
        <f t="shared" si="40"/>
        <v>54586.33</v>
      </c>
      <c r="Z42" s="17">
        <f t="shared" si="40"/>
        <v>0</v>
      </c>
      <c r="AA42" s="17">
        <f t="shared" si="40"/>
        <v>0</v>
      </c>
      <c r="AB42" s="17">
        <f t="shared" si="40"/>
        <v>600363.45</v>
      </c>
      <c r="AC42" s="17">
        <f t="shared" si="40"/>
        <v>847430.36477125</v>
      </c>
      <c r="AD42" s="17">
        <f t="shared" si="40"/>
        <v>0</v>
      </c>
      <c r="AE42" s="17">
        <f t="shared" si="40"/>
        <v>0</v>
      </c>
      <c r="AF42" s="17">
        <f t="shared" si="40"/>
        <v>40474.221119999995</v>
      </c>
      <c r="AG42" s="17">
        <f t="shared" si="40"/>
        <v>57421.392</v>
      </c>
      <c r="AH42" s="17">
        <f t="shared" si="40"/>
        <v>19240.8737816</v>
      </c>
      <c r="AI42" s="17">
        <f t="shared" si="40"/>
        <v>87368.78087424999</v>
      </c>
      <c r="AJ42" s="17">
        <f t="shared" si="40"/>
        <v>7952.972557365</v>
      </c>
      <c r="AK42" s="17">
        <f t="shared" si="40"/>
        <v>87028.40448909</v>
      </c>
      <c r="AL42" s="17">
        <f t="shared" si="40"/>
        <v>8047.1729680362</v>
      </c>
      <c r="AM42" s="17">
        <f t="shared" si="40"/>
        <v>195069.40333006525</v>
      </c>
      <c r="AN42" s="17">
        <f t="shared" si="40"/>
        <v>17622.324599411746</v>
      </c>
      <c r="AO42" s="17">
        <f t="shared" si="40"/>
        <v>4769.28</v>
      </c>
      <c r="AP42" s="17">
        <f t="shared" si="40"/>
        <v>0</v>
      </c>
      <c r="AQ42" s="17">
        <f t="shared" si="40"/>
        <v>1050.54</v>
      </c>
      <c r="AR42" s="17">
        <f t="shared" si="40"/>
        <v>189.0972</v>
      </c>
      <c r="AS42" s="17">
        <f t="shared" si="40"/>
        <v>263026.82</v>
      </c>
      <c r="AT42" s="17">
        <f t="shared" si="40"/>
        <v>60352.22</v>
      </c>
      <c r="AU42" s="17">
        <f t="shared" si="40"/>
        <v>50268.49659999999</v>
      </c>
      <c r="AV42" s="17">
        <f t="shared" si="40"/>
        <v>0</v>
      </c>
      <c r="AW42" s="17">
        <f t="shared" si="40"/>
        <v>0</v>
      </c>
      <c r="AX42" s="17">
        <f t="shared" si="40"/>
        <v>36713.6336</v>
      </c>
      <c r="AY42" s="17">
        <f t="shared" si="40"/>
        <v>0</v>
      </c>
      <c r="AZ42" s="17">
        <f t="shared" si="40"/>
        <v>0</v>
      </c>
      <c r="BA42" s="17">
        <f t="shared" si="40"/>
        <v>0</v>
      </c>
      <c r="BB42" s="17">
        <f t="shared" si="40"/>
        <v>896121.4119998182</v>
      </c>
      <c r="BC42" s="17">
        <f t="shared" si="40"/>
        <v>16642.9764831236</v>
      </c>
      <c r="BD42" s="17">
        <f>BD12+BD26+BD40</f>
        <v>-24859.802591691754</v>
      </c>
      <c r="BE42" s="17">
        <f t="shared" si="40"/>
        <v>-39790.149999999994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Q4:R4"/>
    <mergeCell ref="E5:E6"/>
    <mergeCell ref="F5:F6"/>
    <mergeCell ref="G5:G6"/>
    <mergeCell ref="S3:T4"/>
    <mergeCell ref="U3:AB4"/>
    <mergeCell ref="AC3:AC6"/>
    <mergeCell ref="AD3:AD6"/>
    <mergeCell ref="AE3:AE6"/>
    <mergeCell ref="AF3:AF6"/>
    <mergeCell ref="T5:T6"/>
    <mergeCell ref="U5:U6"/>
    <mergeCell ref="V5:V6"/>
    <mergeCell ref="W5:W6"/>
    <mergeCell ref="AG3:BB4"/>
    <mergeCell ref="BC3:BC6"/>
    <mergeCell ref="BD3:BD6"/>
    <mergeCell ref="BE3:BE6"/>
    <mergeCell ref="E4:F4"/>
    <mergeCell ref="G4:H4"/>
    <mergeCell ref="I4:J4"/>
    <mergeCell ref="K4:L4"/>
    <mergeCell ref="M4:N4"/>
    <mergeCell ref="O4:P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X5:X6"/>
    <mergeCell ref="Y5:Y6"/>
    <mergeCell ref="Z5:Z6"/>
    <mergeCell ref="AA5:AA6"/>
    <mergeCell ref="AB5:AB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BB5:BB6"/>
    <mergeCell ref="AT5:AT6"/>
    <mergeCell ref="AU5:AU6"/>
    <mergeCell ref="AV5:AX5"/>
    <mergeCell ref="AY5:AY6"/>
    <mergeCell ref="AZ5:AZ6"/>
    <mergeCell ref="BA5:B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40"/>
  <sheetViews>
    <sheetView zoomScalePageLayoutView="0" workbookViewId="0" topLeftCell="A1">
      <pane xSplit="2" ySplit="7" topLeftCell="AN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38" sqref="C38:BG38"/>
    </sheetView>
  </sheetViews>
  <sheetFormatPr defaultColWidth="9.00390625" defaultRowHeight="12.75"/>
  <cols>
    <col min="1" max="1" width="8.75390625" style="61" bestFit="1" customWidth="1"/>
    <col min="2" max="2" width="9.125" style="61" customWidth="1"/>
    <col min="3" max="3" width="11.375" style="61" customWidth="1"/>
    <col min="4" max="4" width="10.375" style="61" customWidth="1"/>
    <col min="5" max="6" width="9.125" style="61" customWidth="1"/>
    <col min="7" max="7" width="10.25390625" style="61" customWidth="1"/>
    <col min="8" max="8" width="9.125" style="61" customWidth="1"/>
    <col min="9" max="9" width="9.875" style="61" customWidth="1"/>
    <col min="10" max="10" width="9.125" style="61" customWidth="1"/>
    <col min="11" max="11" width="10.375" style="61" customWidth="1"/>
    <col min="12" max="12" width="9.125" style="61" customWidth="1"/>
    <col min="13" max="13" width="10.125" style="61" bestFit="1" customWidth="1"/>
    <col min="14" max="14" width="9.125" style="61" customWidth="1"/>
    <col min="15" max="15" width="10.125" style="61" bestFit="1" customWidth="1"/>
    <col min="16" max="18" width="9.125" style="61" customWidth="1"/>
    <col min="19" max="19" width="10.125" style="61" bestFit="1" customWidth="1"/>
    <col min="20" max="20" width="10.125" style="61" customWidth="1"/>
    <col min="21" max="21" width="10.125" style="61" bestFit="1" customWidth="1"/>
    <col min="22" max="22" width="10.25390625" style="61" customWidth="1"/>
    <col min="23" max="23" width="10.625" style="61" customWidth="1"/>
    <col min="24" max="24" width="10.125" style="61" customWidth="1"/>
    <col min="25" max="28" width="10.125" style="61" bestFit="1" customWidth="1"/>
    <col min="29" max="30" width="11.375" style="61" customWidth="1"/>
    <col min="31" max="31" width="9.25390625" style="61" bestFit="1" customWidth="1"/>
    <col min="32" max="32" width="10.125" style="61" bestFit="1" customWidth="1"/>
    <col min="33" max="33" width="11.00390625" style="61" customWidth="1"/>
    <col min="34" max="35" width="9.25390625" style="61" bestFit="1" customWidth="1"/>
    <col min="36" max="36" width="12.625" style="61" customWidth="1"/>
    <col min="37" max="38" width="9.25390625" style="61" bestFit="1" customWidth="1"/>
    <col min="39" max="39" width="10.125" style="61" bestFit="1" customWidth="1"/>
    <col min="40" max="40" width="9.25390625" style="61" bestFit="1" customWidth="1"/>
    <col min="41" max="42" width="10.125" style="61" bestFit="1" customWidth="1"/>
    <col min="43" max="44" width="9.25390625" style="61" customWidth="1"/>
    <col min="45" max="45" width="10.125" style="61" bestFit="1" customWidth="1"/>
    <col min="46" max="46" width="11.625" style="61" customWidth="1"/>
    <col min="47" max="47" width="10.875" style="61" customWidth="1"/>
    <col min="48" max="48" width="10.625" style="61" customWidth="1"/>
    <col min="49" max="49" width="10.25390625" style="61" customWidth="1"/>
    <col min="50" max="50" width="10.625" style="61" customWidth="1"/>
    <col min="51" max="51" width="9.25390625" style="61" bestFit="1" customWidth="1"/>
    <col min="52" max="53" width="10.125" style="61" bestFit="1" customWidth="1"/>
    <col min="54" max="54" width="11.625" style="61" customWidth="1"/>
    <col min="55" max="55" width="11.75390625" style="61" customWidth="1"/>
    <col min="56" max="56" width="12.125" style="61" customWidth="1"/>
    <col min="57" max="57" width="13.625" style="61" customWidth="1"/>
    <col min="58" max="58" width="11.00390625" style="61" customWidth="1"/>
    <col min="59" max="59" width="10.625" style="61" customWidth="1"/>
    <col min="60" max="16384" width="9.125" style="61" customWidth="1"/>
  </cols>
  <sheetData>
    <row r="1" spans="1:18" ht="21" customHeight="1">
      <c r="A1" s="320" t="s">
        <v>121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60"/>
      <c r="P1" s="60"/>
      <c r="Q1" s="60"/>
      <c r="R1" s="60"/>
    </row>
    <row r="2" spans="1:18" ht="13.5" thickBot="1">
      <c r="A2" s="60"/>
      <c r="B2" s="62"/>
      <c r="C2" s="63"/>
      <c r="D2" s="63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59" ht="29.25" customHeight="1" thickBot="1">
      <c r="A3" s="375" t="s">
        <v>0</v>
      </c>
      <c r="B3" s="400" t="s">
        <v>1</v>
      </c>
      <c r="C3" s="402" t="s">
        <v>2</v>
      </c>
      <c r="D3" s="404" t="s">
        <v>3</v>
      </c>
      <c r="E3" s="375" t="s">
        <v>88</v>
      </c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254"/>
      <c r="S3" s="375"/>
      <c r="T3" s="376"/>
      <c r="U3" s="375" t="s">
        <v>5</v>
      </c>
      <c r="V3" s="376"/>
      <c r="W3" s="379" t="s">
        <v>6</v>
      </c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1"/>
      <c r="AJ3" s="385" t="s">
        <v>76</v>
      </c>
      <c r="AK3" s="388" t="s">
        <v>10</v>
      </c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89"/>
      <c r="BB3" s="389"/>
      <c r="BC3" s="389"/>
      <c r="BD3" s="389"/>
      <c r="BE3" s="390"/>
      <c r="BF3" s="394" t="s">
        <v>11</v>
      </c>
      <c r="BG3" s="363" t="s">
        <v>12</v>
      </c>
    </row>
    <row r="4" spans="1:59" ht="51.75" customHeight="1" hidden="1" thickBot="1">
      <c r="A4" s="399"/>
      <c r="B4" s="401"/>
      <c r="C4" s="403"/>
      <c r="D4" s="405"/>
      <c r="E4" s="399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261"/>
      <c r="S4" s="377"/>
      <c r="T4" s="378"/>
      <c r="U4" s="377"/>
      <c r="V4" s="378"/>
      <c r="W4" s="382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4"/>
      <c r="AJ4" s="386"/>
      <c r="AK4" s="391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3"/>
      <c r="BF4" s="395"/>
      <c r="BG4" s="364"/>
    </row>
    <row r="5" spans="1:59" ht="19.5" customHeight="1">
      <c r="A5" s="399"/>
      <c r="B5" s="401"/>
      <c r="C5" s="403"/>
      <c r="D5" s="405"/>
      <c r="E5" s="366" t="s">
        <v>13</v>
      </c>
      <c r="F5" s="367"/>
      <c r="G5" s="366" t="s">
        <v>89</v>
      </c>
      <c r="H5" s="367"/>
      <c r="I5" s="366" t="s">
        <v>14</v>
      </c>
      <c r="J5" s="367"/>
      <c r="K5" s="366" t="s">
        <v>16</v>
      </c>
      <c r="L5" s="367"/>
      <c r="M5" s="366" t="s">
        <v>15</v>
      </c>
      <c r="N5" s="367"/>
      <c r="O5" s="370" t="s">
        <v>17</v>
      </c>
      <c r="P5" s="370"/>
      <c r="Q5" s="366" t="s">
        <v>90</v>
      </c>
      <c r="R5" s="367"/>
      <c r="S5" s="370" t="s">
        <v>91</v>
      </c>
      <c r="T5" s="367"/>
      <c r="U5" s="373" t="s">
        <v>20</v>
      </c>
      <c r="V5" s="397" t="s">
        <v>21</v>
      </c>
      <c r="W5" s="359" t="s">
        <v>22</v>
      </c>
      <c r="X5" s="359" t="s">
        <v>92</v>
      </c>
      <c r="Y5" s="359" t="s">
        <v>23</v>
      </c>
      <c r="Z5" s="359" t="s">
        <v>25</v>
      </c>
      <c r="AA5" s="359" t="s">
        <v>24</v>
      </c>
      <c r="AB5" s="359" t="s">
        <v>26</v>
      </c>
      <c r="AC5" s="359" t="s">
        <v>27</v>
      </c>
      <c r="AD5" s="361" t="s">
        <v>28</v>
      </c>
      <c r="AE5" s="361" t="s">
        <v>93</v>
      </c>
      <c r="AF5" s="349" t="s">
        <v>29</v>
      </c>
      <c r="AG5" s="351" t="s">
        <v>94</v>
      </c>
      <c r="AH5" s="353" t="s">
        <v>8</v>
      </c>
      <c r="AI5" s="355" t="s">
        <v>9</v>
      </c>
      <c r="AJ5" s="386"/>
      <c r="AK5" s="357" t="s">
        <v>95</v>
      </c>
      <c r="AL5" s="347" t="s">
        <v>96</v>
      </c>
      <c r="AM5" s="347" t="s">
        <v>97</v>
      </c>
      <c r="AN5" s="341" t="s">
        <v>98</v>
      </c>
      <c r="AO5" s="347" t="s">
        <v>99</v>
      </c>
      <c r="AP5" s="341" t="s">
        <v>100</v>
      </c>
      <c r="AQ5" s="341" t="s">
        <v>101</v>
      </c>
      <c r="AR5" s="341" t="s">
        <v>102</v>
      </c>
      <c r="AS5" s="341" t="s">
        <v>103</v>
      </c>
      <c r="AT5" s="341" t="s">
        <v>36</v>
      </c>
      <c r="AU5" s="291" t="s">
        <v>104</v>
      </c>
      <c r="AV5" s="289" t="s">
        <v>105</v>
      </c>
      <c r="AW5" s="291" t="s">
        <v>106</v>
      </c>
      <c r="AX5" s="282" t="s">
        <v>107</v>
      </c>
      <c r="AY5" s="58"/>
      <c r="AZ5" s="339" t="s">
        <v>19</v>
      </c>
      <c r="BA5" s="341" t="s">
        <v>38</v>
      </c>
      <c r="BB5" s="341" t="s">
        <v>33</v>
      </c>
      <c r="BC5" s="343" t="s">
        <v>39</v>
      </c>
      <c r="BD5" s="345" t="s">
        <v>85</v>
      </c>
      <c r="BE5" s="341" t="s">
        <v>108</v>
      </c>
      <c r="BF5" s="395"/>
      <c r="BG5" s="364"/>
    </row>
    <row r="6" spans="1:59" ht="56.25" customHeight="1" thickBot="1">
      <c r="A6" s="399"/>
      <c r="B6" s="401"/>
      <c r="C6" s="403"/>
      <c r="D6" s="405"/>
      <c r="E6" s="368"/>
      <c r="F6" s="369"/>
      <c r="G6" s="368"/>
      <c r="H6" s="369"/>
      <c r="I6" s="368"/>
      <c r="J6" s="369"/>
      <c r="K6" s="368"/>
      <c r="L6" s="369"/>
      <c r="M6" s="368"/>
      <c r="N6" s="369"/>
      <c r="O6" s="371"/>
      <c r="P6" s="371"/>
      <c r="Q6" s="368"/>
      <c r="R6" s="369"/>
      <c r="S6" s="372"/>
      <c r="T6" s="369"/>
      <c r="U6" s="374"/>
      <c r="V6" s="398"/>
      <c r="W6" s="360"/>
      <c r="X6" s="360"/>
      <c r="Y6" s="360"/>
      <c r="Z6" s="360"/>
      <c r="AA6" s="360"/>
      <c r="AB6" s="360"/>
      <c r="AC6" s="360"/>
      <c r="AD6" s="362"/>
      <c r="AE6" s="362"/>
      <c r="AF6" s="350"/>
      <c r="AG6" s="352"/>
      <c r="AH6" s="354"/>
      <c r="AI6" s="356"/>
      <c r="AJ6" s="387"/>
      <c r="AK6" s="358"/>
      <c r="AL6" s="348"/>
      <c r="AM6" s="348"/>
      <c r="AN6" s="342"/>
      <c r="AO6" s="348"/>
      <c r="AP6" s="342"/>
      <c r="AQ6" s="342"/>
      <c r="AR6" s="342"/>
      <c r="AS6" s="342"/>
      <c r="AT6" s="342"/>
      <c r="AU6" s="292"/>
      <c r="AV6" s="290"/>
      <c r="AW6" s="292"/>
      <c r="AX6" s="283"/>
      <c r="AY6" s="59" t="s">
        <v>109</v>
      </c>
      <c r="AZ6" s="340"/>
      <c r="BA6" s="342"/>
      <c r="BB6" s="342"/>
      <c r="BC6" s="344"/>
      <c r="BD6" s="346"/>
      <c r="BE6" s="342"/>
      <c r="BF6" s="396"/>
      <c r="BG6" s="365"/>
    </row>
    <row r="7" spans="1:59" ht="19.5" customHeight="1" thickBot="1">
      <c r="A7" s="64">
        <v>1</v>
      </c>
      <c r="B7" s="22">
        <v>2</v>
      </c>
      <c r="C7" s="22">
        <v>3</v>
      </c>
      <c r="D7" s="64">
        <v>4</v>
      </c>
      <c r="E7" s="22">
        <v>5</v>
      </c>
      <c r="F7" s="22">
        <v>6</v>
      </c>
      <c r="G7" s="64">
        <v>7</v>
      </c>
      <c r="H7" s="22">
        <v>8</v>
      </c>
      <c r="I7" s="22">
        <v>9</v>
      </c>
      <c r="J7" s="64">
        <v>10</v>
      </c>
      <c r="K7" s="22">
        <v>11</v>
      </c>
      <c r="L7" s="22">
        <v>12</v>
      </c>
      <c r="M7" s="64">
        <v>13</v>
      </c>
      <c r="N7" s="22">
        <v>14</v>
      </c>
      <c r="O7" s="22">
        <v>15</v>
      </c>
      <c r="P7" s="64">
        <v>16</v>
      </c>
      <c r="Q7" s="22">
        <v>17</v>
      </c>
      <c r="R7" s="22">
        <v>18</v>
      </c>
      <c r="S7" s="64">
        <v>19</v>
      </c>
      <c r="T7" s="22">
        <v>20</v>
      </c>
      <c r="U7" s="22">
        <v>21</v>
      </c>
      <c r="V7" s="64">
        <v>22</v>
      </c>
      <c r="W7" s="22">
        <v>23</v>
      </c>
      <c r="X7" s="64">
        <v>24</v>
      </c>
      <c r="Y7" s="22">
        <v>25</v>
      </c>
      <c r="Z7" s="64">
        <v>26</v>
      </c>
      <c r="AA7" s="22">
        <v>27</v>
      </c>
      <c r="AB7" s="64">
        <v>28</v>
      </c>
      <c r="AC7" s="22">
        <v>29</v>
      </c>
      <c r="AD7" s="64">
        <v>30</v>
      </c>
      <c r="AE7" s="64">
        <v>31</v>
      </c>
      <c r="AF7" s="22">
        <v>32</v>
      </c>
      <c r="AG7" s="64">
        <v>33</v>
      </c>
      <c r="AH7" s="22">
        <v>34</v>
      </c>
      <c r="AI7" s="64">
        <v>35</v>
      </c>
      <c r="AJ7" s="22">
        <v>36</v>
      </c>
      <c r="AK7" s="64">
        <v>37</v>
      </c>
      <c r="AL7" s="22">
        <v>38</v>
      </c>
      <c r="AM7" s="64">
        <v>39</v>
      </c>
      <c r="AN7" s="64">
        <v>40</v>
      </c>
      <c r="AO7" s="22">
        <v>41</v>
      </c>
      <c r="AP7" s="64">
        <v>42</v>
      </c>
      <c r="AQ7" s="22">
        <v>43</v>
      </c>
      <c r="AR7" s="64"/>
      <c r="AS7" s="64">
        <v>44</v>
      </c>
      <c r="AT7" s="22">
        <v>45</v>
      </c>
      <c r="AU7" s="64">
        <v>46</v>
      </c>
      <c r="AV7" s="22">
        <v>47</v>
      </c>
      <c r="AW7" s="64">
        <v>48</v>
      </c>
      <c r="AX7" s="64">
        <v>49</v>
      </c>
      <c r="AY7" s="22"/>
      <c r="AZ7" s="22">
        <v>50</v>
      </c>
      <c r="BA7" s="22">
        <v>51</v>
      </c>
      <c r="BB7" s="22">
        <v>52</v>
      </c>
      <c r="BC7" s="22">
        <v>53</v>
      </c>
      <c r="BD7" s="22">
        <v>54</v>
      </c>
      <c r="BE7" s="22"/>
      <c r="BF7" s="22">
        <v>55</v>
      </c>
      <c r="BG7" s="22">
        <v>56</v>
      </c>
    </row>
    <row r="8" spans="1:59" s="15" customFormat="1" ht="13.5" thickBot="1">
      <c r="A8" s="16" t="s">
        <v>54</v>
      </c>
      <c r="B8" s="65"/>
      <c r="C8" s="65">
        <f>Лист1!C42</f>
        <v>840271.3799999999</v>
      </c>
      <c r="D8" s="65">
        <f>Лист1!D42</f>
        <v>201832.83477125003</v>
      </c>
      <c r="E8" s="65">
        <f>Лист1!E42</f>
        <v>73910</v>
      </c>
      <c r="F8" s="65">
        <f>Лист1!F42</f>
        <v>10935.970000000001</v>
      </c>
      <c r="G8" s="65">
        <f>0</f>
        <v>0</v>
      </c>
      <c r="H8" s="65">
        <f>0</f>
        <v>0</v>
      </c>
      <c r="I8" s="65">
        <f>Лист1!G42</f>
        <v>100057.33999999998</v>
      </c>
      <c r="J8" s="65">
        <f>Лист1!H42</f>
        <v>14809.109999999999</v>
      </c>
      <c r="K8" s="65">
        <f>Лист1!K42</f>
        <v>166574.19</v>
      </c>
      <c r="L8" s="65">
        <f>Лист1!L42</f>
        <v>24652.18</v>
      </c>
      <c r="M8" s="65">
        <f>Лист1!I42</f>
        <v>240484.98</v>
      </c>
      <c r="N8" s="65">
        <f>Лист1!J42</f>
        <v>35587.850000000006</v>
      </c>
      <c r="O8" s="65">
        <f>Лист1!M42</f>
        <v>59127.09</v>
      </c>
      <c r="P8" s="65">
        <f>Лист1!N42</f>
        <v>8748.95</v>
      </c>
      <c r="Q8" s="65">
        <f>'[8]Лист1'!O44</f>
        <v>0</v>
      </c>
      <c r="R8" s="65">
        <f>'[8]Лист1'!P44</f>
        <v>0</v>
      </c>
      <c r="S8" s="65">
        <f>'[8]Лист1'!Q44</f>
        <v>0</v>
      </c>
      <c r="T8" s="65">
        <f>'[8]Лист1'!R44</f>
        <v>0</v>
      </c>
      <c r="U8" s="65">
        <f>Лист1!S42</f>
        <v>640153.6</v>
      </c>
      <c r="V8" s="65">
        <f>Лист1!T42</f>
        <v>94734.06</v>
      </c>
      <c r="W8" s="65">
        <f>Лист1!U42</f>
        <v>68632.48000000001</v>
      </c>
      <c r="X8" s="65">
        <v>0</v>
      </c>
      <c r="Y8" s="65">
        <f>Лист1!V42</f>
        <v>92347.31999999999</v>
      </c>
      <c r="Z8" s="65">
        <f>Лист1!X42</f>
        <v>153752.86</v>
      </c>
      <c r="AA8" s="65">
        <f>Лист1!W42</f>
        <v>231044.46</v>
      </c>
      <c r="AB8" s="65">
        <f>Лист1!Y42</f>
        <v>54586.33</v>
      </c>
      <c r="AC8" s="65">
        <f>'[7]Лист1'!Z42</f>
        <v>0</v>
      </c>
      <c r="AD8" s="65">
        <f>'[7]Лист1'!AA42</f>
        <v>0</v>
      </c>
      <c r="AE8" s="65">
        <f>0</f>
        <v>0</v>
      </c>
      <c r="AF8" s="65">
        <f>Лист1!AB42</f>
        <v>600363.45</v>
      </c>
      <c r="AG8" s="65">
        <f>Лист1!AC42</f>
        <v>896930.3447712502</v>
      </c>
      <c r="AH8" s="65">
        <f>Лист1!AD42</f>
        <v>0</v>
      </c>
      <c r="AI8" s="65">
        <f>'[7]Лист1'!AE42</f>
        <v>0</v>
      </c>
      <c r="AJ8" s="65">
        <f>Лист1!AF42</f>
        <v>40474.221119999995</v>
      </c>
      <c r="AK8" s="65">
        <f>Лист1!AG42</f>
        <v>57421.392</v>
      </c>
      <c r="AL8" s="65">
        <f>Лист1!AH42</f>
        <v>19240.8737816</v>
      </c>
      <c r="AM8" s="65">
        <f>Лист1!AI42+Лист1!AJ42</f>
        <v>95321.753431615</v>
      </c>
      <c r="AN8" s="65">
        <v>0</v>
      </c>
      <c r="AO8" s="65">
        <f>Лист1!AK42+Лист1!AL42</f>
        <v>95075.5774571262</v>
      </c>
      <c r="AP8" s="65">
        <f>Лист1!AM42+Лист1!AN42</f>
        <v>212691.727929477</v>
      </c>
      <c r="AQ8" s="65">
        <v>0</v>
      </c>
      <c r="AR8" s="65">
        <v>0</v>
      </c>
      <c r="AS8" s="65">
        <v>0</v>
      </c>
      <c r="AT8" s="65">
        <f>Лист1!AO42</f>
        <v>4769.28</v>
      </c>
      <c r="AU8" s="65">
        <f>'для жителей'!AS42+'для жителей'!AU42</f>
        <v>313295.3166</v>
      </c>
      <c r="AV8" s="65">
        <v>0</v>
      </c>
      <c r="AW8" s="65">
        <f>'для жителей'!AT42</f>
        <v>60352.22</v>
      </c>
      <c r="AX8" s="65">
        <f>'для жителей'!AQ42+'для жителей'!AR42</f>
        <v>1239.6372</v>
      </c>
      <c r="AY8" s="66">
        <f>Лист1!AX42+11141.2</f>
        <v>36713.6336</v>
      </c>
      <c r="AZ8" s="66">
        <f>'[8]Лист1'!AY44</f>
        <v>0</v>
      </c>
      <c r="BA8" s="66">
        <v>0</v>
      </c>
      <c r="BB8" s="66">
        <v>0</v>
      </c>
      <c r="BC8" s="66">
        <f>'для жителей'!BB42</f>
        <v>896121.4119998182</v>
      </c>
      <c r="BD8" s="65">
        <f>Лист1!BC42</f>
        <v>16642.9764831236</v>
      </c>
      <c r="BE8" s="67">
        <f>'для жителей'!BB42+'для жителей'!BC42</f>
        <v>912764.3884829418</v>
      </c>
      <c r="BF8" s="68">
        <f>'для жителей'!BD42</f>
        <v>-24859.802591691754</v>
      </c>
      <c r="BG8" s="68">
        <f>Лист1!BE42</f>
        <v>-39790.149999999994</v>
      </c>
    </row>
    <row r="9" spans="1:59" ht="12.75">
      <c r="A9" s="1" t="s">
        <v>110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1"/>
      <c r="BF9" s="68"/>
      <c r="BG9" s="69"/>
    </row>
    <row r="10" spans="1:69" ht="12.75">
      <c r="A10" s="72" t="s">
        <v>45</v>
      </c>
      <c r="B10" s="73">
        <v>3599.5</v>
      </c>
      <c r="C10" s="54">
        <f aca="true" t="shared" si="0" ref="C10:C21">B10*8.55</f>
        <v>30775.725000000002</v>
      </c>
      <c r="D10" s="48">
        <v>267.75</v>
      </c>
      <c r="E10" s="81">
        <v>0</v>
      </c>
      <c r="F10" s="81">
        <v>0</v>
      </c>
      <c r="G10" s="74">
        <v>18882.28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8993.39</v>
      </c>
      <c r="N10" s="74">
        <v>0</v>
      </c>
      <c r="O10" s="74">
        <v>3118.67</v>
      </c>
      <c r="P10" s="75">
        <v>0</v>
      </c>
      <c r="Q10" s="76">
        <v>0</v>
      </c>
      <c r="R10" s="77">
        <v>0</v>
      </c>
      <c r="S10" s="76">
        <v>0</v>
      </c>
      <c r="T10" s="77">
        <v>0</v>
      </c>
      <c r="U10" s="78">
        <f aca="true" t="shared" si="1" ref="U10:V21">E10+G10+I10+K10+M10+O10+Q10+S10</f>
        <v>30994.339999999997</v>
      </c>
      <c r="V10" s="79">
        <f t="shared" si="1"/>
        <v>0</v>
      </c>
      <c r="W10" s="80">
        <v>2430.5</v>
      </c>
      <c r="X10" s="80"/>
      <c r="Y10" s="80">
        <v>3287.77</v>
      </c>
      <c r="Z10" s="80">
        <v>5476.81</v>
      </c>
      <c r="AA10" s="80">
        <v>7906.42</v>
      </c>
      <c r="AB10" s="80">
        <v>3943.58</v>
      </c>
      <c r="AC10" s="80">
        <v>0</v>
      </c>
      <c r="AD10" s="81">
        <v>0</v>
      </c>
      <c r="AE10" s="82">
        <v>0</v>
      </c>
      <c r="AF10" s="82">
        <f>SUM(W10:AE10)</f>
        <v>23045.08</v>
      </c>
      <c r="AG10" s="83">
        <f>AF10+V10+D10</f>
        <v>23312.83</v>
      </c>
      <c r="AH10" s="84">
        <f aca="true" t="shared" si="2" ref="AH10:AI21">AC10</f>
        <v>0</v>
      </c>
      <c r="AI10" s="84">
        <f t="shared" si="2"/>
        <v>0</v>
      </c>
      <c r="AJ10" s="85">
        <f>'[9]Т01'!$I$62+'[9]Т01'!$I$85+'[9]Т01'!$I$169</f>
        <v>2335.6839999999997</v>
      </c>
      <c r="AK10" s="86">
        <f aca="true" t="shared" si="3" ref="AK10:AK21">0.67*B10</f>
        <v>2411.665</v>
      </c>
      <c r="AL10" s="86">
        <f aca="true" t="shared" si="4" ref="AL10:AL21">B10*0.2</f>
        <v>719.9000000000001</v>
      </c>
      <c r="AM10" s="86">
        <f aca="true" t="shared" si="5" ref="AM10:AM21">B10*1</f>
        <v>3599.5</v>
      </c>
      <c r="AN10" s="86">
        <f aca="true" t="shared" si="6" ref="AN10:AN21">B10*0.21</f>
        <v>755.895</v>
      </c>
      <c r="AO10" s="86">
        <f aca="true" t="shared" si="7" ref="AO10:AO21">2.02*B10</f>
        <v>7270.99</v>
      </c>
      <c r="AP10" s="86">
        <f aca="true" t="shared" si="8" ref="AP10:AP21">B10*1.03</f>
        <v>3707.485</v>
      </c>
      <c r="AQ10" s="86">
        <f aca="true" t="shared" si="9" ref="AQ10:AQ21">B10*0.75</f>
        <v>2699.625</v>
      </c>
      <c r="AR10" s="86">
        <f aca="true" t="shared" si="10" ref="AR10:AR21">B10*0.75</f>
        <v>2699.625</v>
      </c>
      <c r="AS10" s="86">
        <f>B10*1.15</f>
        <v>4139.424999999999</v>
      </c>
      <c r="AT10" s="86">
        <f aca="true" t="shared" si="11" ref="AT10:AT21">0.45*883.2</f>
        <v>397.44000000000005</v>
      </c>
      <c r="AU10" s="87"/>
      <c r="AV10" s="88"/>
      <c r="AW10" s="87"/>
      <c r="AX10" s="87">
        <f>77.6</f>
        <v>77.6</v>
      </c>
      <c r="AY10" s="87"/>
      <c r="AZ10" s="50"/>
      <c r="BA10" s="89"/>
      <c r="BB10" s="89">
        <f>BA10*0.18</f>
        <v>0</v>
      </c>
      <c r="BC10" s="89">
        <f aca="true" t="shared" si="12" ref="BC10:BC21">SUM(AK10:BB10)</f>
        <v>28479.149999999998</v>
      </c>
      <c r="BD10" s="90">
        <f>'[9]Т01'!$R$62+'[9]Т01'!$R$85+'[9]Т01'!$R$169</f>
        <v>1419.078</v>
      </c>
      <c r="BE10" s="90">
        <f>BC10+BD10</f>
        <v>29898.228</v>
      </c>
      <c r="BF10" s="90">
        <f>AG10+AJ10-BE10</f>
        <v>-4249.713999999996</v>
      </c>
      <c r="BG10" s="176">
        <f>AF10-U10</f>
        <v>-7949.259999999995</v>
      </c>
      <c r="BH10" s="209"/>
      <c r="BI10" s="209"/>
      <c r="BJ10" s="209"/>
      <c r="BK10" s="208"/>
      <c r="BL10" s="208"/>
      <c r="BM10" s="210"/>
      <c r="BN10" s="36"/>
      <c r="BO10" s="91"/>
      <c r="BP10" s="36"/>
      <c r="BQ10" s="91"/>
    </row>
    <row r="11" spans="1:69" ht="12.75">
      <c r="A11" s="72" t="s">
        <v>46</v>
      </c>
      <c r="B11" s="73">
        <v>3597.3</v>
      </c>
      <c r="C11" s="54">
        <f t="shared" si="0"/>
        <v>30756.915000000005</v>
      </c>
      <c r="D11" s="48">
        <v>267.75</v>
      </c>
      <c r="E11" s="81">
        <v>-2.31</v>
      </c>
      <c r="F11" s="81">
        <v>0</v>
      </c>
      <c r="G11" s="74">
        <v>18147.8</v>
      </c>
      <c r="H11" s="74">
        <v>0</v>
      </c>
      <c r="I11" s="74">
        <v>-3.15</v>
      </c>
      <c r="J11" s="74">
        <v>0</v>
      </c>
      <c r="K11" s="74">
        <v>-5.21</v>
      </c>
      <c r="L11" s="74">
        <v>0</v>
      </c>
      <c r="M11" s="74">
        <v>8980.02</v>
      </c>
      <c r="N11" s="74">
        <v>0</v>
      </c>
      <c r="O11" s="74">
        <v>3114.79</v>
      </c>
      <c r="P11" s="75">
        <v>0</v>
      </c>
      <c r="Q11" s="81">
        <v>0</v>
      </c>
      <c r="R11" s="81">
        <v>0</v>
      </c>
      <c r="S11" s="81">
        <v>0</v>
      </c>
      <c r="T11" s="80">
        <v>0</v>
      </c>
      <c r="U11" s="92">
        <f t="shared" si="1"/>
        <v>30231.94</v>
      </c>
      <c r="V11" s="79">
        <f t="shared" si="1"/>
        <v>0</v>
      </c>
      <c r="W11" s="80">
        <v>207.28</v>
      </c>
      <c r="X11" s="81">
        <v>13963.21</v>
      </c>
      <c r="Y11" s="80">
        <v>280.85</v>
      </c>
      <c r="Z11" s="80">
        <v>467.62</v>
      </c>
      <c r="AA11" s="80">
        <v>7128.96</v>
      </c>
      <c r="AB11" s="80">
        <v>2496.14</v>
      </c>
      <c r="AC11" s="80">
        <v>0</v>
      </c>
      <c r="AD11" s="81">
        <v>0</v>
      </c>
      <c r="AE11" s="81">
        <v>0</v>
      </c>
      <c r="AF11" s="82">
        <f>SUM(W11:AE11)</f>
        <v>24544.06</v>
      </c>
      <c r="AG11" s="83">
        <f>AF11+V11+D11</f>
        <v>24811.81</v>
      </c>
      <c r="AH11" s="84">
        <f t="shared" si="2"/>
        <v>0</v>
      </c>
      <c r="AI11" s="84">
        <f t="shared" si="2"/>
        <v>0</v>
      </c>
      <c r="AJ11" s="85">
        <f>'[9]Т02'!$J$62+'[9]Т02'!$J$85+'[9]Т02'!$J$171</f>
        <v>2335.6839999999997</v>
      </c>
      <c r="AK11" s="86">
        <f t="shared" si="3"/>
        <v>2410.1910000000003</v>
      </c>
      <c r="AL11" s="86">
        <f t="shared" si="4"/>
        <v>719.46</v>
      </c>
      <c r="AM11" s="86">
        <f t="shared" si="5"/>
        <v>3597.3</v>
      </c>
      <c r="AN11" s="86">
        <f t="shared" si="6"/>
        <v>755.433</v>
      </c>
      <c r="AO11" s="86">
        <f t="shared" si="7"/>
        <v>7266.546</v>
      </c>
      <c r="AP11" s="86">
        <f t="shared" si="8"/>
        <v>3705.2190000000005</v>
      </c>
      <c r="AQ11" s="86">
        <f t="shared" si="9"/>
        <v>2697.9750000000004</v>
      </c>
      <c r="AR11" s="86">
        <f t="shared" si="10"/>
        <v>2697.9750000000004</v>
      </c>
      <c r="AS11" s="86">
        <f>B11*1.15</f>
        <v>4136.8949999999995</v>
      </c>
      <c r="AT11" s="86">
        <f t="shared" si="11"/>
        <v>397.44000000000005</v>
      </c>
      <c r="AU11" s="87"/>
      <c r="AV11" s="88"/>
      <c r="AW11" s="87"/>
      <c r="AX11" s="87">
        <f>22.56+547+290</f>
        <v>859.56</v>
      </c>
      <c r="AY11" s="87"/>
      <c r="AZ11" s="50"/>
      <c r="BA11" s="89"/>
      <c r="BB11" s="89">
        <f>BA11*0.18</f>
        <v>0</v>
      </c>
      <c r="BC11" s="89">
        <f t="shared" si="12"/>
        <v>29243.994000000002</v>
      </c>
      <c r="BD11" s="90">
        <f>'[9]Т02'!$S$62+'[9]Т02'!$S$85+'[9]Т02'!$S$170</f>
        <v>1419.078</v>
      </c>
      <c r="BE11" s="90">
        <f aca="true" t="shared" si="13" ref="BE11:BE21">BC11+BD11</f>
        <v>30663.072000000004</v>
      </c>
      <c r="BF11" s="90">
        <f aca="true" t="shared" si="14" ref="BF11:BF21">AG11+AJ11-BE11</f>
        <v>-3515.5780000000013</v>
      </c>
      <c r="BG11" s="176">
        <f aca="true" t="shared" si="15" ref="BG11:BG21">AF11-U11</f>
        <v>-5687.879999999997</v>
      </c>
      <c r="BH11" s="209"/>
      <c r="BI11" s="208"/>
      <c r="BJ11" s="208"/>
      <c r="BK11" s="210"/>
      <c r="BL11" s="210"/>
      <c r="BM11" s="210"/>
      <c r="BN11" s="60"/>
      <c r="BO11" s="60"/>
      <c r="BP11" s="60"/>
      <c r="BQ11" s="60"/>
    </row>
    <row r="12" spans="1:69" ht="12.75">
      <c r="A12" s="72" t="s">
        <v>47</v>
      </c>
      <c r="B12" s="73">
        <v>3597.3</v>
      </c>
      <c r="C12" s="54">
        <f t="shared" si="0"/>
        <v>30756.915000000005</v>
      </c>
      <c r="D12" s="48">
        <v>267.75</v>
      </c>
      <c r="E12" s="81">
        <v>0</v>
      </c>
      <c r="F12" s="81">
        <v>0</v>
      </c>
      <c r="G12" s="74">
        <v>18523.43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8994.62</v>
      </c>
      <c r="N12" s="74">
        <v>0</v>
      </c>
      <c r="O12" s="74">
        <v>3119.17</v>
      </c>
      <c r="P12" s="74">
        <v>0</v>
      </c>
      <c r="Q12" s="74">
        <v>0</v>
      </c>
      <c r="R12" s="74">
        <v>0</v>
      </c>
      <c r="S12" s="80">
        <v>0</v>
      </c>
      <c r="T12" s="80">
        <v>0</v>
      </c>
      <c r="U12" s="80">
        <f t="shared" si="1"/>
        <v>30637.22</v>
      </c>
      <c r="V12" s="93">
        <f t="shared" si="1"/>
        <v>0</v>
      </c>
      <c r="W12" s="94">
        <v>2623.16</v>
      </c>
      <c r="X12" s="81">
        <v>17162.17</v>
      </c>
      <c r="Y12" s="80">
        <v>844.42</v>
      </c>
      <c r="Z12" s="80">
        <v>1405.3</v>
      </c>
      <c r="AA12" s="80">
        <v>10077.15</v>
      </c>
      <c r="AB12" s="80">
        <v>3393.3</v>
      </c>
      <c r="AC12" s="80">
        <v>0</v>
      </c>
      <c r="AD12" s="81">
        <v>0</v>
      </c>
      <c r="AE12" s="80">
        <v>0</v>
      </c>
      <c r="AF12" s="95">
        <f>SUM(W12:AE12)</f>
        <v>35505.5</v>
      </c>
      <c r="AG12" s="83">
        <f>AF12+V12+D12</f>
        <v>35773.25</v>
      </c>
      <c r="AH12" s="84">
        <f t="shared" si="2"/>
        <v>0</v>
      </c>
      <c r="AI12" s="84">
        <f t="shared" si="2"/>
        <v>0</v>
      </c>
      <c r="AJ12" s="85">
        <f>'[9]Т03'!$J$62+'[9]Т03'!$J$85+'[9]Т03'!$J$171</f>
        <v>2335.6839999999997</v>
      </c>
      <c r="AK12" s="86">
        <f t="shared" si="3"/>
        <v>2410.1910000000003</v>
      </c>
      <c r="AL12" s="86">
        <f t="shared" si="4"/>
        <v>719.46</v>
      </c>
      <c r="AM12" s="86">
        <f t="shared" si="5"/>
        <v>3597.3</v>
      </c>
      <c r="AN12" s="86">
        <f t="shared" si="6"/>
        <v>755.433</v>
      </c>
      <c r="AO12" s="86">
        <f t="shared" si="7"/>
        <v>7266.546</v>
      </c>
      <c r="AP12" s="86">
        <f t="shared" si="8"/>
        <v>3705.2190000000005</v>
      </c>
      <c r="AQ12" s="86">
        <f t="shared" si="9"/>
        <v>2697.9750000000004</v>
      </c>
      <c r="AR12" s="86">
        <f t="shared" si="10"/>
        <v>2697.9750000000004</v>
      </c>
      <c r="AS12" s="86">
        <f>B12*1.15</f>
        <v>4136.8949999999995</v>
      </c>
      <c r="AT12" s="86">
        <f t="shared" si="11"/>
        <v>397.44000000000005</v>
      </c>
      <c r="AU12" s="87">
        <v>1113</v>
      </c>
      <c r="AV12" s="88">
        <v>960</v>
      </c>
      <c r="AW12" s="87"/>
      <c r="AX12" s="87">
        <f>'[10]март 2011'!$F$37+'[10]март 2011'!$F$45+'[10]март 2011'!$F$54+'[10]март 2011'!$F$57+'[10]март 2011'!$F$178</f>
        <v>917</v>
      </c>
      <c r="AY12" s="87"/>
      <c r="AZ12" s="50"/>
      <c r="BA12" s="89"/>
      <c r="BB12" s="89">
        <f>BA12*0.18</f>
        <v>0</v>
      </c>
      <c r="BC12" s="89">
        <f t="shared" si="12"/>
        <v>31374.434</v>
      </c>
      <c r="BD12" s="90">
        <f>'[9]Т03'!$S$62+'[9]Т03'!$S$85+'[9]Т03'!$S$171</f>
        <v>1419.078</v>
      </c>
      <c r="BE12" s="90">
        <f t="shared" si="13"/>
        <v>32793.512</v>
      </c>
      <c r="BF12" s="90">
        <f t="shared" si="14"/>
        <v>5315.421999999999</v>
      </c>
      <c r="BG12" s="176">
        <f t="shared" si="15"/>
        <v>4868.279999999999</v>
      </c>
      <c r="BH12" s="209"/>
      <c r="BI12" s="208"/>
      <c r="BJ12" s="208"/>
      <c r="BK12" s="210"/>
      <c r="BL12" s="210"/>
      <c r="BM12" s="211"/>
      <c r="BN12" s="60"/>
      <c r="BO12" s="60"/>
      <c r="BP12" s="60"/>
      <c r="BQ12" s="60"/>
    </row>
    <row r="13" spans="1:69" ht="12.75">
      <c r="A13" s="72" t="s">
        <v>48</v>
      </c>
      <c r="B13" s="73">
        <v>3597.3</v>
      </c>
      <c r="C13" s="54">
        <f t="shared" si="0"/>
        <v>30756.915000000005</v>
      </c>
      <c r="D13" s="48">
        <v>267.75</v>
      </c>
      <c r="E13" s="103">
        <v>0</v>
      </c>
      <c r="F13" s="81">
        <v>0</v>
      </c>
      <c r="G13" s="188">
        <v>18509.04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8987.55</v>
      </c>
      <c r="N13" s="74">
        <v>0</v>
      </c>
      <c r="O13" s="74">
        <v>3116.65</v>
      </c>
      <c r="P13" s="75">
        <v>0</v>
      </c>
      <c r="Q13" s="156">
        <v>0</v>
      </c>
      <c r="R13" s="155">
        <v>0</v>
      </c>
      <c r="S13" s="103">
        <v>0</v>
      </c>
      <c r="T13" s="96">
        <v>0</v>
      </c>
      <c r="U13" s="92">
        <f t="shared" si="1"/>
        <v>30613.24</v>
      </c>
      <c r="V13" s="93">
        <f t="shared" si="1"/>
        <v>0</v>
      </c>
      <c r="W13" s="80">
        <v>101.7</v>
      </c>
      <c r="X13" s="81">
        <v>15768.83</v>
      </c>
      <c r="Y13" s="80">
        <v>137.46</v>
      </c>
      <c r="Z13" s="80">
        <v>2229.33</v>
      </c>
      <c r="AA13" s="80">
        <v>7733.9</v>
      </c>
      <c r="AB13" s="81">
        <v>4652.7</v>
      </c>
      <c r="AC13" s="80">
        <v>0</v>
      </c>
      <c r="AD13" s="81">
        <v>0</v>
      </c>
      <c r="AE13" s="81">
        <v>0</v>
      </c>
      <c r="AF13" s="82">
        <f>SUM(W13:AD13)</f>
        <v>30623.920000000002</v>
      </c>
      <c r="AG13" s="97">
        <f>AF13+V13+D13</f>
        <v>30891.670000000002</v>
      </c>
      <c r="AH13" s="98">
        <f t="shared" si="2"/>
        <v>0</v>
      </c>
      <c r="AI13" s="98">
        <f t="shared" si="2"/>
        <v>0</v>
      </c>
      <c r="AJ13" s="99">
        <f>'[11]Т04'!$J$62+'[11]Т04'!$J$86+'[11]Т04'!$J$173</f>
        <v>2335.6839999999997</v>
      </c>
      <c r="AK13" s="86">
        <f t="shared" si="3"/>
        <v>2410.1910000000003</v>
      </c>
      <c r="AL13" s="86">
        <f t="shared" si="4"/>
        <v>719.46</v>
      </c>
      <c r="AM13" s="86">
        <f t="shared" si="5"/>
        <v>3597.3</v>
      </c>
      <c r="AN13" s="86">
        <f t="shared" si="6"/>
        <v>755.433</v>
      </c>
      <c r="AO13" s="86">
        <f t="shared" si="7"/>
        <v>7266.546</v>
      </c>
      <c r="AP13" s="86">
        <f t="shared" si="8"/>
        <v>3705.2190000000005</v>
      </c>
      <c r="AQ13" s="86">
        <f t="shared" si="9"/>
        <v>2697.9750000000004</v>
      </c>
      <c r="AR13" s="86">
        <f t="shared" si="10"/>
        <v>2697.9750000000004</v>
      </c>
      <c r="AS13" s="86"/>
      <c r="AT13" s="100">
        <f t="shared" si="11"/>
        <v>397.44000000000005</v>
      </c>
      <c r="AU13" s="101">
        <v>6450</v>
      </c>
      <c r="AV13" s="101"/>
      <c r="AW13" s="101"/>
      <c r="AX13" s="101">
        <f>213+143</f>
        <v>356</v>
      </c>
      <c r="AY13" s="101"/>
      <c r="AZ13" s="50"/>
      <c r="BA13" s="100"/>
      <c r="BB13" s="100"/>
      <c r="BC13" s="74">
        <f t="shared" si="12"/>
        <v>31053.539</v>
      </c>
      <c r="BD13" s="157">
        <f>'[9]Т04'!$S$62+'[9]Т04'!$S$86+'[9]Т04'!$S$173</f>
        <v>1419.078</v>
      </c>
      <c r="BE13" s="90">
        <f t="shared" si="13"/>
        <v>32472.617000000002</v>
      </c>
      <c r="BF13" s="90">
        <f t="shared" si="14"/>
        <v>754.7369999999974</v>
      </c>
      <c r="BG13" s="176">
        <f t="shared" si="15"/>
        <v>10.680000000000291</v>
      </c>
      <c r="BH13" s="209"/>
      <c r="BI13" s="208"/>
      <c r="BJ13" s="208"/>
      <c r="BK13" s="208"/>
      <c r="BL13" s="210"/>
      <c r="BM13" s="210"/>
      <c r="BN13" s="91"/>
      <c r="BO13" s="60"/>
      <c r="BP13" s="60"/>
      <c r="BQ13" s="60"/>
    </row>
    <row r="14" spans="1:69" ht="12.75">
      <c r="A14" s="72" t="s">
        <v>49</v>
      </c>
      <c r="B14" s="102">
        <v>3597.3</v>
      </c>
      <c r="C14" s="54">
        <f t="shared" si="0"/>
        <v>30756.915000000005</v>
      </c>
      <c r="D14" s="48">
        <v>267.75</v>
      </c>
      <c r="E14" s="158">
        <v>-1.46</v>
      </c>
      <c r="F14" s="81">
        <v>0</v>
      </c>
      <c r="G14" s="74">
        <v>18512.19</v>
      </c>
      <c r="H14" s="74">
        <v>0</v>
      </c>
      <c r="I14" s="74">
        <v>-1.98</v>
      </c>
      <c r="J14" s="74">
        <v>0</v>
      </c>
      <c r="K14" s="74">
        <v>-3.3</v>
      </c>
      <c r="L14" s="74">
        <v>0</v>
      </c>
      <c r="M14" s="74">
        <v>8984.34</v>
      </c>
      <c r="N14" s="74">
        <v>0</v>
      </c>
      <c r="O14" s="74">
        <v>3116.04</v>
      </c>
      <c r="P14" s="75">
        <v>0</v>
      </c>
      <c r="Q14" s="74">
        <v>0</v>
      </c>
      <c r="R14" s="75">
        <v>0</v>
      </c>
      <c r="S14" s="80">
        <v>0</v>
      </c>
      <c r="T14" s="81">
        <v>0</v>
      </c>
      <c r="U14" s="103">
        <f t="shared" si="1"/>
        <v>30605.83</v>
      </c>
      <c r="V14" s="104">
        <f>F14+H14+J14+L14+N14++R14+T14</f>
        <v>0</v>
      </c>
      <c r="W14" s="80">
        <v>1952.78</v>
      </c>
      <c r="X14" s="81">
        <v>18630.29</v>
      </c>
      <c r="Y14" s="80">
        <v>1936.32</v>
      </c>
      <c r="Z14" s="80">
        <v>-106.38</v>
      </c>
      <c r="AA14" s="80">
        <v>8405.33</v>
      </c>
      <c r="AB14" s="80">
        <v>2982.58</v>
      </c>
      <c r="AC14" s="80">
        <v>0</v>
      </c>
      <c r="AD14" s="81">
        <v>0</v>
      </c>
      <c r="AE14" s="82">
        <v>0</v>
      </c>
      <c r="AF14" s="105">
        <f>SUM(W14:AE14)</f>
        <v>33800.92</v>
      </c>
      <c r="AG14" s="97">
        <f aca="true" t="shared" si="16" ref="AG14:AG21">D14+V14+AF14</f>
        <v>34068.67</v>
      </c>
      <c r="AH14" s="98">
        <f t="shared" si="2"/>
        <v>0</v>
      </c>
      <c r="AI14" s="98">
        <f t="shared" si="2"/>
        <v>0</v>
      </c>
      <c r="AJ14" s="99">
        <f>'[9]Т05'!$J$62+'[9]Т05'!$J$84+'[9]Т05'!$J$171</f>
        <v>2335.6839999999997</v>
      </c>
      <c r="AK14" s="86">
        <f t="shared" si="3"/>
        <v>2410.1910000000003</v>
      </c>
      <c r="AL14" s="86">
        <f t="shared" si="4"/>
        <v>719.46</v>
      </c>
      <c r="AM14" s="86">
        <f t="shared" si="5"/>
        <v>3597.3</v>
      </c>
      <c r="AN14" s="86">
        <f t="shared" si="6"/>
        <v>755.433</v>
      </c>
      <c r="AO14" s="86">
        <f t="shared" si="7"/>
        <v>7266.546</v>
      </c>
      <c r="AP14" s="86">
        <f t="shared" si="8"/>
        <v>3705.2190000000005</v>
      </c>
      <c r="AQ14" s="86">
        <f t="shared" si="9"/>
        <v>2697.9750000000004</v>
      </c>
      <c r="AR14" s="86">
        <f t="shared" si="10"/>
        <v>2697.9750000000004</v>
      </c>
      <c r="AS14" s="86"/>
      <c r="AT14" s="100">
        <f t="shared" si="11"/>
        <v>397.44000000000005</v>
      </c>
      <c r="AU14" s="101">
        <v>3272</v>
      </c>
      <c r="AV14" s="101">
        <v>125</v>
      </c>
      <c r="AW14" s="101">
        <v>2099</v>
      </c>
      <c r="AX14" s="101">
        <f>388.26</f>
        <v>388.26</v>
      </c>
      <c r="AY14" s="101"/>
      <c r="AZ14" s="50"/>
      <c r="BA14" s="100"/>
      <c r="BB14" s="100"/>
      <c r="BC14" s="74">
        <f t="shared" si="12"/>
        <v>30131.799</v>
      </c>
      <c r="BD14" s="157">
        <f>'[9]Т05'!$S$62+'[9]Т05'!$S$84+'[9]Т05'!$S$171</f>
        <v>1419.078</v>
      </c>
      <c r="BE14" s="90">
        <f t="shared" si="13"/>
        <v>31550.877</v>
      </c>
      <c r="BF14" s="90">
        <f t="shared" si="14"/>
        <v>4853.476999999999</v>
      </c>
      <c r="BG14" s="176">
        <f t="shared" si="15"/>
        <v>3195.0899999999965</v>
      </c>
      <c r="BH14" s="209"/>
      <c r="BI14" s="208"/>
      <c r="BJ14" s="208"/>
      <c r="BK14" s="210"/>
      <c r="BL14" s="210"/>
      <c r="BM14" s="210"/>
      <c r="BN14" s="60"/>
      <c r="BO14" s="60"/>
      <c r="BP14" s="60"/>
      <c r="BQ14" s="60"/>
    </row>
    <row r="15" spans="1:69" ht="12.75">
      <c r="A15" s="72" t="s">
        <v>50</v>
      </c>
      <c r="B15" s="73">
        <v>3597.3</v>
      </c>
      <c r="C15" s="54">
        <f t="shared" si="0"/>
        <v>30756.915000000005</v>
      </c>
      <c r="D15" s="48">
        <v>267.75</v>
      </c>
      <c r="E15" s="106">
        <v>0</v>
      </c>
      <c r="F15" s="106"/>
      <c r="G15" s="106">
        <v>18513.91</v>
      </c>
      <c r="H15" s="106"/>
      <c r="I15" s="107">
        <v>0</v>
      </c>
      <c r="J15" s="107"/>
      <c r="K15" s="107">
        <v>0</v>
      </c>
      <c r="L15" s="107"/>
      <c r="M15" s="107">
        <v>8989.93</v>
      </c>
      <c r="N15" s="107"/>
      <c r="O15" s="107">
        <v>3117.51</v>
      </c>
      <c r="P15" s="107"/>
      <c r="Q15" s="107">
        <v>0</v>
      </c>
      <c r="R15" s="108"/>
      <c r="S15" s="108">
        <v>0</v>
      </c>
      <c r="T15" s="107"/>
      <c r="U15" s="109">
        <f t="shared" si="1"/>
        <v>30621.35</v>
      </c>
      <c r="V15" s="110">
        <f t="shared" si="1"/>
        <v>0</v>
      </c>
      <c r="W15" s="111">
        <v>-1546.19</v>
      </c>
      <c r="X15" s="106">
        <v>19198.16</v>
      </c>
      <c r="Y15" s="106">
        <v>643.88</v>
      </c>
      <c r="Z15" s="106">
        <v>-976.68</v>
      </c>
      <c r="AA15" s="106">
        <v>8370.91</v>
      </c>
      <c r="AB15" s="106">
        <v>1608.71</v>
      </c>
      <c r="AC15" s="106">
        <v>0</v>
      </c>
      <c r="AD15" s="106">
        <v>0</v>
      </c>
      <c r="AE15" s="112">
        <v>0</v>
      </c>
      <c r="AF15" s="113">
        <f aca="true" t="shared" si="17" ref="AF15:AF21">SUM(W15:AE15)</f>
        <v>27298.79</v>
      </c>
      <c r="AG15" s="97">
        <f t="shared" si="16"/>
        <v>27566.54</v>
      </c>
      <c r="AH15" s="98">
        <f t="shared" si="2"/>
        <v>0</v>
      </c>
      <c r="AI15" s="98">
        <f t="shared" si="2"/>
        <v>0</v>
      </c>
      <c r="AJ15" s="99">
        <f>'[9]Т06'!$J$62+'[9]Т06'!$J$84+'[9]Т06'!$J$171</f>
        <v>2335.6839999999997</v>
      </c>
      <c r="AK15" s="86">
        <f t="shared" si="3"/>
        <v>2410.1910000000003</v>
      </c>
      <c r="AL15" s="86">
        <f t="shared" si="4"/>
        <v>719.46</v>
      </c>
      <c r="AM15" s="86">
        <f t="shared" si="5"/>
        <v>3597.3</v>
      </c>
      <c r="AN15" s="86">
        <f t="shared" si="6"/>
        <v>755.433</v>
      </c>
      <c r="AO15" s="86">
        <f t="shared" si="7"/>
        <v>7266.546</v>
      </c>
      <c r="AP15" s="86">
        <f t="shared" si="8"/>
        <v>3705.2190000000005</v>
      </c>
      <c r="AQ15" s="86">
        <f t="shared" si="9"/>
        <v>2697.9750000000004</v>
      </c>
      <c r="AR15" s="86">
        <f t="shared" si="10"/>
        <v>2697.9750000000004</v>
      </c>
      <c r="AS15" s="86"/>
      <c r="AT15" s="100">
        <f t="shared" si="11"/>
        <v>397.44000000000005</v>
      </c>
      <c r="AU15" s="101">
        <v>864</v>
      </c>
      <c r="AV15" s="101"/>
      <c r="AW15" s="101"/>
      <c r="AX15" s="101">
        <f>84.5+430</f>
        <v>514.5</v>
      </c>
      <c r="AY15" s="101"/>
      <c r="AZ15" s="86"/>
      <c r="BA15" s="100"/>
      <c r="BB15" s="100"/>
      <c r="BC15" s="213">
        <f t="shared" si="12"/>
        <v>25626.039</v>
      </c>
      <c r="BD15" s="157">
        <f>'[9]Т06'!$S$62+'[9]Т06'!$S$84+'[9]Т06'!$S$171</f>
        <v>1419.078</v>
      </c>
      <c r="BE15" s="90">
        <f t="shared" si="13"/>
        <v>27045.117000000002</v>
      </c>
      <c r="BF15" s="90">
        <f t="shared" si="14"/>
        <v>2857.107</v>
      </c>
      <c r="BG15" s="176">
        <f t="shared" si="15"/>
        <v>-3322.5599999999977</v>
      </c>
      <c r="BH15" s="209"/>
      <c r="BI15" s="208"/>
      <c r="BJ15" s="208"/>
      <c r="BK15" s="210"/>
      <c r="BL15" s="210"/>
      <c r="BM15" s="210"/>
      <c r="BN15" s="60"/>
      <c r="BO15" s="60"/>
      <c r="BP15" s="60"/>
      <c r="BQ15" s="60"/>
    </row>
    <row r="16" spans="1:69" ht="12.75">
      <c r="A16" s="72" t="s">
        <v>51</v>
      </c>
      <c r="B16" s="73">
        <v>3597.3</v>
      </c>
      <c r="C16" s="54">
        <f t="shared" si="0"/>
        <v>30756.915000000005</v>
      </c>
      <c r="D16" s="48">
        <v>267.75</v>
      </c>
      <c r="E16" s="114"/>
      <c r="F16" s="114"/>
      <c r="G16" s="114">
        <v>18506.9</v>
      </c>
      <c r="H16" s="114"/>
      <c r="I16" s="114"/>
      <c r="J16" s="114"/>
      <c r="K16" s="114"/>
      <c r="L16" s="114"/>
      <c r="M16" s="114">
        <v>8986.5</v>
      </c>
      <c r="N16" s="114"/>
      <c r="O16" s="114">
        <v>3116.26</v>
      </c>
      <c r="P16" s="114"/>
      <c r="Q16" s="114"/>
      <c r="R16" s="114"/>
      <c r="S16" s="115"/>
      <c r="T16" s="111"/>
      <c r="U16" s="116">
        <f t="shared" si="1"/>
        <v>30609.660000000003</v>
      </c>
      <c r="V16" s="196">
        <f t="shared" si="1"/>
        <v>0</v>
      </c>
      <c r="W16" s="117">
        <v>4.99</v>
      </c>
      <c r="X16" s="114">
        <v>17176.6</v>
      </c>
      <c r="Y16" s="114">
        <v>6.77</v>
      </c>
      <c r="Z16" s="114">
        <v>1483.26</v>
      </c>
      <c r="AA16" s="114">
        <v>8359.5</v>
      </c>
      <c r="AB16" s="114">
        <v>2898.49</v>
      </c>
      <c r="AC16" s="106"/>
      <c r="AD16" s="114"/>
      <c r="AE16" s="115"/>
      <c r="AF16" s="113">
        <f t="shared" si="17"/>
        <v>29929.61</v>
      </c>
      <c r="AG16" s="118">
        <f t="shared" si="16"/>
        <v>30197.36</v>
      </c>
      <c r="AH16" s="98">
        <f t="shared" si="2"/>
        <v>0</v>
      </c>
      <c r="AI16" s="98">
        <f t="shared" si="2"/>
        <v>0</v>
      </c>
      <c r="AJ16" s="99">
        <f>'[9]Т07'!$J$62+'[9]Т07'!$J$84+'[9]Т07'!$J$175</f>
        <v>2335.6839999999997</v>
      </c>
      <c r="AK16" s="86">
        <f t="shared" si="3"/>
        <v>2410.1910000000003</v>
      </c>
      <c r="AL16" s="86">
        <f t="shared" si="4"/>
        <v>719.46</v>
      </c>
      <c r="AM16" s="86">
        <f t="shared" si="5"/>
        <v>3597.3</v>
      </c>
      <c r="AN16" s="86">
        <f t="shared" si="6"/>
        <v>755.433</v>
      </c>
      <c r="AO16" s="86">
        <f t="shared" si="7"/>
        <v>7266.546</v>
      </c>
      <c r="AP16" s="86">
        <f t="shared" si="8"/>
        <v>3705.2190000000005</v>
      </c>
      <c r="AQ16" s="86">
        <f t="shared" si="9"/>
        <v>2697.9750000000004</v>
      </c>
      <c r="AR16" s="86">
        <f t="shared" si="10"/>
        <v>2697.9750000000004</v>
      </c>
      <c r="AS16" s="86"/>
      <c r="AT16" s="100">
        <f t="shared" si="11"/>
        <v>397.44000000000005</v>
      </c>
      <c r="AU16" s="101"/>
      <c r="AV16" s="101"/>
      <c r="AW16" s="101"/>
      <c r="AX16" s="101">
        <f>96.43+18.86+40.7</f>
        <v>155.99</v>
      </c>
      <c r="AY16" s="101"/>
      <c r="AZ16" s="50"/>
      <c r="BA16" s="100"/>
      <c r="BB16" s="100"/>
      <c r="BC16" s="74">
        <f t="shared" si="12"/>
        <v>24403.529000000002</v>
      </c>
      <c r="BD16" s="157">
        <f>'[9]Т07'!$S$62+'[9]Т07'!$S$84+'[9]Т07'!$S$175</f>
        <v>1419.078</v>
      </c>
      <c r="BE16" s="90">
        <f t="shared" si="13"/>
        <v>25822.607000000004</v>
      </c>
      <c r="BF16" s="90">
        <f t="shared" si="14"/>
        <v>6710.436999999998</v>
      </c>
      <c r="BG16" s="176">
        <f t="shared" si="15"/>
        <v>-680.0500000000029</v>
      </c>
      <c r="BH16" s="209"/>
      <c r="BI16" s="208"/>
      <c r="BJ16" s="208"/>
      <c r="BK16" s="211"/>
      <c r="BL16" s="211"/>
      <c r="BM16" s="211"/>
      <c r="BN16" s="60"/>
      <c r="BO16" s="60"/>
      <c r="BP16" s="60"/>
      <c r="BQ16" s="60"/>
    </row>
    <row r="17" spans="1:69" ht="12.75">
      <c r="A17" s="72" t="s">
        <v>52</v>
      </c>
      <c r="B17" s="73">
        <v>3597.3</v>
      </c>
      <c r="C17" s="54">
        <f t="shared" si="0"/>
        <v>30756.915000000005</v>
      </c>
      <c r="D17" s="48">
        <v>267.75</v>
      </c>
      <c r="E17" s="114"/>
      <c r="F17" s="114"/>
      <c r="G17" s="114">
        <v>18504.31</v>
      </c>
      <c r="H17" s="114"/>
      <c r="I17" s="114"/>
      <c r="J17" s="114"/>
      <c r="K17" s="114"/>
      <c r="L17" s="114"/>
      <c r="M17" s="114">
        <v>8985.21</v>
      </c>
      <c r="N17" s="114"/>
      <c r="O17" s="114">
        <v>3115.82</v>
      </c>
      <c r="P17" s="114"/>
      <c r="Q17" s="114"/>
      <c r="R17" s="114"/>
      <c r="S17" s="115"/>
      <c r="T17" s="112"/>
      <c r="U17" s="197">
        <f t="shared" si="1"/>
        <v>30605.34</v>
      </c>
      <c r="V17" s="198">
        <f t="shared" si="1"/>
        <v>0</v>
      </c>
      <c r="W17" s="114">
        <v>-1734.27</v>
      </c>
      <c r="X17" s="114">
        <v>19081.94</v>
      </c>
      <c r="Y17" s="114">
        <v>-1668.78</v>
      </c>
      <c r="Z17" s="114">
        <v>-872.6</v>
      </c>
      <c r="AA17" s="114">
        <v>8100.75</v>
      </c>
      <c r="AB17" s="114">
        <v>1395.95</v>
      </c>
      <c r="AC17" s="114"/>
      <c r="AD17" s="114"/>
      <c r="AE17" s="115"/>
      <c r="AF17" s="113">
        <f t="shared" si="17"/>
        <v>24302.989999999998</v>
      </c>
      <c r="AG17" s="118">
        <f t="shared" si="16"/>
        <v>24570.739999999998</v>
      </c>
      <c r="AH17" s="98">
        <f t="shared" si="2"/>
        <v>0</v>
      </c>
      <c r="AI17" s="98">
        <f t="shared" si="2"/>
        <v>0</v>
      </c>
      <c r="AJ17" s="99">
        <f>'[9]Т08'!$J$62+'[9]Т08'!$J$84+'[9]Т08'!$J$179</f>
        <v>2335.6839999999997</v>
      </c>
      <c r="AK17" s="86">
        <f t="shared" si="3"/>
        <v>2410.1910000000003</v>
      </c>
      <c r="AL17" s="86">
        <f t="shared" si="4"/>
        <v>719.46</v>
      </c>
      <c r="AM17" s="86">
        <f t="shared" si="5"/>
        <v>3597.3</v>
      </c>
      <c r="AN17" s="86">
        <f t="shared" si="6"/>
        <v>755.433</v>
      </c>
      <c r="AO17" s="86">
        <f t="shared" si="7"/>
        <v>7266.546</v>
      </c>
      <c r="AP17" s="86">
        <f t="shared" si="8"/>
        <v>3705.2190000000005</v>
      </c>
      <c r="AQ17" s="86">
        <f t="shared" si="9"/>
        <v>2697.9750000000004</v>
      </c>
      <c r="AR17" s="86">
        <f t="shared" si="10"/>
        <v>2697.9750000000004</v>
      </c>
      <c r="AS17" s="86"/>
      <c r="AT17" s="100">
        <f t="shared" si="11"/>
        <v>397.44000000000005</v>
      </c>
      <c r="AU17" s="101"/>
      <c r="AV17" s="101"/>
      <c r="AW17" s="101"/>
      <c r="AX17" s="101">
        <f>8+7.6</f>
        <v>15.6</v>
      </c>
      <c r="AY17" s="101"/>
      <c r="AZ17" s="50"/>
      <c r="BA17" s="100"/>
      <c r="BB17" s="100"/>
      <c r="BC17" s="74">
        <f t="shared" si="12"/>
        <v>24263.139</v>
      </c>
      <c r="BD17" s="157">
        <f>'[9]Т08'!$S$62+'[9]Т08'!$S$84+'[9]Т08'!$S$179</f>
        <v>1419.078</v>
      </c>
      <c r="BE17" s="90">
        <f t="shared" si="13"/>
        <v>25682.217</v>
      </c>
      <c r="BF17" s="90">
        <f t="shared" si="14"/>
        <v>1224.2069999999985</v>
      </c>
      <c r="BG17" s="176">
        <f t="shared" si="15"/>
        <v>-6302.350000000002</v>
      </c>
      <c r="BH17" s="209"/>
      <c r="BI17" s="208"/>
      <c r="BJ17" s="208"/>
      <c r="BK17" s="211"/>
      <c r="BL17" s="211"/>
      <c r="BM17" s="211"/>
      <c r="BN17" s="60"/>
      <c r="BO17" s="60"/>
      <c r="BP17" s="60"/>
      <c r="BQ17" s="60"/>
    </row>
    <row r="18" spans="1:69" ht="12.75">
      <c r="A18" s="72" t="s">
        <v>53</v>
      </c>
      <c r="B18" s="73">
        <v>3597.3</v>
      </c>
      <c r="C18" s="54">
        <f t="shared" si="0"/>
        <v>30756.915000000005</v>
      </c>
      <c r="D18" s="48">
        <v>267.75</v>
      </c>
      <c r="E18" s="114"/>
      <c r="F18" s="114"/>
      <c r="G18" s="114">
        <v>18870.74</v>
      </c>
      <c r="H18" s="114"/>
      <c r="I18" s="114"/>
      <c r="J18" s="114"/>
      <c r="K18" s="114"/>
      <c r="L18" s="114"/>
      <c r="M18" s="114">
        <v>9163.19</v>
      </c>
      <c r="N18" s="114"/>
      <c r="O18" s="114">
        <v>3177.54</v>
      </c>
      <c r="P18" s="114"/>
      <c r="Q18" s="114"/>
      <c r="R18" s="114"/>
      <c r="S18" s="115"/>
      <c r="T18" s="159"/>
      <c r="U18" s="159">
        <f t="shared" si="1"/>
        <v>31211.47</v>
      </c>
      <c r="V18" s="160">
        <f t="shared" si="1"/>
        <v>0</v>
      </c>
      <c r="W18" s="114">
        <v>136.44</v>
      </c>
      <c r="X18" s="114">
        <v>18668.43</v>
      </c>
      <c r="Y18" s="114">
        <v>184.83</v>
      </c>
      <c r="Z18" s="114">
        <v>307.62</v>
      </c>
      <c r="AA18" s="114">
        <v>9410.74</v>
      </c>
      <c r="AB18" s="114">
        <v>3254.49</v>
      </c>
      <c r="AC18" s="114"/>
      <c r="AD18" s="114"/>
      <c r="AE18" s="115"/>
      <c r="AF18" s="113">
        <f t="shared" si="17"/>
        <v>31962.549999999996</v>
      </c>
      <c r="AG18" s="118">
        <f t="shared" si="16"/>
        <v>32230.299999999996</v>
      </c>
      <c r="AH18" s="98">
        <f t="shared" si="2"/>
        <v>0</v>
      </c>
      <c r="AI18" s="98">
        <f t="shared" si="2"/>
        <v>0</v>
      </c>
      <c r="AJ18" s="99">
        <f>'[9]Т09'!$J$62+'[9]Т09'!$J$84+'[9]Т09'!$J$179</f>
        <v>2335.6839999999997</v>
      </c>
      <c r="AK18" s="86">
        <f t="shared" si="3"/>
        <v>2410.1910000000003</v>
      </c>
      <c r="AL18" s="86">
        <f t="shared" si="4"/>
        <v>719.46</v>
      </c>
      <c r="AM18" s="86">
        <f t="shared" si="5"/>
        <v>3597.3</v>
      </c>
      <c r="AN18" s="86">
        <f t="shared" si="6"/>
        <v>755.433</v>
      </c>
      <c r="AO18" s="86">
        <f t="shared" si="7"/>
        <v>7266.546</v>
      </c>
      <c r="AP18" s="86">
        <f t="shared" si="8"/>
        <v>3705.2190000000005</v>
      </c>
      <c r="AQ18" s="86">
        <f t="shared" si="9"/>
        <v>2697.9750000000004</v>
      </c>
      <c r="AR18" s="86">
        <f t="shared" si="10"/>
        <v>2697.9750000000004</v>
      </c>
      <c r="AS18" s="86"/>
      <c r="AT18" s="100">
        <f t="shared" si="11"/>
        <v>397.44000000000005</v>
      </c>
      <c r="AU18" s="101">
        <v>16257</v>
      </c>
      <c r="AV18" s="101"/>
      <c r="AW18" s="101"/>
      <c r="AX18" s="101">
        <f>11092.12+1618</f>
        <v>12710.12</v>
      </c>
      <c r="AY18" s="101"/>
      <c r="AZ18" s="50"/>
      <c r="BA18" s="100"/>
      <c r="BB18" s="100"/>
      <c r="BC18" s="74">
        <f t="shared" si="12"/>
        <v>53214.65900000001</v>
      </c>
      <c r="BD18" s="157">
        <f>'[9]Т08'!$S$62+'[9]Т08'!$S$84+'[9]Т08'!$S$179</f>
        <v>1419.078</v>
      </c>
      <c r="BE18" s="90">
        <f t="shared" si="13"/>
        <v>54633.73700000001</v>
      </c>
      <c r="BF18" s="90">
        <f t="shared" si="14"/>
        <v>-20067.75300000001</v>
      </c>
      <c r="BG18" s="176">
        <f t="shared" si="15"/>
        <v>751.0799999999945</v>
      </c>
      <c r="BH18" s="209"/>
      <c r="BI18" s="208"/>
      <c r="BJ18" s="208"/>
      <c r="BK18" s="211"/>
      <c r="BL18" s="211"/>
      <c r="BM18" s="211"/>
      <c r="BN18" s="60"/>
      <c r="BO18" s="60"/>
      <c r="BP18" s="60"/>
      <c r="BQ18" s="60"/>
    </row>
    <row r="19" spans="1:69" ht="12.75">
      <c r="A19" s="72" t="s">
        <v>41</v>
      </c>
      <c r="B19" s="73">
        <v>3597.3</v>
      </c>
      <c r="C19" s="54">
        <f t="shared" si="0"/>
        <v>30756.915000000005</v>
      </c>
      <c r="D19" s="48">
        <v>267.75</v>
      </c>
      <c r="E19" s="106"/>
      <c r="F19" s="106"/>
      <c r="G19" s="106">
        <v>18872.46</v>
      </c>
      <c r="H19" s="106"/>
      <c r="I19" s="106"/>
      <c r="J19" s="106"/>
      <c r="K19" s="106"/>
      <c r="L19" s="106"/>
      <c r="M19" s="106">
        <v>9164.02</v>
      </c>
      <c r="N19" s="106"/>
      <c r="O19" s="106">
        <v>3177.84</v>
      </c>
      <c r="P19" s="106"/>
      <c r="Q19" s="106"/>
      <c r="R19" s="106"/>
      <c r="S19" s="112"/>
      <c r="T19" s="205"/>
      <c r="U19" s="206">
        <f t="shared" si="1"/>
        <v>31214.32</v>
      </c>
      <c r="V19" s="207">
        <f t="shared" si="1"/>
        <v>0</v>
      </c>
      <c r="W19" s="106">
        <v>0</v>
      </c>
      <c r="X19" s="106">
        <v>16075.32</v>
      </c>
      <c r="Y19" s="106">
        <v>0</v>
      </c>
      <c r="Z19" s="106">
        <v>0</v>
      </c>
      <c r="AA19" s="106">
        <v>10006.17</v>
      </c>
      <c r="AB19" s="106">
        <v>2707.38</v>
      </c>
      <c r="AC19" s="106"/>
      <c r="AD19" s="106"/>
      <c r="AE19" s="112"/>
      <c r="AF19" s="113">
        <f t="shared" si="17"/>
        <v>28788.87</v>
      </c>
      <c r="AG19" s="118">
        <f t="shared" si="16"/>
        <v>29056.62</v>
      </c>
      <c r="AH19" s="98">
        <f t="shared" si="2"/>
        <v>0</v>
      </c>
      <c r="AI19" s="98">
        <f t="shared" si="2"/>
        <v>0</v>
      </c>
      <c r="AJ19" s="99">
        <f>'[14]Т10'!$J$62+'[14]Т10'!$J$84+'[14]Т10'!$J$179</f>
        <v>2335.6839999999997</v>
      </c>
      <c r="AK19" s="86">
        <f t="shared" si="3"/>
        <v>2410.1910000000003</v>
      </c>
      <c r="AL19" s="86">
        <f t="shared" si="4"/>
        <v>719.46</v>
      </c>
      <c r="AM19" s="86">
        <f t="shared" si="5"/>
        <v>3597.3</v>
      </c>
      <c r="AN19" s="86">
        <f t="shared" si="6"/>
        <v>755.433</v>
      </c>
      <c r="AO19" s="86">
        <f t="shared" si="7"/>
        <v>7266.546</v>
      </c>
      <c r="AP19" s="86">
        <f t="shared" si="8"/>
        <v>3705.2190000000005</v>
      </c>
      <c r="AQ19" s="86">
        <f t="shared" si="9"/>
        <v>2697.9750000000004</v>
      </c>
      <c r="AR19" s="86">
        <f t="shared" si="10"/>
        <v>2697.9750000000004</v>
      </c>
      <c r="AS19" s="214">
        <f>B19*1.15</f>
        <v>4136.8949999999995</v>
      </c>
      <c r="AT19" s="100">
        <f t="shared" si="11"/>
        <v>397.44000000000005</v>
      </c>
      <c r="AU19" s="101"/>
      <c r="AV19" s="101"/>
      <c r="AW19" s="101"/>
      <c r="AX19" s="101">
        <f>31.35+28+153.42</f>
        <v>212.76999999999998</v>
      </c>
      <c r="AY19" s="101"/>
      <c r="AZ19" s="50"/>
      <c r="BA19" s="100"/>
      <c r="BB19" s="100"/>
      <c r="BC19" s="74">
        <f t="shared" si="12"/>
        <v>28597.204</v>
      </c>
      <c r="BD19" s="157">
        <f>'[9]Т10'!$S$62+'[9]Т10'!$S$84+'[9]Т10'!$S$179</f>
        <v>1419.078</v>
      </c>
      <c r="BE19" s="90">
        <f t="shared" si="13"/>
        <v>30016.282000000003</v>
      </c>
      <c r="BF19" s="90">
        <f t="shared" si="14"/>
        <v>1376.0219999999972</v>
      </c>
      <c r="BG19" s="176">
        <f t="shared" si="15"/>
        <v>-2425.4500000000007</v>
      </c>
      <c r="BH19" s="209"/>
      <c r="BI19" s="211"/>
      <c r="BJ19" s="211"/>
      <c r="BK19" s="211"/>
      <c r="BL19" s="211"/>
      <c r="BM19" s="211"/>
      <c r="BN19" s="60"/>
      <c r="BO19" s="60"/>
      <c r="BP19" s="60"/>
      <c r="BQ19" s="60"/>
    </row>
    <row r="20" spans="1:69" ht="12.75">
      <c r="A20" s="72" t="s">
        <v>42</v>
      </c>
      <c r="B20" s="73">
        <v>3597.3</v>
      </c>
      <c r="C20" s="54">
        <f t="shared" si="0"/>
        <v>30756.915000000005</v>
      </c>
      <c r="D20" s="48">
        <v>267.75</v>
      </c>
      <c r="E20" s="106"/>
      <c r="F20" s="106"/>
      <c r="G20" s="106">
        <v>18872.62</v>
      </c>
      <c r="H20" s="106"/>
      <c r="I20" s="106"/>
      <c r="J20" s="106"/>
      <c r="K20" s="106"/>
      <c r="L20" s="106"/>
      <c r="M20" s="106">
        <v>9164.11</v>
      </c>
      <c r="N20" s="106"/>
      <c r="O20" s="106">
        <v>3177.86</v>
      </c>
      <c r="P20" s="106"/>
      <c r="Q20" s="106"/>
      <c r="R20" s="106"/>
      <c r="S20" s="112"/>
      <c r="T20" s="205"/>
      <c r="U20" s="206">
        <f t="shared" si="1"/>
        <v>31214.59</v>
      </c>
      <c r="V20" s="207">
        <f t="shared" si="1"/>
        <v>0</v>
      </c>
      <c r="W20" s="106">
        <v>0</v>
      </c>
      <c r="X20" s="106">
        <v>18114.27</v>
      </c>
      <c r="Y20" s="106">
        <v>0</v>
      </c>
      <c r="Z20" s="106">
        <v>0</v>
      </c>
      <c r="AA20" s="106">
        <v>8795.41</v>
      </c>
      <c r="AB20" s="106">
        <v>3049.87</v>
      </c>
      <c r="AC20" s="106"/>
      <c r="AD20" s="106"/>
      <c r="AE20" s="112"/>
      <c r="AF20" s="113">
        <f t="shared" si="17"/>
        <v>29959.55</v>
      </c>
      <c r="AG20" s="118">
        <f t="shared" si="16"/>
        <v>30227.3</v>
      </c>
      <c r="AH20" s="98">
        <f t="shared" si="2"/>
        <v>0</v>
      </c>
      <c r="AI20" s="98">
        <f t="shared" si="2"/>
        <v>0</v>
      </c>
      <c r="AJ20" s="99">
        <f>'[9]Т11'!$J$62+'[9]Т11'!$J$84+'[9]Т11'!$J$179</f>
        <v>2335.6839999999997</v>
      </c>
      <c r="AK20" s="86">
        <f t="shared" si="3"/>
        <v>2410.1910000000003</v>
      </c>
      <c r="AL20" s="86">
        <f t="shared" si="4"/>
        <v>719.46</v>
      </c>
      <c r="AM20" s="86">
        <f t="shared" si="5"/>
        <v>3597.3</v>
      </c>
      <c r="AN20" s="86">
        <f t="shared" si="6"/>
        <v>755.433</v>
      </c>
      <c r="AO20" s="86">
        <f t="shared" si="7"/>
        <v>7266.546</v>
      </c>
      <c r="AP20" s="86">
        <f t="shared" si="8"/>
        <v>3705.2190000000005</v>
      </c>
      <c r="AQ20" s="86">
        <f t="shared" si="9"/>
        <v>2697.9750000000004</v>
      </c>
      <c r="AR20" s="86">
        <f t="shared" si="10"/>
        <v>2697.9750000000004</v>
      </c>
      <c r="AS20" s="214">
        <f>B20*1.15</f>
        <v>4136.8949999999995</v>
      </c>
      <c r="AT20" s="100">
        <f t="shared" si="11"/>
        <v>397.44000000000005</v>
      </c>
      <c r="AU20" s="101"/>
      <c r="AV20" s="101"/>
      <c r="AW20" s="101"/>
      <c r="AX20" s="101">
        <f>35.12</f>
        <v>35.12</v>
      </c>
      <c r="AY20" s="101"/>
      <c r="AZ20" s="50"/>
      <c r="BA20" s="100"/>
      <c r="BB20" s="100"/>
      <c r="BC20" s="74">
        <f t="shared" si="12"/>
        <v>28419.554</v>
      </c>
      <c r="BD20" s="157">
        <f>'[9]Т11'!$S$62+'[9]Т11'!$S$84+'[9]Т11'!$S$179</f>
        <v>1419.078</v>
      </c>
      <c r="BE20" s="90">
        <f t="shared" si="13"/>
        <v>29838.632</v>
      </c>
      <c r="BF20" s="90">
        <f t="shared" si="14"/>
        <v>2724.351999999999</v>
      </c>
      <c r="BG20" s="176">
        <f t="shared" si="15"/>
        <v>-1255.0400000000009</v>
      </c>
      <c r="BH20" s="209"/>
      <c r="BI20" s="211"/>
      <c r="BJ20" s="211"/>
      <c r="BK20" s="211"/>
      <c r="BL20" s="211"/>
      <c r="BM20" s="211"/>
      <c r="BN20" s="60"/>
      <c r="BO20" s="60"/>
      <c r="BP20" s="60"/>
      <c r="BQ20" s="60"/>
    </row>
    <row r="21" spans="1:69" ht="13.5" thickBot="1">
      <c r="A21" s="72" t="s">
        <v>43</v>
      </c>
      <c r="B21" s="73">
        <v>3597.3</v>
      </c>
      <c r="C21" s="54">
        <f t="shared" si="0"/>
        <v>30756.915000000005</v>
      </c>
      <c r="D21" s="48">
        <v>267.75</v>
      </c>
      <c r="E21" s="215"/>
      <c r="F21" s="215"/>
      <c r="G21" s="215">
        <v>18879.9</v>
      </c>
      <c r="H21" s="215"/>
      <c r="I21" s="215"/>
      <c r="J21" s="215"/>
      <c r="K21" s="215"/>
      <c r="L21" s="215"/>
      <c r="M21" s="215">
        <v>9167.71</v>
      </c>
      <c r="N21" s="215"/>
      <c r="O21" s="215">
        <v>3179.16</v>
      </c>
      <c r="P21" s="215"/>
      <c r="Q21" s="215"/>
      <c r="R21" s="215"/>
      <c r="S21" s="216"/>
      <c r="T21" s="217"/>
      <c r="U21" s="206">
        <f t="shared" si="1"/>
        <v>31226.77</v>
      </c>
      <c r="V21" s="207">
        <f t="shared" si="1"/>
        <v>0</v>
      </c>
      <c r="W21" s="106">
        <v>0</v>
      </c>
      <c r="X21" s="106">
        <v>24299.42</v>
      </c>
      <c r="Y21" s="106">
        <v>0</v>
      </c>
      <c r="Z21" s="106">
        <v>0</v>
      </c>
      <c r="AA21" s="106">
        <v>11522.04</v>
      </c>
      <c r="AB21" s="106">
        <v>4091.06</v>
      </c>
      <c r="AC21" s="106"/>
      <c r="AD21" s="106"/>
      <c r="AE21" s="112"/>
      <c r="AF21" s="113">
        <f t="shared" si="17"/>
        <v>39912.52</v>
      </c>
      <c r="AG21" s="118">
        <f t="shared" si="16"/>
        <v>40180.27</v>
      </c>
      <c r="AH21" s="98">
        <f t="shared" si="2"/>
        <v>0</v>
      </c>
      <c r="AI21" s="98">
        <f t="shared" si="2"/>
        <v>0</v>
      </c>
      <c r="AJ21" s="99">
        <f>'[9]Т12'!$J$62+'[9]Т12'!$J$84+'[9]Т12'!$J$199</f>
        <v>2335.6839999999997</v>
      </c>
      <c r="AK21" s="86">
        <f t="shared" si="3"/>
        <v>2410.1910000000003</v>
      </c>
      <c r="AL21" s="86">
        <f t="shared" si="4"/>
        <v>719.46</v>
      </c>
      <c r="AM21" s="86">
        <f t="shared" si="5"/>
        <v>3597.3</v>
      </c>
      <c r="AN21" s="86">
        <f t="shared" si="6"/>
        <v>755.433</v>
      </c>
      <c r="AO21" s="86">
        <f t="shared" si="7"/>
        <v>7266.546</v>
      </c>
      <c r="AP21" s="86">
        <f t="shared" si="8"/>
        <v>3705.2190000000005</v>
      </c>
      <c r="AQ21" s="86">
        <f t="shared" si="9"/>
        <v>2697.9750000000004</v>
      </c>
      <c r="AR21" s="86">
        <f t="shared" si="10"/>
        <v>2697.9750000000004</v>
      </c>
      <c r="AS21" s="214">
        <f>B21*1.15</f>
        <v>4136.8949999999995</v>
      </c>
      <c r="AT21" s="100">
        <f t="shared" si="11"/>
        <v>397.44000000000005</v>
      </c>
      <c r="AU21" s="101">
        <v>1163</v>
      </c>
      <c r="AV21" s="101"/>
      <c r="AW21" s="101"/>
      <c r="AX21" s="101">
        <f>52</f>
        <v>52</v>
      </c>
      <c r="AY21" s="101"/>
      <c r="AZ21" s="50"/>
      <c r="BA21" s="100"/>
      <c r="BB21" s="100"/>
      <c r="BC21" s="74">
        <f t="shared" si="12"/>
        <v>29599.434</v>
      </c>
      <c r="BD21" s="157">
        <f>'[9]Т12'!$S$62+'[9]Т12'!$S$84+'[9]Т12'!$S$199</f>
        <v>1419.078</v>
      </c>
      <c r="BE21" s="90">
        <f t="shared" si="13"/>
        <v>31018.512000000002</v>
      </c>
      <c r="BF21" s="90">
        <f t="shared" si="14"/>
        <v>11497.441999999995</v>
      </c>
      <c r="BG21" s="176">
        <f t="shared" si="15"/>
        <v>8685.749999999996</v>
      </c>
      <c r="BH21" s="209"/>
      <c r="BI21" s="211"/>
      <c r="BJ21" s="211"/>
      <c r="BK21" s="211"/>
      <c r="BL21" s="211"/>
      <c r="BM21" s="211"/>
      <c r="BN21" s="60"/>
      <c r="BO21" s="60"/>
      <c r="BP21" s="60"/>
      <c r="BQ21" s="60"/>
    </row>
    <row r="22" spans="1:59" s="15" customFormat="1" ht="13.5" thickBot="1">
      <c r="A22" s="119" t="s">
        <v>5</v>
      </c>
      <c r="B22" s="120"/>
      <c r="C22" s="121">
        <f aca="true" t="shared" si="18" ref="C22:BF22">SUM(C10:C21)</f>
        <v>369101.79</v>
      </c>
      <c r="D22" s="121">
        <f t="shared" si="18"/>
        <v>3213</v>
      </c>
      <c r="E22" s="121">
        <f t="shared" si="18"/>
        <v>-3.77</v>
      </c>
      <c r="F22" s="121">
        <f t="shared" si="18"/>
        <v>0</v>
      </c>
      <c r="G22" s="121">
        <f t="shared" si="18"/>
        <v>223595.58</v>
      </c>
      <c r="H22" s="121">
        <f t="shared" si="18"/>
        <v>0</v>
      </c>
      <c r="I22" s="121">
        <f t="shared" si="18"/>
        <v>-5.13</v>
      </c>
      <c r="J22" s="121">
        <f t="shared" si="18"/>
        <v>0</v>
      </c>
      <c r="K22" s="121">
        <f t="shared" si="18"/>
        <v>-8.51</v>
      </c>
      <c r="L22" s="121">
        <f t="shared" si="18"/>
        <v>0</v>
      </c>
      <c r="M22" s="121">
        <f t="shared" si="18"/>
        <v>108560.59</v>
      </c>
      <c r="N22" s="121">
        <f t="shared" si="18"/>
        <v>0</v>
      </c>
      <c r="O22" s="121">
        <f t="shared" si="18"/>
        <v>37647.31</v>
      </c>
      <c r="P22" s="121">
        <f t="shared" si="18"/>
        <v>0</v>
      </c>
      <c r="Q22" s="121">
        <f t="shared" si="18"/>
        <v>0</v>
      </c>
      <c r="R22" s="121">
        <f t="shared" si="18"/>
        <v>0</v>
      </c>
      <c r="S22" s="121">
        <f t="shared" si="18"/>
        <v>0</v>
      </c>
      <c r="T22" s="121">
        <f t="shared" si="18"/>
        <v>0</v>
      </c>
      <c r="U22" s="121">
        <f t="shared" si="18"/>
        <v>369786.07000000007</v>
      </c>
      <c r="V22" s="121">
        <f t="shared" si="18"/>
        <v>0</v>
      </c>
      <c r="W22" s="121">
        <f t="shared" si="18"/>
        <v>4176.389999999999</v>
      </c>
      <c r="X22" s="121">
        <f t="shared" si="18"/>
        <v>198138.64</v>
      </c>
      <c r="Y22" s="121">
        <f t="shared" si="18"/>
        <v>5653.52</v>
      </c>
      <c r="Z22" s="121">
        <f t="shared" si="18"/>
        <v>9414.280000000002</v>
      </c>
      <c r="AA22" s="121">
        <f t="shared" si="18"/>
        <v>105817.28</v>
      </c>
      <c r="AB22" s="121">
        <f t="shared" si="18"/>
        <v>36474.25</v>
      </c>
      <c r="AC22" s="121">
        <f t="shared" si="18"/>
        <v>0</v>
      </c>
      <c r="AD22" s="121">
        <f t="shared" si="18"/>
        <v>0</v>
      </c>
      <c r="AE22" s="121">
        <f t="shared" si="18"/>
        <v>0</v>
      </c>
      <c r="AF22" s="121">
        <f t="shared" si="18"/>
        <v>359674.36</v>
      </c>
      <c r="AG22" s="121">
        <f t="shared" si="18"/>
        <v>362887.36</v>
      </c>
      <c r="AH22" s="121">
        <f t="shared" si="18"/>
        <v>0</v>
      </c>
      <c r="AI22" s="121">
        <f t="shared" si="18"/>
        <v>0</v>
      </c>
      <c r="AJ22" s="121">
        <f t="shared" si="18"/>
        <v>28028.208000000002</v>
      </c>
      <c r="AK22" s="121">
        <f t="shared" si="18"/>
        <v>28923.765999999996</v>
      </c>
      <c r="AL22" s="121">
        <f t="shared" si="18"/>
        <v>8633.960000000001</v>
      </c>
      <c r="AM22" s="121">
        <f t="shared" si="18"/>
        <v>43169.8</v>
      </c>
      <c r="AN22" s="121">
        <f t="shared" si="18"/>
        <v>9065.658</v>
      </c>
      <c r="AO22" s="121">
        <f t="shared" si="18"/>
        <v>87202.99600000001</v>
      </c>
      <c r="AP22" s="121">
        <f t="shared" si="18"/>
        <v>44464.89399999999</v>
      </c>
      <c r="AQ22" s="121">
        <f t="shared" si="18"/>
        <v>32377.35</v>
      </c>
      <c r="AR22" s="121">
        <f t="shared" si="18"/>
        <v>32377.35</v>
      </c>
      <c r="AS22" s="121">
        <f t="shared" si="18"/>
        <v>24823.9</v>
      </c>
      <c r="AT22" s="121">
        <f t="shared" si="18"/>
        <v>4769.280000000001</v>
      </c>
      <c r="AU22" s="121">
        <f t="shared" si="18"/>
        <v>29119</v>
      </c>
      <c r="AV22" s="121">
        <f t="shared" si="18"/>
        <v>1085</v>
      </c>
      <c r="AW22" s="121">
        <f t="shared" si="18"/>
        <v>2099</v>
      </c>
      <c r="AX22" s="121">
        <f t="shared" si="18"/>
        <v>16294.520000000002</v>
      </c>
      <c r="AY22" s="121">
        <f t="shared" si="18"/>
        <v>0</v>
      </c>
      <c r="AZ22" s="121">
        <f t="shared" si="18"/>
        <v>0</v>
      </c>
      <c r="BA22" s="121">
        <f t="shared" si="18"/>
        <v>0</v>
      </c>
      <c r="BB22" s="121">
        <f t="shared" si="18"/>
        <v>0</v>
      </c>
      <c r="BC22" s="121">
        <f t="shared" si="18"/>
        <v>364406.47400000005</v>
      </c>
      <c r="BD22" s="121">
        <f t="shared" si="18"/>
        <v>17028.935999999998</v>
      </c>
      <c r="BE22" s="121">
        <f t="shared" si="18"/>
        <v>381435.41000000003</v>
      </c>
      <c r="BF22" s="121">
        <f t="shared" si="18"/>
        <v>9480.157999999974</v>
      </c>
      <c r="BG22" s="127">
        <f>SUM(BG10:BG21)</f>
        <v>-10111.71000000001</v>
      </c>
    </row>
    <row r="23" spans="1:59" s="15" customFormat="1" ht="13.5" thickBot="1">
      <c r="A23" s="122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4"/>
      <c r="BF23" s="123"/>
      <c r="BG23" s="125"/>
    </row>
    <row r="24" spans="1:59" s="15" customFormat="1" ht="13.5" thickBot="1">
      <c r="A24" s="16" t="s">
        <v>54</v>
      </c>
      <c r="B24" s="123"/>
      <c r="C24" s="126">
        <f aca="true" t="shared" si="19" ref="C24:L24">C22+C8</f>
        <v>1209373.17</v>
      </c>
      <c r="D24" s="126">
        <f t="shared" si="19"/>
        <v>205045.83477125003</v>
      </c>
      <c r="E24" s="126">
        <f t="shared" si="19"/>
        <v>73906.23</v>
      </c>
      <c r="F24" s="126">
        <f t="shared" si="19"/>
        <v>10935.970000000001</v>
      </c>
      <c r="G24" s="126">
        <f t="shared" si="19"/>
        <v>223595.58</v>
      </c>
      <c r="H24" s="126">
        <f t="shared" si="19"/>
        <v>0</v>
      </c>
      <c r="I24" s="126">
        <f t="shared" si="19"/>
        <v>100052.20999999998</v>
      </c>
      <c r="J24" s="126">
        <f t="shared" si="19"/>
        <v>14809.109999999999</v>
      </c>
      <c r="K24" s="126">
        <f t="shared" si="19"/>
        <v>166565.68</v>
      </c>
      <c r="L24" s="126">
        <f t="shared" si="19"/>
        <v>24652.18</v>
      </c>
      <c r="M24" s="126" t="e">
        <f>#REF!</f>
        <v>#REF!</v>
      </c>
      <c r="N24" s="126">
        <f aca="true" t="shared" si="20" ref="N24:BG24">N22+N8</f>
        <v>35587.850000000006</v>
      </c>
      <c r="O24" s="126">
        <f t="shared" si="20"/>
        <v>96774.4</v>
      </c>
      <c r="P24" s="126">
        <f t="shared" si="20"/>
        <v>8748.95</v>
      </c>
      <c r="Q24" s="126">
        <f t="shared" si="20"/>
        <v>0</v>
      </c>
      <c r="R24" s="126">
        <f t="shared" si="20"/>
        <v>0</v>
      </c>
      <c r="S24" s="126">
        <f t="shared" si="20"/>
        <v>0</v>
      </c>
      <c r="T24" s="126">
        <f t="shared" si="20"/>
        <v>0</v>
      </c>
      <c r="U24" s="126">
        <f t="shared" si="20"/>
        <v>1009939.67</v>
      </c>
      <c r="V24" s="126">
        <f t="shared" si="20"/>
        <v>94734.06</v>
      </c>
      <c r="W24" s="126">
        <f t="shared" si="20"/>
        <v>72808.87000000001</v>
      </c>
      <c r="X24" s="126">
        <f t="shared" si="20"/>
        <v>198138.64</v>
      </c>
      <c r="Y24" s="126">
        <f t="shared" si="20"/>
        <v>98000.84</v>
      </c>
      <c r="Z24" s="126">
        <f t="shared" si="20"/>
        <v>163167.13999999998</v>
      </c>
      <c r="AA24" s="126">
        <f t="shared" si="20"/>
        <v>336861.74</v>
      </c>
      <c r="AB24" s="126">
        <f t="shared" si="20"/>
        <v>91060.58</v>
      </c>
      <c r="AC24" s="126">
        <f t="shared" si="20"/>
        <v>0</v>
      </c>
      <c r="AD24" s="126">
        <f t="shared" si="20"/>
        <v>0</v>
      </c>
      <c r="AE24" s="126">
        <f t="shared" si="20"/>
        <v>0</v>
      </c>
      <c r="AF24" s="126">
        <f t="shared" si="20"/>
        <v>960037.8099999999</v>
      </c>
      <c r="AG24" s="126">
        <f t="shared" si="20"/>
        <v>1259817.70477125</v>
      </c>
      <c r="AH24" s="126">
        <f t="shared" si="20"/>
        <v>0</v>
      </c>
      <c r="AI24" s="126">
        <f t="shared" si="20"/>
        <v>0</v>
      </c>
      <c r="AJ24" s="126">
        <f t="shared" si="20"/>
        <v>68502.42912</v>
      </c>
      <c r="AK24" s="126">
        <f t="shared" si="20"/>
        <v>86345.158</v>
      </c>
      <c r="AL24" s="126">
        <f t="shared" si="20"/>
        <v>27874.8337816</v>
      </c>
      <c r="AM24" s="126">
        <f t="shared" si="20"/>
        <v>138491.553431615</v>
      </c>
      <c r="AN24" s="126">
        <f t="shared" si="20"/>
        <v>9065.658</v>
      </c>
      <c r="AO24" s="126">
        <f t="shared" si="20"/>
        <v>182278.57345712621</v>
      </c>
      <c r="AP24" s="126">
        <f t="shared" si="20"/>
        <v>257156.621929477</v>
      </c>
      <c r="AQ24" s="126">
        <f t="shared" si="20"/>
        <v>32377.35</v>
      </c>
      <c r="AR24" s="126">
        <f t="shared" si="20"/>
        <v>32377.35</v>
      </c>
      <c r="AS24" s="126">
        <f t="shared" si="20"/>
        <v>24823.9</v>
      </c>
      <c r="AT24" s="126">
        <f t="shared" si="20"/>
        <v>9538.560000000001</v>
      </c>
      <c r="AU24" s="126">
        <f t="shared" si="20"/>
        <v>342414.3166</v>
      </c>
      <c r="AV24" s="126">
        <f t="shared" si="20"/>
        <v>1085</v>
      </c>
      <c r="AW24" s="127">
        <f t="shared" si="20"/>
        <v>62451.22</v>
      </c>
      <c r="AX24" s="127">
        <f t="shared" si="20"/>
        <v>17534.1572</v>
      </c>
      <c r="AY24" s="127">
        <f t="shared" si="20"/>
        <v>36713.6336</v>
      </c>
      <c r="AZ24" s="127">
        <f t="shared" si="20"/>
        <v>0</v>
      </c>
      <c r="BA24" s="127">
        <f t="shared" si="20"/>
        <v>0</v>
      </c>
      <c r="BB24" s="127">
        <f t="shared" si="20"/>
        <v>0</v>
      </c>
      <c r="BC24" s="127">
        <f t="shared" si="20"/>
        <v>1260527.8859998183</v>
      </c>
      <c r="BD24" s="127">
        <f t="shared" si="20"/>
        <v>33671.9124831236</v>
      </c>
      <c r="BE24" s="127">
        <f t="shared" si="20"/>
        <v>1294199.798482942</v>
      </c>
      <c r="BF24" s="127">
        <f t="shared" si="20"/>
        <v>-15379.64459169178</v>
      </c>
      <c r="BG24" s="127">
        <f t="shared" si="20"/>
        <v>-49901.86</v>
      </c>
    </row>
    <row r="25" spans="1:59" ht="12.75">
      <c r="A25" s="1" t="s">
        <v>124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1"/>
      <c r="BF25" s="68"/>
      <c r="BG25" s="228"/>
    </row>
    <row r="26" spans="1:73" ht="12.75">
      <c r="A26" s="72" t="s">
        <v>45</v>
      </c>
      <c r="B26" s="73">
        <v>3597.3</v>
      </c>
      <c r="C26" s="54">
        <f aca="true" t="shared" si="21" ref="C26:C31">B26*8.55</f>
        <v>30756.915000000005</v>
      </c>
      <c r="D26" s="407">
        <v>267.75</v>
      </c>
      <c r="E26" s="106"/>
      <c r="F26" s="106"/>
      <c r="G26" s="106">
        <v>18891.43</v>
      </c>
      <c r="H26" s="106"/>
      <c r="I26" s="106"/>
      <c r="J26" s="106"/>
      <c r="K26" s="106"/>
      <c r="L26" s="106"/>
      <c r="M26" s="106">
        <v>9173.34</v>
      </c>
      <c r="N26" s="106"/>
      <c r="O26" s="106">
        <v>3181.17</v>
      </c>
      <c r="P26" s="106"/>
      <c r="Q26" s="106"/>
      <c r="R26" s="106"/>
      <c r="S26" s="112"/>
      <c r="T26" s="217"/>
      <c r="U26" s="206">
        <f aca="true" t="shared" si="22" ref="U26:V31">E26+G26+I26+K26+M26+O26+Q26+S26</f>
        <v>31245.940000000002</v>
      </c>
      <c r="V26" s="207">
        <f t="shared" si="22"/>
        <v>0</v>
      </c>
      <c r="W26" s="106">
        <v>0</v>
      </c>
      <c r="X26" s="106">
        <v>14896.79</v>
      </c>
      <c r="Y26" s="106">
        <v>0</v>
      </c>
      <c r="Z26" s="106">
        <v>0</v>
      </c>
      <c r="AA26" s="106">
        <v>7233.54</v>
      </c>
      <c r="AB26" s="106">
        <v>2508.41</v>
      </c>
      <c r="AC26" s="106"/>
      <c r="AD26" s="106"/>
      <c r="AE26" s="112"/>
      <c r="AF26" s="113">
        <f aca="true" t="shared" si="23" ref="AF26:AF31">SUM(W26:AE26)</f>
        <v>24638.74</v>
      </c>
      <c r="AG26" s="118">
        <f aca="true" t="shared" si="24" ref="AG26:AG37">D26+V26+AF26</f>
        <v>24906.49</v>
      </c>
      <c r="AH26" s="98">
        <f aca="true" t="shared" si="25" ref="AH26:AI37">AC26</f>
        <v>0</v>
      </c>
      <c r="AI26" s="98">
        <f t="shared" si="25"/>
        <v>0</v>
      </c>
      <c r="AJ26" s="99">
        <f>'[16]Т01'!$J$40+'[16]Т01'!$J$59+'[16]Т01'!$J$201</f>
        <v>2875.3900000000003</v>
      </c>
      <c r="AK26" s="86">
        <f aca="true" t="shared" si="26" ref="AK26:AK31">0.67*B26</f>
        <v>2410.1910000000003</v>
      </c>
      <c r="AL26" s="86">
        <f aca="true" t="shared" si="27" ref="AL26:AL37">B26*0.2</f>
        <v>719.46</v>
      </c>
      <c r="AM26" s="86">
        <f aca="true" t="shared" si="28" ref="AM26:AM37">B26*1</f>
        <v>3597.3</v>
      </c>
      <c r="AN26" s="86">
        <f aca="true" t="shared" si="29" ref="AN26:AN37">B26*0.21</f>
        <v>755.433</v>
      </c>
      <c r="AO26" s="86">
        <f aca="true" t="shared" si="30" ref="AO26:AO37">2.02*B26</f>
        <v>7266.546</v>
      </c>
      <c r="AP26" s="86">
        <f aca="true" t="shared" si="31" ref="AP26:AP37">B26*1.03</f>
        <v>3705.2190000000005</v>
      </c>
      <c r="AQ26" s="86">
        <f aca="true" t="shared" si="32" ref="AQ26:AQ37">B26*0.75</f>
        <v>2697.9750000000004</v>
      </c>
      <c r="AR26" s="86">
        <f aca="true" t="shared" si="33" ref="AR26:AR37">B26*0.75</f>
        <v>2697.9750000000004</v>
      </c>
      <c r="AS26" s="214">
        <f>B26*1.15</f>
        <v>4136.8949999999995</v>
      </c>
      <c r="AT26" s="100">
        <f>0.45*883.2</f>
        <v>397.44000000000005</v>
      </c>
      <c r="AU26" s="224">
        <v>523</v>
      </c>
      <c r="AV26" s="101"/>
      <c r="AW26" s="101"/>
      <c r="AX26" s="101">
        <f>158+55.11</f>
        <v>213.11</v>
      </c>
      <c r="AY26" s="101"/>
      <c r="AZ26" s="101"/>
      <c r="BA26" s="50"/>
      <c r="BB26" s="100"/>
      <c r="BC26" s="213">
        <f>SUM(AK26:BB26)</f>
        <v>29120.544</v>
      </c>
      <c r="BD26" s="157">
        <f>'[16]Т01'!$S$40+'[16]Т01'!$S$59+'[16]Т01'!$S$201</f>
        <v>1419.078</v>
      </c>
      <c r="BE26" s="89">
        <f>BC26+BD26</f>
        <v>30539.622000000003</v>
      </c>
      <c r="BF26" s="90">
        <f>AG26+AJ26-BE26</f>
        <v>-2757.742000000002</v>
      </c>
      <c r="BG26" s="90">
        <f>AF26-U26</f>
        <v>-6607.200000000001</v>
      </c>
      <c r="BH26" s="209"/>
      <c r="BI26" s="209"/>
      <c r="BJ26" s="209"/>
      <c r="BK26" s="209"/>
      <c r="BL26" s="209"/>
      <c r="BM26" s="209"/>
      <c r="BN26" s="209"/>
      <c r="BO26" s="208"/>
      <c r="BP26" s="208"/>
      <c r="BQ26" s="210"/>
      <c r="BR26" s="36"/>
      <c r="BS26" s="91"/>
      <c r="BT26" s="36"/>
      <c r="BU26" s="91"/>
    </row>
    <row r="27" spans="1:73" ht="12.75">
      <c r="A27" s="72" t="s">
        <v>46</v>
      </c>
      <c r="B27" s="73">
        <v>3597.3</v>
      </c>
      <c r="C27" s="54">
        <f t="shared" si="21"/>
        <v>30756.915000000005</v>
      </c>
      <c r="D27" s="407">
        <v>267.75</v>
      </c>
      <c r="E27" s="114"/>
      <c r="F27" s="114"/>
      <c r="G27" s="114">
        <v>18896.8</v>
      </c>
      <c r="H27" s="114"/>
      <c r="I27" s="114"/>
      <c r="J27" s="114"/>
      <c r="K27" s="114"/>
      <c r="L27" s="114"/>
      <c r="M27" s="114">
        <v>9175.99</v>
      </c>
      <c r="N27" s="114"/>
      <c r="O27" s="114">
        <v>3182.11</v>
      </c>
      <c r="P27" s="114"/>
      <c r="Q27" s="114"/>
      <c r="R27" s="114"/>
      <c r="S27" s="115"/>
      <c r="T27" s="217"/>
      <c r="U27" s="206">
        <f t="shared" si="22"/>
        <v>31254.9</v>
      </c>
      <c r="V27" s="207">
        <f t="shared" si="22"/>
        <v>0</v>
      </c>
      <c r="W27" s="114">
        <v>0</v>
      </c>
      <c r="X27" s="114">
        <v>17278.91</v>
      </c>
      <c r="Y27" s="114">
        <v>0</v>
      </c>
      <c r="Z27" s="114">
        <v>0</v>
      </c>
      <c r="AA27" s="114">
        <v>8390.4</v>
      </c>
      <c r="AB27" s="114">
        <v>2909.7</v>
      </c>
      <c r="AC27" s="114"/>
      <c r="AD27" s="114"/>
      <c r="AE27" s="115"/>
      <c r="AF27" s="113">
        <f t="shared" si="23"/>
        <v>28579.01</v>
      </c>
      <c r="AG27" s="118">
        <f t="shared" si="24"/>
        <v>28846.76</v>
      </c>
      <c r="AH27" s="98">
        <f t="shared" si="25"/>
        <v>0</v>
      </c>
      <c r="AI27" s="98">
        <f t="shared" si="25"/>
        <v>0</v>
      </c>
      <c r="AJ27" s="99">
        <f>'[16]Т01'!$J$40+'[16]Т01'!$J$59+'[16]Т01'!$J$201</f>
        <v>2875.3900000000003</v>
      </c>
      <c r="AK27" s="80">
        <f t="shared" si="26"/>
        <v>2410.1910000000003</v>
      </c>
      <c r="AL27" s="86">
        <f t="shared" si="27"/>
        <v>719.46</v>
      </c>
      <c r="AM27" s="86">
        <f t="shared" si="28"/>
        <v>3597.3</v>
      </c>
      <c r="AN27" s="86">
        <f t="shared" si="29"/>
        <v>755.433</v>
      </c>
      <c r="AO27" s="86">
        <f t="shared" si="30"/>
        <v>7266.546</v>
      </c>
      <c r="AP27" s="86">
        <f t="shared" si="31"/>
        <v>3705.2190000000005</v>
      </c>
      <c r="AQ27" s="86">
        <f t="shared" si="32"/>
        <v>2697.9750000000004</v>
      </c>
      <c r="AR27" s="86">
        <f t="shared" si="33"/>
        <v>2697.9750000000004</v>
      </c>
      <c r="AS27" s="214">
        <f>B27*1.15</f>
        <v>4136.8949999999995</v>
      </c>
      <c r="AT27" s="100">
        <f>0.45*883.2</f>
        <v>397.44000000000005</v>
      </c>
      <c r="AU27" s="224">
        <v>17484</v>
      </c>
      <c r="AV27" s="101"/>
      <c r="AW27" s="101"/>
      <c r="AX27" s="101">
        <f>55.11+2359</f>
        <v>2414.11</v>
      </c>
      <c r="AY27" s="101"/>
      <c r="AZ27" s="101"/>
      <c r="BA27" s="50"/>
      <c r="BB27" s="100"/>
      <c r="BC27" s="74">
        <f>SUM(AK27:BB27)</f>
        <v>48282.544</v>
      </c>
      <c r="BD27" s="157">
        <f>'[16]Т01'!$S$40+'[16]Т01'!$S$59+'[16]Т01'!$S$201</f>
        <v>1419.078</v>
      </c>
      <c r="BE27" s="89">
        <f>BC27+BD27</f>
        <v>49701.622</v>
      </c>
      <c r="BF27" s="90">
        <f>AG27+AJ27-BE27</f>
        <v>-17979.472000000005</v>
      </c>
      <c r="BG27" s="90">
        <f>AF27-U27</f>
        <v>-2675.890000000003</v>
      </c>
      <c r="BH27" s="209"/>
      <c r="BI27" s="209"/>
      <c r="BJ27" s="209"/>
      <c r="BK27" s="209"/>
      <c r="BL27" s="209"/>
      <c r="BM27" s="208"/>
      <c r="BN27" s="208"/>
      <c r="BO27" s="210"/>
      <c r="BP27" s="210"/>
      <c r="BQ27" s="210"/>
      <c r="BR27" s="60"/>
      <c r="BS27" s="60"/>
      <c r="BT27" s="60"/>
      <c r="BU27" s="60"/>
    </row>
    <row r="28" spans="1:73" ht="12.75">
      <c r="A28" s="72" t="s">
        <v>47</v>
      </c>
      <c r="B28" s="73">
        <v>3597.3</v>
      </c>
      <c r="C28" s="54">
        <f t="shared" si="21"/>
        <v>30756.915000000005</v>
      </c>
      <c r="D28" s="407">
        <v>267.75</v>
      </c>
      <c r="E28" s="114"/>
      <c r="F28" s="114"/>
      <c r="G28" s="114">
        <v>18900.6</v>
      </c>
      <c r="H28" s="114"/>
      <c r="I28" s="114"/>
      <c r="J28" s="114"/>
      <c r="K28" s="114"/>
      <c r="L28" s="114"/>
      <c r="M28" s="114">
        <v>9177.86</v>
      </c>
      <c r="N28" s="114"/>
      <c r="O28" s="114">
        <v>3182.78</v>
      </c>
      <c r="P28" s="114"/>
      <c r="Q28" s="114"/>
      <c r="R28" s="114"/>
      <c r="S28" s="115"/>
      <c r="T28" s="217"/>
      <c r="U28" s="206">
        <f t="shared" si="22"/>
        <v>31261.239999999998</v>
      </c>
      <c r="V28" s="207">
        <f t="shared" si="22"/>
        <v>0</v>
      </c>
      <c r="W28" s="106">
        <v>0</v>
      </c>
      <c r="X28" s="106">
        <v>20451.63</v>
      </c>
      <c r="Y28" s="106">
        <v>0</v>
      </c>
      <c r="Z28" s="106">
        <v>0</v>
      </c>
      <c r="AA28" s="106">
        <v>9969.16</v>
      </c>
      <c r="AB28" s="106">
        <v>3040.95</v>
      </c>
      <c r="AC28" s="106"/>
      <c r="AD28" s="106"/>
      <c r="AE28" s="112"/>
      <c r="AF28" s="113">
        <f t="shared" si="23"/>
        <v>33461.74</v>
      </c>
      <c r="AG28" s="118">
        <f t="shared" si="24"/>
        <v>33729.49</v>
      </c>
      <c r="AH28" s="98">
        <f t="shared" si="25"/>
        <v>0</v>
      </c>
      <c r="AI28" s="98">
        <f t="shared" si="25"/>
        <v>0</v>
      </c>
      <c r="AJ28" s="99">
        <f>'[16]Т01'!$J$40+'[16]Т01'!$J$59+'[16]Т01'!$J$201</f>
        <v>2875.3900000000003</v>
      </c>
      <c r="AK28" s="80">
        <f t="shared" si="26"/>
        <v>2410.1910000000003</v>
      </c>
      <c r="AL28" s="86">
        <f t="shared" si="27"/>
        <v>719.46</v>
      </c>
      <c r="AM28" s="86">
        <f t="shared" si="28"/>
        <v>3597.3</v>
      </c>
      <c r="AN28" s="86">
        <f t="shared" si="29"/>
        <v>755.433</v>
      </c>
      <c r="AO28" s="86">
        <f t="shared" si="30"/>
        <v>7266.546</v>
      </c>
      <c r="AP28" s="86">
        <f t="shared" si="31"/>
        <v>3705.2190000000005</v>
      </c>
      <c r="AQ28" s="86">
        <f t="shared" si="32"/>
        <v>2697.9750000000004</v>
      </c>
      <c r="AR28" s="86">
        <f t="shared" si="33"/>
        <v>2697.9750000000004</v>
      </c>
      <c r="AS28" s="214">
        <f>B28*1.15</f>
        <v>4136.8949999999995</v>
      </c>
      <c r="AT28" s="100">
        <f>0.45*883.2</f>
        <v>397.44000000000005</v>
      </c>
      <c r="AU28" s="224"/>
      <c r="AV28" s="101">
        <v>384.98</v>
      </c>
      <c r="AW28" s="101"/>
      <c r="AX28" s="101">
        <f>55.106+1212.41</f>
        <v>1267.516</v>
      </c>
      <c r="AY28" s="101"/>
      <c r="AZ28" s="101"/>
      <c r="BA28" s="50"/>
      <c r="BB28" s="100"/>
      <c r="BC28" s="213">
        <f>SUM(AK28:BB28)</f>
        <v>30036.93</v>
      </c>
      <c r="BD28" s="157">
        <f>'[16]Т01'!$S$40+'[16]Т01'!$S$59+'[16]Т01'!$S$201</f>
        <v>1419.078</v>
      </c>
      <c r="BE28" s="89">
        <f>BC28+BD28</f>
        <v>31456.008</v>
      </c>
      <c r="BF28" s="90">
        <f>AG28+AJ28-BE28</f>
        <v>5148.871999999996</v>
      </c>
      <c r="BG28" s="90">
        <f>AF28-U28</f>
        <v>2200.5</v>
      </c>
      <c r="BH28" s="209"/>
      <c r="BI28" s="209"/>
      <c r="BJ28" s="209"/>
      <c r="BK28" s="209"/>
      <c r="BL28" s="209"/>
      <c r="BM28" s="208"/>
      <c r="BN28" s="208"/>
      <c r="BO28" s="210"/>
      <c r="BP28" s="210"/>
      <c r="BQ28" s="211"/>
      <c r="BR28" s="60"/>
      <c r="BS28" s="60"/>
      <c r="BT28" s="60"/>
      <c r="BU28" s="60"/>
    </row>
    <row r="29" spans="1:73" ht="12.75">
      <c r="A29" s="72" t="s">
        <v>48</v>
      </c>
      <c r="B29" s="73">
        <v>3597.3</v>
      </c>
      <c r="C29" s="54">
        <f t="shared" si="21"/>
        <v>30756.915000000005</v>
      </c>
      <c r="D29" s="407">
        <v>267.75</v>
      </c>
      <c r="E29" s="114"/>
      <c r="F29" s="114"/>
      <c r="G29" s="114">
        <v>18908.41</v>
      </c>
      <c r="H29" s="114"/>
      <c r="I29" s="114"/>
      <c r="J29" s="114"/>
      <c r="K29" s="114"/>
      <c r="L29" s="114"/>
      <c r="M29" s="114">
        <v>9181.7</v>
      </c>
      <c r="N29" s="114"/>
      <c r="O29" s="114">
        <v>3184.16</v>
      </c>
      <c r="P29" s="114"/>
      <c r="Q29" s="114"/>
      <c r="R29" s="114"/>
      <c r="S29" s="115"/>
      <c r="T29" s="217"/>
      <c r="U29" s="206">
        <f t="shared" si="22"/>
        <v>31274.27</v>
      </c>
      <c r="V29" s="207">
        <f t="shared" si="22"/>
        <v>0</v>
      </c>
      <c r="W29" s="215">
        <v>0</v>
      </c>
      <c r="X29" s="215">
        <v>16672.93</v>
      </c>
      <c r="Y29" s="215">
        <v>0</v>
      </c>
      <c r="Z29" s="215">
        <v>0</v>
      </c>
      <c r="AA29" s="215">
        <v>6841.44</v>
      </c>
      <c r="AB29" s="215">
        <v>2372.51</v>
      </c>
      <c r="AC29" s="215"/>
      <c r="AD29" s="215"/>
      <c r="AE29" s="216"/>
      <c r="AF29" s="113">
        <f t="shared" si="23"/>
        <v>25886.879999999997</v>
      </c>
      <c r="AG29" s="118">
        <f t="shared" si="24"/>
        <v>26154.629999999997</v>
      </c>
      <c r="AH29" s="98">
        <f t="shared" si="25"/>
        <v>0</v>
      </c>
      <c r="AI29" s="98">
        <f t="shared" si="25"/>
        <v>0</v>
      </c>
      <c r="AJ29" s="99">
        <f>'[16]Т01'!$J$40+'[16]Т01'!$J$59+'[16]Т01'!$J$201</f>
        <v>2875.3900000000003</v>
      </c>
      <c r="AK29" s="80">
        <f t="shared" si="26"/>
        <v>2410.1910000000003</v>
      </c>
      <c r="AL29" s="86">
        <f t="shared" si="27"/>
        <v>719.46</v>
      </c>
      <c r="AM29" s="86">
        <f t="shared" si="28"/>
        <v>3597.3</v>
      </c>
      <c r="AN29" s="86">
        <f t="shared" si="29"/>
        <v>755.433</v>
      </c>
      <c r="AO29" s="86">
        <f t="shared" si="30"/>
        <v>7266.546</v>
      </c>
      <c r="AP29" s="86">
        <f t="shared" si="31"/>
        <v>3705.2190000000005</v>
      </c>
      <c r="AQ29" s="86">
        <f t="shared" si="32"/>
        <v>2697.9750000000004</v>
      </c>
      <c r="AR29" s="86">
        <f t="shared" si="33"/>
        <v>2697.9750000000004</v>
      </c>
      <c r="AS29" s="214"/>
      <c r="AT29" s="100">
        <f>0.45*883.2</f>
        <v>397.44000000000005</v>
      </c>
      <c r="AU29" s="224">
        <v>3246</v>
      </c>
      <c r="AV29" s="101"/>
      <c r="AW29" s="101"/>
      <c r="AX29" s="101">
        <f>570+55.106+8.55+748+457.8</f>
        <v>1839.456</v>
      </c>
      <c r="AY29" s="101"/>
      <c r="AZ29" s="101"/>
      <c r="BA29" s="50"/>
      <c r="BB29" s="100"/>
      <c r="BC29" s="213">
        <f>SUM(AK29:BB29)</f>
        <v>29332.995</v>
      </c>
      <c r="BD29" s="157">
        <f>'[16]Т01'!$S$40+'[16]Т01'!$S$59+'[16]Т01'!$S$201</f>
        <v>1419.078</v>
      </c>
      <c r="BE29" s="89">
        <f>BC29+BD29</f>
        <v>30752.073</v>
      </c>
      <c r="BF29" s="90">
        <f>AG29+AJ29-BE29</f>
        <v>-1722.0530000000035</v>
      </c>
      <c r="BG29" s="90">
        <f>AF29-U29</f>
        <v>-5387.390000000003</v>
      </c>
      <c r="BH29" s="209"/>
      <c r="BI29" s="209"/>
      <c r="BJ29" s="209"/>
      <c r="BK29" s="209"/>
      <c r="BL29" s="209"/>
      <c r="BM29" s="208"/>
      <c r="BN29" s="208"/>
      <c r="BO29" s="208"/>
      <c r="BP29" s="210"/>
      <c r="BQ29" s="210"/>
      <c r="BR29" s="91"/>
      <c r="BS29" s="60"/>
      <c r="BT29" s="60"/>
      <c r="BU29" s="60"/>
    </row>
    <row r="30" spans="1:73" ht="12.75">
      <c r="A30" s="72" t="s">
        <v>49</v>
      </c>
      <c r="B30" s="73">
        <v>3597.3</v>
      </c>
      <c r="C30" s="54">
        <f t="shared" si="21"/>
        <v>30756.915000000005</v>
      </c>
      <c r="D30" s="407">
        <v>267.75</v>
      </c>
      <c r="E30" s="114"/>
      <c r="F30" s="114"/>
      <c r="G30" s="114">
        <v>18921.03</v>
      </c>
      <c r="H30" s="114"/>
      <c r="I30" s="114"/>
      <c r="J30" s="114"/>
      <c r="K30" s="114"/>
      <c r="L30" s="114"/>
      <c r="M30" s="114">
        <v>9187.9</v>
      </c>
      <c r="N30" s="114"/>
      <c r="O30" s="114">
        <v>3186.35</v>
      </c>
      <c r="P30" s="114"/>
      <c r="Q30" s="114"/>
      <c r="R30" s="114"/>
      <c r="S30" s="115"/>
      <c r="T30" s="217"/>
      <c r="U30" s="206">
        <f t="shared" si="22"/>
        <v>31295.28</v>
      </c>
      <c r="V30" s="207">
        <f t="shared" si="22"/>
        <v>0</v>
      </c>
      <c r="W30" s="215">
        <v>0</v>
      </c>
      <c r="X30" s="215">
        <v>21944.26</v>
      </c>
      <c r="Y30" s="215">
        <v>0</v>
      </c>
      <c r="Z30" s="215">
        <v>0</v>
      </c>
      <c r="AA30" s="215">
        <v>9231.56</v>
      </c>
      <c r="AB30" s="215">
        <v>3294.28</v>
      </c>
      <c r="AC30" s="215"/>
      <c r="AD30" s="215"/>
      <c r="AE30" s="215"/>
      <c r="AF30" s="113">
        <f t="shared" si="23"/>
        <v>34470.1</v>
      </c>
      <c r="AG30" s="118">
        <f t="shared" si="24"/>
        <v>34737.85</v>
      </c>
      <c r="AH30" s="98">
        <f t="shared" si="25"/>
        <v>0</v>
      </c>
      <c r="AI30" s="98">
        <f t="shared" si="25"/>
        <v>0</v>
      </c>
      <c r="AJ30" s="99">
        <f>'[16]Т05'!$J$38+'[16]Т05'!$J$56+'[16]Т05'!$J$208</f>
        <v>2875.3900000000003</v>
      </c>
      <c r="AK30" s="80">
        <f t="shared" si="26"/>
        <v>2410.1910000000003</v>
      </c>
      <c r="AL30" s="86">
        <f t="shared" si="27"/>
        <v>719.46</v>
      </c>
      <c r="AM30" s="86">
        <f t="shared" si="28"/>
        <v>3597.3</v>
      </c>
      <c r="AN30" s="86">
        <f t="shared" si="29"/>
        <v>755.433</v>
      </c>
      <c r="AO30" s="86">
        <f t="shared" si="30"/>
        <v>7266.546</v>
      </c>
      <c r="AP30" s="86">
        <f t="shared" si="31"/>
        <v>3705.2190000000005</v>
      </c>
      <c r="AQ30" s="86">
        <f t="shared" si="32"/>
        <v>2697.9750000000004</v>
      </c>
      <c r="AR30" s="86">
        <f t="shared" si="33"/>
        <v>2697.9750000000004</v>
      </c>
      <c r="AS30" s="214"/>
      <c r="AT30" s="100">
        <f>0.45*883.2</f>
        <v>397.44000000000005</v>
      </c>
      <c r="AU30" s="224"/>
      <c r="AV30" s="101"/>
      <c r="AW30" s="101"/>
      <c r="AX30" s="101">
        <f>55.106+42.75</f>
        <v>97.856</v>
      </c>
      <c r="AY30" s="101"/>
      <c r="AZ30" s="101"/>
      <c r="BA30" s="50"/>
      <c r="BB30" s="100"/>
      <c r="BC30" s="213">
        <f>SUM(AK30:BB30)</f>
        <v>24345.395</v>
      </c>
      <c r="BD30" s="157">
        <f>'[16]Т05'!$S$38+'[16]Т05'!$S$56+'[16]Т05'!$S$208</f>
        <v>1419.078</v>
      </c>
      <c r="BE30" s="89">
        <f aca="true" t="shared" si="34" ref="BE30:BE37">BC30+BD30</f>
        <v>25764.473</v>
      </c>
      <c r="BF30" s="90">
        <f aca="true" t="shared" si="35" ref="BF30:BF37">AG30+AJ30-BE30</f>
        <v>11848.766999999996</v>
      </c>
      <c r="BG30" s="90">
        <f aca="true" t="shared" si="36" ref="BG30:BG37">AF30-U30</f>
        <v>3174.8199999999997</v>
      </c>
      <c r="BH30" s="209"/>
      <c r="BI30" s="209"/>
      <c r="BJ30" s="209"/>
      <c r="BK30" s="209"/>
      <c r="BL30" s="209"/>
      <c r="BM30" s="208"/>
      <c r="BN30" s="208"/>
      <c r="BO30" s="210"/>
      <c r="BP30" s="210"/>
      <c r="BQ30" s="210"/>
      <c r="BR30" s="60"/>
      <c r="BS30" s="60"/>
      <c r="BT30" s="60"/>
      <c r="BU30" s="60"/>
    </row>
    <row r="31" spans="1:73" ht="12.75">
      <c r="A31" s="72" t="s">
        <v>50</v>
      </c>
      <c r="B31" s="225">
        <v>3596.7</v>
      </c>
      <c r="C31" s="54">
        <f t="shared" si="21"/>
        <v>30751.785</v>
      </c>
      <c r="D31" s="407">
        <v>267.75</v>
      </c>
      <c r="E31" s="114"/>
      <c r="F31" s="114"/>
      <c r="G31" s="114">
        <v>18946.69</v>
      </c>
      <c r="H31" s="114"/>
      <c r="I31" s="114"/>
      <c r="J31" s="114"/>
      <c r="K31" s="114"/>
      <c r="L31" s="114"/>
      <c r="M31" s="114">
        <v>9200.5</v>
      </c>
      <c r="N31" s="114"/>
      <c r="O31" s="114">
        <v>3190.9</v>
      </c>
      <c r="P31" s="114"/>
      <c r="Q31" s="114"/>
      <c r="R31" s="114"/>
      <c r="S31" s="115"/>
      <c r="T31" s="217"/>
      <c r="U31" s="206">
        <f t="shared" si="22"/>
        <v>31338.09</v>
      </c>
      <c r="V31" s="207">
        <f t="shared" si="22"/>
        <v>0</v>
      </c>
      <c r="W31" s="215"/>
      <c r="X31" s="226">
        <v>24759.85</v>
      </c>
      <c r="Y31" s="215"/>
      <c r="Z31" s="215"/>
      <c r="AA31" s="226">
        <v>9207.92</v>
      </c>
      <c r="AB31" s="226">
        <v>3304.64</v>
      </c>
      <c r="AC31" s="215"/>
      <c r="AD31" s="226"/>
      <c r="AE31" s="227"/>
      <c r="AF31" s="113">
        <f t="shared" si="23"/>
        <v>37272.409999999996</v>
      </c>
      <c r="AG31" s="118">
        <f t="shared" si="24"/>
        <v>37540.159999999996</v>
      </c>
      <c r="AH31" s="98">
        <f t="shared" si="25"/>
        <v>0</v>
      </c>
      <c r="AI31" s="98">
        <f t="shared" si="25"/>
        <v>0</v>
      </c>
      <c r="AJ31" s="99">
        <f>'[16]Т06'!$J$38+'[16]Т06'!$J$56+'[16]Т06'!$J$169+'[16]Т06'!$J$239</f>
        <v>2975.3900000000003</v>
      </c>
      <c r="AK31" s="80">
        <f t="shared" si="26"/>
        <v>2409.789</v>
      </c>
      <c r="AL31" s="86">
        <f t="shared" si="27"/>
        <v>719.34</v>
      </c>
      <c r="AM31" s="86">
        <f t="shared" si="28"/>
        <v>3596.7</v>
      </c>
      <c r="AN31" s="86">
        <f t="shared" si="29"/>
        <v>755.3069999999999</v>
      </c>
      <c r="AO31" s="86">
        <f t="shared" si="30"/>
        <v>7265.334</v>
      </c>
      <c r="AP31" s="86">
        <f t="shared" si="31"/>
        <v>3704.601</v>
      </c>
      <c r="AQ31" s="86">
        <f t="shared" si="32"/>
        <v>2697.5249999999996</v>
      </c>
      <c r="AR31" s="86">
        <f t="shared" si="33"/>
        <v>2697.5249999999996</v>
      </c>
      <c r="AS31" s="214"/>
      <c r="AT31" s="100">
        <f>0.45*883.2</f>
        <v>397.44000000000005</v>
      </c>
      <c r="AU31" s="224"/>
      <c r="AV31" s="101"/>
      <c r="AW31" s="101">
        <v>120</v>
      </c>
      <c r="AX31" s="101">
        <f>55.106+2111.89</f>
        <v>2166.996</v>
      </c>
      <c r="AY31" s="101"/>
      <c r="AZ31" s="101"/>
      <c r="BA31" s="50"/>
      <c r="BB31" s="100"/>
      <c r="BC31" s="213">
        <f>SUM(AK31:BB31)</f>
        <v>26530.556999999997</v>
      </c>
      <c r="BD31" s="157">
        <f>'[16]Т06'!$S$38+'[16]Т06'!$S$169+'[16]Т06'!$S$56+'[16]Т06'!$S$239</f>
        <v>1444.078</v>
      </c>
      <c r="BE31" s="89">
        <f t="shared" si="34"/>
        <v>27974.635</v>
      </c>
      <c r="BF31" s="90">
        <f t="shared" si="35"/>
        <v>12540.914999999997</v>
      </c>
      <c r="BG31" s="90">
        <f t="shared" si="36"/>
        <v>5934.319999999996</v>
      </c>
      <c r="BH31" s="209"/>
      <c r="BI31" s="209"/>
      <c r="BJ31" s="209"/>
      <c r="BK31" s="209"/>
      <c r="BL31" s="209"/>
      <c r="BM31" s="208"/>
      <c r="BN31" s="208"/>
      <c r="BO31" s="210"/>
      <c r="BP31" s="210"/>
      <c r="BQ31" s="210"/>
      <c r="BR31" s="60"/>
      <c r="BS31" s="60"/>
      <c r="BT31" s="60"/>
      <c r="BU31" s="60"/>
    </row>
    <row r="32" spans="1:73" ht="12.75">
      <c r="A32" s="72" t="s">
        <v>51</v>
      </c>
      <c r="B32" s="73">
        <v>3596.7</v>
      </c>
      <c r="C32" s="54">
        <f>B32*9.51</f>
        <v>34204.617</v>
      </c>
      <c r="D32" s="407">
        <v>358.3125</v>
      </c>
      <c r="E32" s="114"/>
      <c r="F32" s="114"/>
      <c r="G32" s="114">
        <v>34801.11</v>
      </c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T32" s="217"/>
      <c r="U32" s="206">
        <f>G32+M32+O32+Q32+S32</f>
        <v>34801.11</v>
      </c>
      <c r="V32" s="408">
        <f>H32+N32+P32+R32+T32</f>
        <v>0</v>
      </c>
      <c r="W32" s="215"/>
      <c r="X32" s="106">
        <v>22517.71</v>
      </c>
      <c r="Y32" s="215"/>
      <c r="Z32" s="215"/>
      <c r="AA32" s="106">
        <v>10063.61</v>
      </c>
      <c r="AB32" s="106">
        <v>3562.36</v>
      </c>
      <c r="AC32" s="215"/>
      <c r="AD32" s="106"/>
      <c r="AE32" s="112"/>
      <c r="AF32" s="113">
        <f>SUM(X32:AE32)</f>
        <v>36143.68</v>
      </c>
      <c r="AG32" s="118">
        <f t="shared" si="24"/>
        <v>36501.9925</v>
      </c>
      <c r="AH32" s="409">
        <v>0</v>
      </c>
      <c r="AI32" s="98">
        <f t="shared" si="25"/>
        <v>0</v>
      </c>
      <c r="AJ32" s="99">
        <f>'[16]Т07'!$J$38+'[16]Т07'!$J$56+'[16]Т07'!$J$171+'[16]Т07'!$J$241</f>
        <v>2975.3900000000003</v>
      </c>
      <c r="AK32" s="86">
        <f>0.75*B32</f>
        <v>2697.5249999999996</v>
      </c>
      <c r="AL32" s="86">
        <f t="shared" si="27"/>
        <v>719.34</v>
      </c>
      <c r="AM32" s="86">
        <f t="shared" si="28"/>
        <v>3596.7</v>
      </c>
      <c r="AN32" s="86">
        <f t="shared" si="29"/>
        <v>755.3069999999999</v>
      </c>
      <c r="AO32" s="86">
        <f t="shared" si="30"/>
        <v>7265.334</v>
      </c>
      <c r="AP32" s="86">
        <f t="shared" si="31"/>
        <v>3704.601</v>
      </c>
      <c r="AQ32" s="86">
        <f t="shared" si="32"/>
        <v>2697.5249999999996</v>
      </c>
      <c r="AR32" s="86">
        <f t="shared" si="33"/>
        <v>2697.5249999999996</v>
      </c>
      <c r="AS32" s="214"/>
      <c r="AT32" s="100">
        <f>0.45*883.2</f>
        <v>397.44000000000005</v>
      </c>
      <c r="AU32" s="224"/>
      <c r="AV32" s="101"/>
      <c r="AW32" s="101">
        <v>4981</v>
      </c>
      <c r="AX32" s="101">
        <f>55.11+8.33</f>
        <v>63.44</v>
      </c>
      <c r="AY32" s="101"/>
      <c r="AZ32" s="101"/>
      <c r="BA32" s="50"/>
      <c r="BB32" s="100"/>
      <c r="BC32" s="213">
        <f>SUM(AK32:BB32)</f>
        <v>29575.736999999994</v>
      </c>
      <c r="BD32" s="157">
        <f>'[16]Т07'!$S$38+'[16]Т07'!$S$56+'[16]Т07'!$S$171+'[16]Т07'!$S$241</f>
        <v>1444.078</v>
      </c>
      <c r="BE32" s="89">
        <f t="shared" si="34"/>
        <v>31019.814999999995</v>
      </c>
      <c r="BF32" s="90">
        <f t="shared" si="35"/>
        <v>8457.567500000005</v>
      </c>
      <c r="BG32" s="90">
        <f t="shared" si="36"/>
        <v>1342.5699999999997</v>
      </c>
      <c r="BH32" s="209"/>
      <c r="BI32" s="209"/>
      <c r="BJ32" s="209"/>
      <c r="BK32" s="209"/>
      <c r="BL32" s="209"/>
      <c r="BM32" s="208"/>
      <c r="BN32" s="208"/>
      <c r="BO32" s="210"/>
      <c r="BP32" s="210"/>
      <c r="BQ32" s="210"/>
      <c r="BR32" s="60"/>
      <c r="BS32" s="60"/>
      <c r="BT32" s="60"/>
      <c r="BU32" s="60"/>
    </row>
    <row r="33" spans="1:73" ht="12.75">
      <c r="A33" s="72" t="s">
        <v>52</v>
      </c>
      <c r="B33" s="73">
        <v>3596.7</v>
      </c>
      <c r="C33" s="54">
        <f>B33*9.51</f>
        <v>34204.617</v>
      </c>
      <c r="D33" s="407"/>
      <c r="E33" s="114"/>
      <c r="F33" s="114"/>
      <c r="G33" s="114">
        <v>34801.11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5"/>
      <c r="T33" s="217"/>
      <c r="U33" s="206">
        <f aca="true" t="shared" si="37" ref="U33:V37">G33+M33+O33+Q33+S33</f>
        <v>34801.11</v>
      </c>
      <c r="V33" s="408">
        <f t="shared" si="37"/>
        <v>0</v>
      </c>
      <c r="W33" s="215"/>
      <c r="X33" s="106">
        <v>32015.07</v>
      </c>
      <c r="Y33" s="215"/>
      <c r="Z33" s="215"/>
      <c r="AA33" s="106">
        <v>1304.5</v>
      </c>
      <c r="AB33" s="106">
        <v>502.54</v>
      </c>
      <c r="AC33" s="215"/>
      <c r="AD33" s="106"/>
      <c r="AE33" s="112"/>
      <c r="AF33" s="113">
        <f>SUM(X33:AE33)</f>
        <v>33822.11</v>
      </c>
      <c r="AG33" s="118">
        <f t="shared" si="24"/>
        <v>33822.11</v>
      </c>
      <c r="AH33" s="409">
        <v>0</v>
      </c>
      <c r="AI33" s="98">
        <f t="shared" si="25"/>
        <v>0</v>
      </c>
      <c r="AJ33" s="99">
        <f>'[16]Т08'!$J$38+'[16]Т08'!$J$56+'[16]Т08'!$J$171+'[16]Т08'!$J$241+'[16]Т08'!$J$310</f>
        <v>4775.39</v>
      </c>
      <c r="AK33" s="86">
        <f>0.75*B33</f>
        <v>2697.5249999999996</v>
      </c>
      <c r="AL33" s="86">
        <f t="shared" si="27"/>
        <v>719.34</v>
      </c>
      <c r="AM33" s="86">
        <f t="shared" si="28"/>
        <v>3596.7</v>
      </c>
      <c r="AN33" s="86">
        <f t="shared" si="29"/>
        <v>755.3069999999999</v>
      </c>
      <c r="AO33" s="86">
        <f t="shared" si="30"/>
        <v>7265.334</v>
      </c>
      <c r="AP33" s="86">
        <f t="shared" si="31"/>
        <v>3704.601</v>
      </c>
      <c r="AQ33" s="86">
        <f t="shared" si="32"/>
        <v>2697.5249999999996</v>
      </c>
      <c r="AR33" s="86">
        <f t="shared" si="33"/>
        <v>2697.5249999999996</v>
      </c>
      <c r="AS33" s="214"/>
      <c r="AT33" s="100">
        <f>0.45*883.2</f>
        <v>397.44000000000005</v>
      </c>
      <c r="AU33" s="224">
        <v>2140</v>
      </c>
      <c r="AV33" s="101"/>
      <c r="AW33" s="101"/>
      <c r="AX33" s="101">
        <f>1918.11+550.8</f>
        <v>2468.91</v>
      </c>
      <c r="AY33" s="101"/>
      <c r="AZ33" s="101"/>
      <c r="BA33" s="50"/>
      <c r="BB33" s="100"/>
      <c r="BC33" s="213">
        <f>SUM(AK33:BB33)</f>
        <v>29140.206999999995</v>
      </c>
      <c r="BD33" s="157">
        <f>'[16]Т08'!$S$38+'[16]Т08'!$S$56+'[16]Т08'!$S$171+'[16]Т08'!$S$241+'[16]Т08'!$S$310</f>
        <v>1894.078</v>
      </c>
      <c r="BE33" s="89">
        <f t="shared" si="34"/>
        <v>31034.284999999996</v>
      </c>
      <c r="BF33" s="90">
        <f t="shared" si="35"/>
        <v>7563.215000000004</v>
      </c>
      <c r="BG33" s="90">
        <f t="shared" si="36"/>
        <v>-979</v>
      </c>
      <c r="BH33" s="209"/>
      <c r="BI33" s="209"/>
      <c r="BJ33" s="209"/>
      <c r="BK33" s="209"/>
      <c r="BL33" s="209"/>
      <c r="BM33" s="208"/>
      <c r="BN33" s="208"/>
      <c r="BO33" s="210"/>
      <c r="BP33" s="210"/>
      <c r="BQ33" s="210"/>
      <c r="BR33" s="60"/>
      <c r="BS33" s="60"/>
      <c r="BT33" s="60"/>
      <c r="BU33" s="60"/>
    </row>
    <row r="34" spans="1:73" ht="12.75">
      <c r="A34" s="72" t="s">
        <v>53</v>
      </c>
      <c r="B34" s="73">
        <v>3596.7</v>
      </c>
      <c r="C34" s="54">
        <f>B34*9.51</f>
        <v>34204.617</v>
      </c>
      <c r="D34" s="407"/>
      <c r="E34" s="114"/>
      <c r="F34" s="114"/>
      <c r="G34" s="114">
        <v>34801.11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5"/>
      <c r="T34" s="217"/>
      <c r="U34" s="206">
        <f t="shared" si="37"/>
        <v>34801.11</v>
      </c>
      <c r="V34" s="408">
        <f t="shared" si="37"/>
        <v>0</v>
      </c>
      <c r="W34" s="215"/>
      <c r="X34" s="106">
        <v>28623.68</v>
      </c>
      <c r="Y34" s="215"/>
      <c r="Z34" s="215"/>
      <c r="AA34" s="106">
        <v>293.31</v>
      </c>
      <c r="AB34" s="106">
        <v>3138.84</v>
      </c>
      <c r="AC34" s="215"/>
      <c r="AD34" s="106"/>
      <c r="AE34" s="112"/>
      <c r="AF34" s="113">
        <f>SUM(X34:AE34)</f>
        <v>32055.83</v>
      </c>
      <c r="AG34" s="118">
        <f t="shared" si="24"/>
        <v>32055.83</v>
      </c>
      <c r="AH34" s="409">
        <v>0</v>
      </c>
      <c r="AI34" s="98">
        <f t="shared" si="25"/>
        <v>0</v>
      </c>
      <c r="AJ34" s="99">
        <f>'[16]Т09'!$J$38+'[16]Т09'!$J$56+'[16]Т09'!$J$174+'[16]Т09'!$J$241+'[16]Т09'!$J$310</f>
        <v>3575.3900000000003</v>
      </c>
      <c r="AK34" s="86">
        <f>0.75*B34</f>
        <v>2697.5249999999996</v>
      </c>
      <c r="AL34" s="86">
        <f t="shared" si="27"/>
        <v>719.34</v>
      </c>
      <c r="AM34" s="86">
        <f t="shared" si="28"/>
        <v>3596.7</v>
      </c>
      <c r="AN34" s="86">
        <f t="shared" si="29"/>
        <v>755.3069999999999</v>
      </c>
      <c r="AO34" s="86">
        <f t="shared" si="30"/>
        <v>7265.334</v>
      </c>
      <c r="AP34" s="86">
        <f t="shared" si="31"/>
        <v>3704.601</v>
      </c>
      <c r="AQ34" s="86">
        <f t="shared" si="32"/>
        <v>2697.5249999999996</v>
      </c>
      <c r="AR34" s="86">
        <f t="shared" si="33"/>
        <v>2697.5249999999996</v>
      </c>
      <c r="AS34" s="214"/>
      <c r="AT34" s="100">
        <f>0.45*883.2</f>
        <v>397.44000000000005</v>
      </c>
      <c r="AU34" s="224">
        <v>3383</v>
      </c>
      <c r="AV34" s="101"/>
      <c r="AW34" s="101"/>
      <c r="AX34" s="101">
        <f>514+55.11+4019.39</f>
        <v>4588.5</v>
      </c>
      <c r="AY34" s="101"/>
      <c r="AZ34" s="101"/>
      <c r="BA34" s="50"/>
      <c r="BB34" s="100"/>
      <c r="BC34" s="213">
        <f>SUM(AK34:BB34)</f>
        <v>32502.796999999995</v>
      </c>
      <c r="BD34" s="157">
        <f>'[16]Т09'!$S$38+'[16]Т09'!$S$56+'[16]Т09'!$S$174+'[16]Т09'!$S$241+'[16]Т09'!$S$310</f>
        <v>1594.078</v>
      </c>
      <c r="BE34" s="89">
        <f t="shared" si="34"/>
        <v>34096.87499999999</v>
      </c>
      <c r="BF34" s="90">
        <f t="shared" si="35"/>
        <v>1534.3450000000084</v>
      </c>
      <c r="BG34" s="90">
        <f t="shared" si="36"/>
        <v>-2745.279999999999</v>
      </c>
      <c r="BH34" s="209"/>
      <c r="BI34" s="209"/>
      <c r="BJ34" s="209"/>
      <c r="BK34" s="209"/>
      <c r="BL34" s="209"/>
      <c r="BM34" s="208"/>
      <c r="BN34" s="208"/>
      <c r="BO34" s="210"/>
      <c r="BP34" s="210"/>
      <c r="BQ34" s="210"/>
      <c r="BR34" s="60"/>
      <c r="BS34" s="60"/>
      <c r="BT34" s="60"/>
      <c r="BU34" s="60"/>
    </row>
    <row r="35" spans="1:73" ht="12.75">
      <c r="A35" s="72" t="s">
        <v>41</v>
      </c>
      <c r="B35" s="73">
        <v>3596.7</v>
      </c>
      <c r="C35" s="54">
        <f>B35*9.51</f>
        <v>34204.617</v>
      </c>
      <c r="D35" s="407"/>
      <c r="E35" s="114"/>
      <c r="F35" s="114"/>
      <c r="G35" s="114">
        <v>34806.51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5"/>
      <c r="T35" s="217"/>
      <c r="U35" s="206">
        <f t="shared" si="37"/>
        <v>34806.51</v>
      </c>
      <c r="V35" s="408">
        <f t="shared" si="37"/>
        <v>0</v>
      </c>
      <c r="W35" s="215"/>
      <c r="X35" s="106">
        <v>34565.1</v>
      </c>
      <c r="Y35" s="215"/>
      <c r="Z35" s="215"/>
      <c r="AA35" s="106">
        <v>569.1</v>
      </c>
      <c r="AB35" s="106">
        <v>131.94</v>
      </c>
      <c r="AC35" s="215"/>
      <c r="AD35" s="106"/>
      <c r="AE35" s="112"/>
      <c r="AF35" s="113">
        <f>SUM(X35:AE35)</f>
        <v>35266.14</v>
      </c>
      <c r="AG35" s="118">
        <f t="shared" si="24"/>
        <v>35266.14</v>
      </c>
      <c r="AH35" s="409">
        <v>0</v>
      </c>
      <c r="AI35" s="98">
        <f t="shared" si="25"/>
        <v>0</v>
      </c>
      <c r="AJ35" s="99">
        <f>'[16]Т10'!$J$38+'[16]Т10'!$J$56+'[16]Т10'!$J$173+'[16]Т10'!$J$240+'[16]Т10'!$J$309</f>
        <v>3575.3900000000003</v>
      </c>
      <c r="AK35" s="86">
        <f>0.75*B35</f>
        <v>2697.5249999999996</v>
      </c>
      <c r="AL35" s="86">
        <f t="shared" si="27"/>
        <v>719.34</v>
      </c>
      <c r="AM35" s="86">
        <f t="shared" si="28"/>
        <v>3596.7</v>
      </c>
      <c r="AN35" s="86">
        <f t="shared" si="29"/>
        <v>755.3069999999999</v>
      </c>
      <c r="AO35" s="86">
        <f t="shared" si="30"/>
        <v>7265.334</v>
      </c>
      <c r="AP35" s="86">
        <f t="shared" si="31"/>
        <v>3704.601</v>
      </c>
      <c r="AQ35" s="86">
        <f t="shared" si="32"/>
        <v>2697.5249999999996</v>
      </c>
      <c r="AR35" s="86">
        <f t="shared" si="33"/>
        <v>2697.5249999999996</v>
      </c>
      <c r="AS35" s="214">
        <f>B35*1.15</f>
        <v>4136.204999999999</v>
      </c>
      <c r="AT35" s="100">
        <f>0.45*883.2</f>
        <v>397.44000000000005</v>
      </c>
      <c r="AU35" s="410">
        <v>772</v>
      </c>
      <c r="AV35" s="101"/>
      <c r="AW35" s="101"/>
      <c r="AX35" s="101">
        <f>489+152.53+140+171+85.5+18+264</f>
        <v>1320.03</v>
      </c>
      <c r="AY35" s="101"/>
      <c r="AZ35" s="101"/>
      <c r="BA35" s="50"/>
      <c r="BB35" s="100"/>
      <c r="BC35" s="213">
        <f>SUM(AK35:BB35)</f>
        <v>30759.531999999992</v>
      </c>
      <c r="BD35" s="157">
        <f>'[16]Т10'!$S$38+'[16]Т10'!$S$56+'[16]Т10'!$S$173+'[16]Т10'!$S$240+'[16]Т10'!$S$309</f>
        <v>1594.078</v>
      </c>
      <c r="BE35" s="89">
        <f t="shared" si="34"/>
        <v>32353.609999999993</v>
      </c>
      <c r="BF35" s="90">
        <f t="shared" si="35"/>
        <v>6487.9200000000055</v>
      </c>
      <c r="BG35" s="90">
        <f t="shared" si="36"/>
        <v>459.6299999999974</v>
      </c>
      <c r="BH35" s="209"/>
      <c r="BI35" s="209"/>
      <c r="BJ35" s="209"/>
      <c r="BK35" s="209"/>
      <c r="BL35" s="209"/>
      <c r="BM35" s="208"/>
      <c r="BN35" s="208"/>
      <c r="BO35" s="210"/>
      <c r="BP35" s="210"/>
      <c r="BQ35" s="210"/>
      <c r="BR35" s="60"/>
      <c r="BS35" s="60"/>
      <c r="BT35" s="60"/>
      <c r="BU35" s="60"/>
    </row>
    <row r="36" spans="1:73" ht="12.75">
      <c r="A36" s="72" t="s">
        <v>42</v>
      </c>
      <c r="B36" s="411">
        <v>3598.5</v>
      </c>
      <c r="C36" s="54">
        <f>B36*9.51</f>
        <v>34221.735</v>
      </c>
      <c r="D36" s="407"/>
      <c r="E36" s="114"/>
      <c r="F36" s="114"/>
      <c r="G36" s="106">
        <v>34970.58</v>
      </c>
      <c r="H36" s="106"/>
      <c r="I36" s="114"/>
      <c r="J36" s="114"/>
      <c r="K36" s="114"/>
      <c r="L36" s="114"/>
      <c r="M36" s="106"/>
      <c r="N36" s="106"/>
      <c r="O36" s="106"/>
      <c r="P36" s="106"/>
      <c r="Q36" s="106"/>
      <c r="R36" s="106"/>
      <c r="S36" s="112"/>
      <c r="T36" s="217"/>
      <c r="U36" s="206">
        <f t="shared" si="37"/>
        <v>34970.58</v>
      </c>
      <c r="V36" s="408">
        <f t="shared" si="37"/>
        <v>0</v>
      </c>
      <c r="W36" s="215"/>
      <c r="X36" s="106">
        <v>32287.32</v>
      </c>
      <c r="Y36" s="215"/>
      <c r="Z36" s="215"/>
      <c r="AA36" s="106">
        <v>358.01</v>
      </c>
      <c r="AB36" s="106">
        <v>102.64</v>
      </c>
      <c r="AC36" s="215"/>
      <c r="AD36" s="106"/>
      <c r="AE36" s="112"/>
      <c r="AF36" s="113">
        <f>SUM(X36:AE36)</f>
        <v>32747.969999999998</v>
      </c>
      <c r="AG36" s="118">
        <f t="shared" si="24"/>
        <v>32747.969999999998</v>
      </c>
      <c r="AH36" s="409">
        <v>0</v>
      </c>
      <c r="AI36" s="98">
        <f t="shared" si="25"/>
        <v>0</v>
      </c>
      <c r="AJ36" s="99">
        <f>'[16]Т11'!$J$38+'[16]Т11'!$J$56+'[16]Т11'!$J$175+'[16]Т11'!$J$242+'[16]Т11'!$J$311</f>
        <v>3575.3900000000003</v>
      </c>
      <c r="AK36" s="86">
        <f>0.75*B36</f>
        <v>2698.875</v>
      </c>
      <c r="AL36" s="86">
        <f t="shared" si="27"/>
        <v>719.7</v>
      </c>
      <c r="AM36" s="86">
        <f t="shared" si="28"/>
        <v>3598.5</v>
      </c>
      <c r="AN36" s="86">
        <f t="shared" si="29"/>
        <v>755.685</v>
      </c>
      <c r="AO36" s="86">
        <f t="shared" si="30"/>
        <v>7268.97</v>
      </c>
      <c r="AP36" s="86">
        <f t="shared" si="31"/>
        <v>3706.455</v>
      </c>
      <c r="AQ36" s="86">
        <f t="shared" si="32"/>
        <v>2698.875</v>
      </c>
      <c r="AR36" s="86">
        <f t="shared" si="33"/>
        <v>2698.875</v>
      </c>
      <c r="AS36" s="214">
        <f>B36*1.15</f>
        <v>4138.275</v>
      </c>
      <c r="AT36" s="100">
        <f>0.45*883.2</f>
        <v>397.44000000000005</v>
      </c>
      <c r="AU36" s="224">
        <v>317</v>
      </c>
      <c r="AV36" s="101"/>
      <c r="AW36" s="101"/>
      <c r="AX36" s="101">
        <f>158+110.68</f>
        <v>268.68</v>
      </c>
      <c r="AY36" s="101"/>
      <c r="AZ36" s="101"/>
      <c r="BA36" s="50"/>
      <c r="BB36" s="100"/>
      <c r="BC36" s="213">
        <f>SUM(AK36:BB36)</f>
        <v>29267.329999999998</v>
      </c>
      <c r="BD36" s="157">
        <f>'[16]Т11'!$S$38+'[16]Т11'!$S$56+'[16]Т11'!$S$175+'[16]Т11'!$S$242+'[16]Т11'!$S$311</f>
        <v>1594.078</v>
      </c>
      <c r="BE36" s="89">
        <f t="shared" si="34"/>
        <v>30861.408</v>
      </c>
      <c r="BF36" s="90">
        <f t="shared" si="35"/>
        <v>5461.952000000001</v>
      </c>
      <c r="BG36" s="90">
        <f t="shared" si="36"/>
        <v>-2222.610000000004</v>
      </c>
      <c r="BH36" s="209"/>
      <c r="BI36" s="209"/>
      <c r="BJ36" s="209"/>
      <c r="BK36" s="209"/>
      <c r="BL36" s="209"/>
      <c r="BM36" s="208"/>
      <c r="BN36" s="208"/>
      <c r="BO36" s="210"/>
      <c r="BP36" s="210"/>
      <c r="BQ36" s="210"/>
      <c r="BR36" s="60"/>
      <c r="BS36" s="60"/>
      <c r="BT36" s="60"/>
      <c r="BU36" s="60"/>
    </row>
    <row r="37" spans="1:73" ht="13.5" thickBot="1">
      <c r="A37" s="72" t="s">
        <v>43</v>
      </c>
      <c r="B37" s="412">
        <v>3602</v>
      </c>
      <c r="C37" s="54">
        <f>B37*9.51</f>
        <v>34255.02</v>
      </c>
      <c r="D37" s="407"/>
      <c r="E37" s="106"/>
      <c r="F37" s="106"/>
      <c r="G37" s="106">
        <v>34899.3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12"/>
      <c r="T37" s="217"/>
      <c r="U37" s="206">
        <f t="shared" si="37"/>
        <v>34899.3</v>
      </c>
      <c r="V37" s="408">
        <f t="shared" si="37"/>
        <v>0</v>
      </c>
      <c r="W37" s="215"/>
      <c r="X37" s="106">
        <v>44669.3</v>
      </c>
      <c r="Y37" s="106"/>
      <c r="Z37" s="106"/>
      <c r="AA37" s="106">
        <v>172.72</v>
      </c>
      <c r="AB37" s="106">
        <v>49.32</v>
      </c>
      <c r="AC37" s="106"/>
      <c r="AD37" s="106"/>
      <c r="AE37" s="112"/>
      <c r="AF37" s="113">
        <f>SUM(X37:AE37)</f>
        <v>44891.340000000004</v>
      </c>
      <c r="AG37" s="118">
        <f t="shared" si="24"/>
        <v>44891.340000000004</v>
      </c>
      <c r="AH37" s="409">
        <v>0</v>
      </c>
      <c r="AI37" s="98">
        <f t="shared" si="25"/>
        <v>0</v>
      </c>
      <c r="AJ37" s="99">
        <f>'[16]Т12'!$J$38+'[16]Т12'!$J$56+'[16]Т12'!$J$178+'[16]Т12'!$J$245+'[16]Т12'!$J$314</f>
        <v>3575.3900000000003</v>
      </c>
      <c r="AK37" s="86">
        <f>0.75*B37</f>
        <v>2701.5</v>
      </c>
      <c r="AL37" s="86">
        <f t="shared" si="27"/>
        <v>720.4000000000001</v>
      </c>
      <c r="AM37" s="86">
        <f t="shared" si="28"/>
        <v>3602</v>
      </c>
      <c r="AN37" s="86">
        <f t="shared" si="29"/>
        <v>756.42</v>
      </c>
      <c r="AO37" s="86">
        <f t="shared" si="30"/>
        <v>7276.04</v>
      </c>
      <c r="AP37" s="86">
        <f t="shared" si="31"/>
        <v>3710.06</v>
      </c>
      <c r="AQ37" s="86">
        <f t="shared" si="32"/>
        <v>2701.5</v>
      </c>
      <c r="AR37" s="86">
        <f t="shared" si="33"/>
        <v>2701.5</v>
      </c>
      <c r="AS37" s="214">
        <f>B37*1.15</f>
        <v>4142.299999999999</v>
      </c>
      <c r="AT37" s="100">
        <f>0.45*883.2</f>
        <v>397.44000000000005</v>
      </c>
      <c r="AU37" s="224"/>
      <c r="AV37" s="101"/>
      <c r="AW37" s="101"/>
      <c r="AX37" s="101">
        <f>104685.77+164.56+4.68+1510.5+9+36</f>
        <v>106410.51</v>
      </c>
      <c r="AY37" s="101"/>
      <c r="AZ37" s="101"/>
      <c r="BA37" s="50"/>
      <c r="BB37" s="100"/>
      <c r="BC37" s="213">
        <f>SUM(AK37:BB37)</f>
        <v>135119.66999999998</v>
      </c>
      <c r="BD37" s="157">
        <f>'[16]Т12'!$S$38+'[16]Т12'!$S$56+'[16]Т12'!$S$178+'[16]Т12'!$S$245+'[16]Т12'!$S$314</f>
        <v>1594.078</v>
      </c>
      <c r="BE37" s="89">
        <f t="shared" si="34"/>
        <v>136713.748</v>
      </c>
      <c r="BF37" s="90">
        <f t="shared" si="35"/>
        <v>-88247.01799999998</v>
      </c>
      <c r="BG37" s="90">
        <f t="shared" si="36"/>
        <v>9992.04</v>
      </c>
      <c r="BH37" s="209"/>
      <c r="BI37" s="209"/>
      <c r="BJ37" s="209"/>
      <c r="BK37" s="209"/>
      <c r="BL37" s="209"/>
      <c r="BM37" s="208"/>
      <c r="BN37" s="208"/>
      <c r="BO37" s="210"/>
      <c r="BP37" s="210"/>
      <c r="BQ37" s="210"/>
      <c r="BR37" s="60"/>
      <c r="BS37" s="60"/>
      <c r="BT37" s="60"/>
      <c r="BU37" s="60"/>
    </row>
    <row r="38" spans="1:59" s="15" customFormat="1" ht="13.5" thickBot="1">
      <c r="A38" s="119" t="s">
        <v>5</v>
      </c>
      <c r="B38" s="120"/>
      <c r="C38" s="127">
        <f aca="true" t="shared" si="38" ref="C38:BF38">SUM(C26:C37)</f>
        <v>389831.583</v>
      </c>
      <c r="D38" s="127">
        <f t="shared" si="38"/>
        <v>1964.8125</v>
      </c>
      <c r="E38" s="127">
        <f t="shared" si="38"/>
        <v>0</v>
      </c>
      <c r="F38" s="127">
        <f t="shared" si="38"/>
        <v>0</v>
      </c>
      <c r="G38" s="127">
        <f t="shared" si="38"/>
        <v>322544.68</v>
      </c>
      <c r="H38" s="127">
        <f t="shared" si="38"/>
        <v>0</v>
      </c>
      <c r="I38" s="127">
        <f t="shared" si="38"/>
        <v>0</v>
      </c>
      <c r="J38" s="127">
        <f t="shared" si="38"/>
        <v>0</v>
      </c>
      <c r="K38" s="127">
        <f t="shared" si="38"/>
        <v>0</v>
      </c>
      <c r="L38" s="127">
        <f t="shared" si="38"/>
        <v>0</v>
      </c>
      <c r="M38" s="127">
        <f t="shared" si="38"/>
        <v>55097.29</v>
      </c>
      <c r="N38" s="127">
        <f t="shared" si="38"/>
        <v>0</v>
      </c>
      <c r="O38" s="127">
        <f t="shared" si="38"/>
        <v>19107.47</v>
      </c>
      <c r="P38" s="127">
        <f t="shared" si="38"/>
        <v>0</v>
      </c>
      <c r="Q38" s="127">
        <f t="shared" si="38"/>
        <v>0</v>
      </c>
      <c r="R38" s="127">
        <f t="shared" si="38"/>
        <v>0</v>
      </c>
      <c r="S38" s="127">
        <f t="shared" si="38"/>
        <v>0</v>
      </c>
      <c r="T38" s="127">
        <f t="shared" si="38"/>
        <v>0</v>
      </c>
      <c r="U38" s="127">
        <f t="shared" si="38"/>
        <v>396749.44</v>
      </c>
      <c r="V38" s="127">
        <f t="shared" si="38"/>
        <v>0</v>
      </c>
      <c r="W38" s="127">
        <f t="shared" si="38"/>
        <v>0</v>
      </c>
      <c r="X38" s="127">
        <f t="shared" si="38"/>
        <v>310682.55</v>
      </c>
      <c r="Y38" s="127">
        <f t="shared" si="38"/>
        <v>0</v>
      </c>
      <c r="Z38" s="127">
        <f t="shared" si="38"/>
        <v>0</v>
      </c>
      <c r="AA38" s="127">
        <f t="shared" si="38"/>
        <v>63635.27</v>
      </c>
      <c r="AB38" s="127">
        <f t="shared" si="38"/>
        <v>24918.13</v>
      </c>
      <c r="AC38" s="127">
        <f t="shared" si="38"/>
        <v>0</v>
      </c>
      <c r="AD38" s="127">
        <f t="shared" si="38"/>
        <v>0</v>
      </c>
      <c r="AE38" s="127">
        <f t="shared" si="38"/>
        <v>0</v>
      </c>
      <c r="AF38" s="127">
        <f t="shared" si="38"/>
        <v>399235.95</v>
      </c>
      <c r="AG38" s="127">
        <f t="shared" si="38"/>
        <v>401200.7625</v>
      </c>
      <c r="AH38" s="127">
        <f t="shared" si="38"/>
        <v>0</v>
      </c>
      <c r="AI38" s="127">
        <f t="shared" si="38"/>
        <v>0</v>
      </c>
      <c r="AJ38" s="127">
        <f t="shared" si="38"/>
        <v>39404.68</v>
      </c>
      <c r="AK38" s="127">
        <f t="shared" si="38"/>
        <v>30651.219000000005</v>
      </c>
      <c r="AL38" s="127">
        <f t="shared" si="38"/>
        <v>8634.1</v>
      </c>
      <c r="AM38" s="127">
        <f t="shared" si="38"/>
        <v>43170.5</v>
      </c>
      <c r="AN38" s="127">
        <f t="shared" si="38"/>
        <v>9065.804999999998</v>
      </c>
      <c r="AO38" s="127">
        <f t="shared" si="38"/>
        <v>87204.41</v>
      </c>
      <c r="AP38" s="127">
        <f t="shared" si="38"/>
        <v>44465.615</v>
      </c>
      <c r="AQ38" s="127">
        <f t="shared" si="38"/>
        <v>32377.875000000007</v>
      </c>
      <c r="AR38" s="127">
        <f t="shared" si="38"/>
        <v>32377.875000000007</v>
      </c>
      <c r="AS38" s="127">
        <f t="shared" si="38"/>
        <v>24827.464999999993</v>
      </c>
      <c r="AT38" s="127">
        <f t="shared" si="38"/>
        <v>4769.280000000001</v>
      </c>
      <c r="AU38" s="127">
        <f t="shared" si="38"/>
        <v>27865</v>
      </c>
      <c r="AV38" s="127">
        <f t="shared" si="38"/>
        <v>384.98</v>
      </c>
      <c r="AW38" s="127">
        <f t="shared" si="38"/>
        <v>5101</v>
      </c>
      <c r="AX38" s="127">
        <f t="shared" si="38"/>
        <v>123119.114</v>
      </c>
      <c r="AY38" s="127">
        <f t="shared" si="38"/>
        <v>0</v>
      </c>
      <c r="AZ38" s="127">
        <f t="shared" si="38"/>
        <v>0</v>
      </c>
      <c r="BA38" s="127">
        <f t="shared" si="38"/>
        <v>0</v>
      </c>
      <c r="BB38" s="127">
        <f t="shared" si="38"/>
        <v>0</v>
      </c>
      <c r="BC38" s="127">
        <f t="shared" si="38"/>
        <v>474014.238</v>
      </c>
      <c r="BD38" s="127">
        <f t="shared" si="38"/>
        <v>18253.935999999998</v>
      </c>
      <c r="BE38" s="127">
        <f t="shared" si="38"/>
        <v>492268.174</v>
      </c>
      <c r="BF38" s="127">
        <f t="shared" si="38"/>
        <v>-51662.73149999998</v>
      </c>
      <c r="BG38" s="127">
        <f>SUM(BG26:BG37)</f>
        <v>2486.509999999984</v>
      </c>
    </row>
    <row r="39" spans="1:59" s="15" customFormat="1" ht="13.5" thickBot="1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4"/>
      <c r="BF39" s="123"/>
      <c r="BG39" s="125"/>
    </row>
    <row r="40" spans="1:59" s="15" customFormat="1" ht="13.5" thickBot="1">
      <c r="A40" s="16" t="s">
        <v>54</v>
      </c>
      <c r="B40" s="123"/>
      <c r="C40" s="126">
        <f aca="true" t="shared" si="39" ref="C40:L40">C38+C21</f>
        <v>420588.49799999996</v>
      </c>
      <c r="D40" s="126">
        <f t="shared" si="39"/>
        <v>2232.5625</v>
      </c>
      <c r="E40" s="126">
        <f t="shared" si="39"/>
        <v>0</v>
      </c>
      <c r="F40" s="126">
        <f t="shared" si="39"/>
        <v>0</v>
      </c>
      <c r="G40" s="126">
        <f t="shared" si="39"/>
        <v>341424.58</v>
      </c>
      <c r="H40" s="126">
        <f t="shared" si="39"/>
        <v>0</v>
      </c>
      <c r="I40" s="126">
        <f t="shared" si="39"/>
        <v>0</v>
      </c>
      <c r="J40" s="126">
        <f t="shared" si="39"/>
        <v>0</v>
      </c>
      <c r="K40" s="126">
        <f t="shared" si="39"/>
        <v>0</v>
      </c>
      <c r="L40" s="126">
        <f t="shared" si="39"/>
        <v>0</v>
      </c>
      <c r="M40" s="126" t="e">
        <f>#REF!</f>
        <v>#REF!</v>
      </c>
      <c r="N40" s="126">
        <f aca="true" t="shared" si="40" ref="N40:BD40">N38+N21</f>
        <v>0</v>
      </c>
      <c r="O40" s="126">
        <f t="shared" si="40"/>
        <v>22286.63</v>
      </c>
      <c r="P40" s="126">
        <f t="shared" si="40"/>
        <v>0</v>
      </c>
      <c r="Q40" s="126">
        <f t="shared" si="40"/>
        <v>0</v>
      </c>
      <c r="R40" s="126">
        <f t="shared" si="40"/>
        <v>0</v>
      </c>
      <c r="S40" s="126">
        <f t="shared" si="40"/>
        <v>0</v>
      </c>
      <c r="T40" s="126">
        <f t="shared" si="40"/>
        <v>0</v>
      </c>
      <c r="U40" s="126">
        <f t="shared" si="40"/>
        <v>427976.21</v>
      </c>
      <c r="V40" s="126">
        <f t="shared" si="40"/>
        <v>0</v>
      </c>
      <c r="W40" s="126">
        <f t="shared" si="40"/>
        <v>0</v>
      </c>
      <c r="X40" s="126">
        <f t="shared" si="40"/>
        <v>334981.97</v>
      </c>
      <c r="Y40" s="126">
        <f t="shared" si="40"/>
        <v>0</v>
      </c>
      <c r="Z40" s="126">
        <f t="shared" si="40"/>
        <v>0</v>
      </c>
      <c r="AA40" s="126">
        <f t="shared" si="40"/>
        <v>75157.31</v>
      </c>
      <c r="AB40" s="126">
        <f t="shared" si="40"/>
        <v>29009.190000000002</v>
      </c>
      <c r="AC40" s="126">
        <f t="shared" si="40"/>
        <v>0</v>
      </c>
      <c r="AD40" s="126">
        <f t="shared" si="40"/>
        <v>0</v>
      </c>
      <c r="AE40" s="126">
        <f t="shared" si="40"/>
        <v>0</v>
      </c>
      <c r="AF40" s="126">
        <f t="shared" si="40"/>
        <v>439148.47000000003</v>
      </c>
      <c r="AG40" s="126">
        <f t="shared" si="40"/>
        <v>441381.03250000003</v>
      </c>
      <c r="AH40" s="126">
        <f t="shared" si="40"/>
        <v>0</v>
      </c>
      <c r="AI40" s="126">
        <f t="shared" si="40"/>
        <v>0</v>
      </c>
      <c r="AJ40" s="126">
        <f t="shared" si="40"/>
        <v>41740.364</v>
      </c>
      <c r="AK40" s="126">
        <f t="shared" si="40"/>
        <v>33061.41</v>
      </c>
      <c r="AL40" s="126">
        <f t="shared" si="40"/>
        <v>9353.560000000001</v>
      </c>
      <c r="AM40" s="126">
        <f t="shared" si="40"/>
        <v>46767.8</v>
      </c>
      <c r="AN40" s="126">
        <f t="shared" si="40"/>
        <v>9821.237999999998</v>
      </c>
      <c r="AO40" s="126">
        <f t="shared" si="40"/>
        <v>94470.956</v>
      </c>
      <c r="AP40" s="126">
        <f t="shared" si="40"/>
        <v>48170.833999999995</v>
      </c>
      <c r="AQ40" s="126">
        <f t="shared" si="40"/>
        <v>35075.850000000006</v>
      </c>
      <c r="AR40" s="126">
        <f t="shared" si="40"/>
        <v>35075.850000000006</v>
      </c>
      <c r="AS40" s="126">
        <f t="shared" si="40"/>
        <v>28964.359999999993</v>
      </c>
      <c r="AT40" s="126">
        <f t="shared" si="40"/>
        <v>5166.720000000001</v>
      </c>
      <c r="AU40" s="126">
        <f t="shared" si="40"/>
        <v>29028</v>
      </c>
      <c r="AV40" s="126">
        <f t="shared" si="40"/>
        <v>384.98</v>
      </c>
      <c r="AW40" s="127">
        <f t="shared" si="40"/>
        <v>5101</v>
      </c>
      <c r="AX40" s="127">
        <f t="shared" si="40"/>
        <v>123171.114</v>
      </c>
      <c r="AY40" s="127">
        <f t="shared" si="40"/>
        <v>0</v>
      </c>
      <c r="AZ40" s="127">
        <f t="shared" si="40"/>
        <v>0</v>
      </c>
      <c r="BA40" s="127">
        <f t="shared" si="40"/>
        <v>0</v>
      </c>
      <c r="BB40" s="127">
        <f t="shared" si="40"/>
        <v>0</v>
      </c>
      <c r="BC40" s="127">
        <f t="shared" si="40"/>
        <v>503613.672</v>
      </c>
      <c r="BD40" s="127">
        <f t="shared" si="40"/>
        <v>19673.014</v>
      </c>
      <c r="BE40" s="127">
        <f>BE38+BE24</f>
        <v>1786467.972482942</v>
      </c>
      <c r="BF40" s="127">
        <f>BF38+BF24-0.02</f>
        <v>-67042.39609169176</v>
      </c>
      <c r="BG40" s="127">
        <f>BG38+BG24</f>
        <v>-47415.35000000002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D8" sqref="D8:D11"/>
    </sheetView>
  </sheetViews>
  <sheetFormatPr defaultColWidth="9.00390625" defaultRowHeight="12.75"/>
  <cols>
    <col min="1" max="1" width="9.875" style="61" customWidth="1"/>
    <col min="2" max="2" width="10.25390625" style="61" customWidth="1"/>
    <col min="3" max="3" width="11.875" style="61" customWidth="1"/>
    <col min="4" max="4" width="10.375" style="61" customWidth="1"/>
    <col min="5" max="5" width="11.625" style="61" customWidth="1"/>
    <col min="6" max="6" width="9.375" style="61" customWidth="1"/>
    <col min="7" max="7" width="12.00390625" style="61" customWidth="1"/>
    <col min="8" max="8" width="11.375" style="61" customWidth="1"/>
    <col min="9" max="10" width="10.375" style="61" customWidth="1"/>
    <col min="11" max="11" width="9.875" style="61" customWidth="1"/>
    <col min="12" max="12" width="11.625" style="61" customWidth="1"/>
    <col min="13" max="13" width="10.125" style="61" customWidth="1"/>
    <col min="14" max="14" width="11.375" style="61" customWidth="1"/>
    <col min="15" max="15" width="11.875" style="61" customWidth="1"/>
    <col min="16" max="16" width="9.875" style="61" customWidth="1"/>
    <col min="17" max="17" width="10.25390625" style="61" customWidth="1"/>
    <col min="18" max="16384" width="9.125" style="61" customWidth="1"/>
  </cols>
  <sheetData>
    <row r="1" spans="2:9" ht="20.25" customHeight="1">
      <c r="B1" s="270" t="s">
        <v>55</v>
      </c>
      <c r="C1" s="270"/>
      <c r="D1" s="270"/>
      <c r="E1" s="270"/>
      <c r="F1" s="270"/>
      <c r="G1" s="270"/>
      <c r="H1" s="270"/>
      <c r="I1" s="18"/>
    </row>
    <row r="2" spans="2:12" ht="21" customHeight="1">
      <c r="B2" s="270" t="s">
        <v>56</v>
      </c>
      <c r="C2" s="270"/>
      <c r="D2" s="270"/>
      <c r="E2" s="270"/>
      <c r="F2" s="270"/>
      <c r="G2" s="270"/>
      <c r="H2" s="270"/>
      <c r="I2" s="18"/>
      <c r="K2" s="60"/>
      <c r="L2" s="60"/>
    </row>
    <row r="5" spans="1:14" ht="12.75">
      <c r="A5" s="271" t="s">
        <v>118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</row>
    <row r="6" spans="1:14" ht="12.75">
      <c r="A6" s="272" t="s">
        <v>127</v>
      </c>
      <c r="B6" s="272"/>
      <c r="C6" s="272"/>
      <c r="D6" s="272"/>
      <c r="E6" s="272"/>
      <c r="F6" s="272"/>
      <c r="G6" s="272"/>
      <c r="H6" s="40"/>
      <c r="I6" s="40"/>
      <c r="J6" s="40"/>
      <c r="K6" s="40"/>
      <c r="L6" s="40"/>
      <c r="M6" s="40"/>
      <c r="N6" s="40"/>
    </row>
    <row r="7" spans="1:15" ht="13.5" thickBot="1">
      <c r="A7" s="273" t="s">
        <v>57</v>
      </c>
      <c r="B7" s="273"/>
      <c r="C7" s="273"/>
      <c r="D7" s="273"/>
      <c r="E7" s="273">
        <v>9.51</v>
      </c>
      <c r="F7" s="273"/>
      <c r="I7" s="128"/>
      <c r="J7" s="128"/>
      <c r="K7" s="128"/>
      <c r="L7" s="128"/>
      <c r="M7" s="128"/>
      <c r="N7" s="128"/>
      <c r="O7" s="128"/>
    </row>
    <row r="8" spans="1:17" ht="12.75" customHeight="1">
      <c r="A8" s="241" t="s">
        <v>58</v>
      </c>
      <c r="B8" s="244" t="s">
        <v>1</v>
      </c>
      <c r="C8" s="247" t="s">
        <v>126</v>
      </c>
      <c r="D8" s="250" t="s">
        <v>3</v>
      </c>
      <c r="E8" s="253" t="s">
        <v>60</v>
      </c>
      <c r="F8" s="254"/>
      <c r="G8" s="266" t="s">
        <v>111</v>
      </c>
      <c r="H8" s="267"/>
      <c r="I8" s="162"/>
      <c r="J8" s="274" t="s">
        <v>10</v>
      </c>
      <c r="K8" s="275"/>
      <c r="L8" s="275"/>
      <c r="M8" s="275"/>
      <c r="N8" s="275"/>
      <c r="O8" s="276"/>
      <c r="P8" s="257" t="s">
        <v>61</v>
      </c>
      <c r="Q8" s="257" t="s">
        <v>12</v>
      </c>
    </row>
    <row r="9" spans="1:17" ht="12.75">
      <c r="A9" s="242"/>
      <c r="B9" s="245"/>
      <c r="C9" s="248"/>
      <c r="D9" s="251"/>
      <c r="E9" s="255"/>
      <c r="F9" s="256"/>
      <c r="G9" s="268"/>
      <c r="H9" s="269"/>
      <c r="I9" s="163"/>
      <c r="J9" s="277"/>
      <c r="K9" s="278"/>
      <c r="L9" s="278"/>
      <c r="M9" s="278"/>
      <c r="N9" s="278"/>
      <c r="O9" s="279"/>
      <c r="P9" s="258"/>
      <c r="Q9" s="258"/>
    </row>
    <row r="10" spans="1:17" ht="26.25" customHeight="1">
      <c r="A10" s="242"/>
      <c r="B10" s="245"/>
      <c r="C10" s="248"/>
      <c r="D10" s="251"/>
      <c r="E10" s="260" t="s">
        <v>62</v>
      </c>
      <c r="F10" s="261"/>
      <c r="G10" s="129" t="s">
        <v>63</v>
      </c>
      <c r="H10" s="262" t="s">
        <v>7</v>
      </c>
      <c r="I10" s="239" t="s">
        <v>117</v>
      </c>
      <c r="J10" s="263" t="s">
        <v>64</v>
      </c>
      <c r="K10" s="265" t="s">
        <v>112</v>
      </c>
      <c r="L10" s="265" t="s">
        <v>65</v>
      </c>
      <c r="M10" s="265" t="s">
        <v>37</v>
      </c>
      <c r="N10" s="233" t="s">
        <v>113</v>
      </c>
      <c r="O10" s="235" t="s">
        <v>39</v>
      </c>
      <c r="P10" s="258"/>
      <c r="Q10" s="258"/>
    </row>
    <row r="11" spans="1:17" ht="66.75" customHeight="1" thickBot="1">
      <c r="A11" s="243"/>
      <c r="B11" s="246"/>
      <c r="C11" s="249"/>
      <c r="D11" s="252"/>
      <c r="E11" s="130" t="s">
        <v>67</v>
      </c>
      <c r="F11" s="131" t="s">
        <v>21</v>
      </c>
      <c r="G11" s="132" t="s">
        <v>114</v>
      </c>
      <c r="H11" s="235"/>
      <c r="I11" s="240"/>
      <c r="J11" s="264"/>
      <c r="K11" s="233"/>
      <c r="L11" s="233"/>
      <c r="M11" s="233"/>
      <c r="N11" s="234"/>
      <c r="O11" s="236"/>
      <c r="P11" s="259"/>
      <c r="Q11" s="259"/>
    </row>
    <row r="12" spans="1:17" ht="13.5" thickBot="1">
      <c r="A12" s="20">
        <v>1</v>
      </c>
      <c r="B12" s="21">
        <v>2</v>
      </c>
      <c r="C12" s="20">
        <v>3</v>
      </c>
      <c r="D12" s="21">
        <v>4</v>
      </c>
      <c r="E12" s="20">
        <v>5</v>
      </c>
      <c r="F12" s="21">
        <v>6</v>
      </c>
      <c r="G12" s="20">
        <v>7</v>
      </c>
      <c r="H12" s="21">
        <v>8</v>
      </c>
      <c r="I12" s="20">
        <v>9</v>
      </c>
      <c r="J12" s="21">
        <v>10</v>
      </c>
      <c r="K12" s="20">
        <v>11</v>
      </c>
      <c r="L12" s="21">
        <v>12</v>
      </c>
      <c r="M12" s="20">
        <v>13</v>
      </c>
      <c r="N12" s="21">
        <v>14</v>
      </c>
      <c r="O12" s="20">
        <v>15</v>
      </c>
      <c r="P12" s="21">
        <v>16</v>
      </c>
      <c r="Q12" s="22">
        <v>17</v>
      </c>
    </row>
    <row r="13" spans="1:17" ht="13.5" thickBot="1">
      <c r="A13" s="237" t="s">
        <v>115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133"/>
      <c r="P13" s="134"/>
      <c r="Q13" s="134"/>
    </row>
    <row r="14" spans="1:19" s="15" customFormat="1" ht="13.5" thickBot="1">
      <c r="A14" s="34" t="s">
        <v>54</v>
      </c>
      <c r="B14" s="35"/>
      <c r="C14" s="135">
        <f>'2012 полн'!C24</f>
        <v>1209373.17</v>
      </c>
      <c r="D14" s="135">
        <f>'2012 полн'!D24</f>
        <v>205045.83477125003</v>
      </c>
      <c r="E14" s="135">
        <f>'2012 полн'!U24</f>
        <v>1009939.67</v>
      </c>
      <c r="F14" s="135">
        <f>'2012 полн'!V24</f>
        <v>94734.06</v>
      </c>
      <c r="G14" s="135">
        <f>'2012 полн'!AF8</f>
        <v>600363.45</v>
      </c>
      <c r="H14" s="135">
        <f>'2012 полн'!AG8</f>
        <v>896930.3447712502</v>
      </c>
      <c r="I14" s="135">
        <f>'2012 полн'!AJ8</f>
        <v>40474.221119999995</v>
      </c>
      <c r="J14" s="135">
        <f>'2012 полн'!AK8</f>
        <v>57421.392</v>
      </c>
      <c r="K14" s="135">
        <f>'2012 полн'!AL8</f>
        <v>19240.8737816</v>
      </c>
      <c r="L14" s="135">
        <f>'2012 полн'!AM8+'2012 полн'!AO8+'2012 полн'!AP8+'2012 полн'!AT8+'2012 полн'!AX8+'2012 полн'!AY8</f>
        <v>445811.6096182182</v>
      </c>
      <c r="M14" s="135">
        <f>'2012 полн'!AU8+'2012 полн'!AV8+'2012 полн'!AW8</f>
        <v>373647.5366</v>
      </c>
      <c r="N14" s="135">
        <f>'2012 полн'!BD8</f>
        <v>16642.9764831236</v>
      </c>
      <c r="O14" s="135">
        <f>'2012 полн'!BE8</f>
        <v>912764.3884829418</v>
      </c>
      <c r="P14" s="135">
        <f>'для жителей'!BD42</f>
        <v>-24859.802591691754</v>
      </c>
      <c r="Q14" s="135">
        <f>'2012 полн'!BG8</f>
        <v>-39790.149999999994</v>
      </c>
      <c r="R14" s="36"/>
      <c r="S14" s="32"/>
    </row>
    <row r="15" spans="1:19" ht="12.75">
      <c r="A15" s="4" t="s">
        <v>110</v>
      </c>
      <c r="B15" s="136"/>
      <c r="C15" s="33"/>
      <c r="D15" s="137"/>
      <c r="E15" s="138"/>
      <c r="F15" s="139"/>
      <c r="G15" s="140"/>
      <c r="H15" s="139"/>
      <c r="I15" s="161"/>
      <c r="J15" s="140"/>
      <c r="K15" s="141"/>
      <c r="L15" s="141"/>
      <c r="M15" s="142"/>
      <c r="N15" s="144"/>
      <c r="O15" s="145"/>
      <c r="P15" s="146"/>
      <c r="Q15" s="146"/>
      <c r="R15" s="60"/>
      <c r="S15" s="60"/>
    </row>
    <row r="16" spans="1:19" ht="12.75">
      <c r="A16" s="72" t="s">
        <v>45</v>
      </c>
      <c r="B16" s="147">
        <f>'2012 полн'!B10</f>
        <v>3599.5</v>
      </c>
      <c r="C16" s="24">
        <f>'2012 полн'!C10</f>
        <v>30775.725000000002</v>
      </c>
      <c r="D16" s="148">
        <f>'2012 полн'!D10</f>
        <v>267.75</v>
      </c>
      <c r="E16" s="141">
        <f>'2012 полн'!U10</f>
        <v>30994.339999999997</v>
      </c>
      <c r="F16" s="141">
        <f>'2012 полн'!V10</f>
        <v>0</v>
      </c>
      <c r="G16" s="149">
        <f>'2012 полн'!AF10</f>
        <v>23045.08</v>
      </c>
      <c r="H16" s="149">
        <f>'2012 полн'!AG10</f>
        <v>23312.83</v>
      </c>
      <c r="I16" s="149">
        <f>'2012 полн'!AJ10</f>
        <v>2335.6839999999997</v>
      </c>
      <c r="J16" s="149">
        <f>'2012 полн'!AK10</f>
        <v>2411.665</v>
      </c>
      <c r="K16" s="141">
        <f>'2012 полн'!AL10</f>
        <v>719.9000000000001</v>
      </c>
      <c r="L16" s="141">
        <f>'2012 полн'!AM10+'2012 полн'!AN10+'2012 полн'!AO10+'2012 полн'!AP10+'2012 полн'!AQ10+'2012 полн'!AR10+'2012 полн'!AS10+'2012 полн'!AT10</f>
        <v>25269.985</v>
      </c>
      <c r="M16" s="142">
        <f>'2012 полн'!AU10+'2012 полн'!AV10+'2012 полн'!AW10+'2012 полн'!AX10</f>
        <v>77.6</v>
      </c>
      <c r="N16" s="145">
        <f>'2012 полн'!BD10</f>
        <v>1419.078</v>
      </c>
      <c r="O16" s="145">
        <f aca="true" t="shared" si="0" ref="O16:O27">J16+K16+L16+M16+N16</f>
        <v>29898.228</v>
      </c>
      <c r="P16" s="146">
        <f aca="true" t="shared" si="1" ref="P16:P27">H16+I16-O16</f>
        <v>-4249.713999999996</v>
      </c>
      <c r="Q16" s="146">
        <f>'2012 полн'!BG10</f>
        <v>-7949.259999999995</v>
      </c>
      <c r="R16" s="60"/>
      <c r="S16" s="60"/>
    </row>
    <row r="17" spans="1:19" ht="12.75">
      <c r="A17" s="72" t="s">
        <v>46</v>
      </c>
      <c r="B17" s="147">
        <f>'2012 полн'!B11</f>
        <v>3597.3</v>
      </c>
      <c r="C17" s="24">
        <f>'2012 полн'!C11</f>
        <v>30756.915000000005</v>
      </c>
      <c r="D17" s="148">
        <f>'2012 полн'!D11</f>
        <v>267.75</v>
      </c>
      <c r="E17" s="141">
        <f>'2012 полн'!U11</f>
        <v>30231.94</v>
      </c>
      <c r="F17" s="141">
        <f>'2012 полн'!V11</f>
        <v>0</v>
      </c>
      <c r="G17" s="149">
        <f>'2012 полн'!AF11</f>
        <v>24544.06</v>
      </c>
      <c r="H17" s="149">
        <f>'2012 полн'!AG11</f>
        <v>24811.81</v>
      </c>
      <c r="I17" s="149">
        <f>'2012 полн'!AJ11</f>
        <v>2335.6839999999997</v>
      </c>
      <c r="J17" s="149">
        <f>'2012 полн'!AK11</f>
        <v>2410.1910000000003</v>
      </c>
      <c r="K17" s="141">
        <f>'2012 полн'!AL11</f>
        <v>719.46</v>
      </c>
      <c r="L17" s="141">
        <f>'2012 полн'!AM11+'2012 полн'!AN11+'2012 полн'!AO11+'2012 полн'!AP11+'2012 полн'!AQ11+'2012 полн'!AR11+'2012 полн'!AS11+'2012 полн'!AT11</f>
        <v>25254.783000000003</v>
      </c>
      <c r="M17" s="142">
        <f>'2012 полн'!AU11+'2012 полн'!AV11+'2012 полн'!AW11+'2012 полн'!AX11</f>
        <v>859.56</v>
      </c>
      <c r="N17" s="145">
        <f>'2012 полн'!BD11</f>
        <v>1419.078</v>
      </c>
      <c r="O17" s="145">
        <f t="shared" si="0"/>
        <v>30663.072000000007</v>
      </c>
      <c r="P17" s="146">
        <f t="shared" si="1"/>
        <v>-3515.578000000005</v>
      </c>
      <c r="Q17" s="146">
        <f>'2012 полн'!BG11</f>
        <v>-5687.879999999997</v>
      </c>
      <c r="R17" s="60"/>
      <c r="S17" s="60"/>
    </row>
    <row r="18" spans="1:19" ht="12.75">
      <c r="A18" s="72" t="s">
        <v>47</v>
      </c>
      <c r="B18" s="147">
        <f>'2012 полн'!B12</f>
        <v>3597.3</v>
      </c>
      <c r="C18" s="24">
        <f>'2012 полн'!C12</f>
        <v>30756.915000000005</v>
      </c>
      <c r="D18" s="148">
        <f>'2012 полн'!D12</f>
        <v>267.75</v>
      </c>
      <c r="E18" s="141">
        <f>'2012 полн'!U12</f>
        <v>30637.22</v>
      </c>
      <c r="F18" s="141">
        <f>'2012 полн'!V12</f>
        <v>0</v>
      </c>
      <c r="G18" s="149">
        <f>'2012 полн'!AF12</f>
        <v>35505.5</v>
      </c>
      <c r="H18" s="149">
        <f>'2012 полн'!AG12</f>
        <v>35773.25</v>
      </c>
      <c r="I18" s="149">
        <f>'2012 полн'!AJ12</f>
        <v>2335.6839999999997</v>
      </c>
      <c r="J18" s="149">
        <f>'2012 полн'!AK12</f>
        <v>2410.1910000000003</v>
      </c>
      <c r="K18" s="141">
        <f>'2012 полн'!AL12</f>
        <v>719.46</v>
      </c>
      <c r="L18" s="141">
        <f>'2012 полн'!AM12+'2012 полн'!AN12+'2012 полн'!AO12+'2012 полн'!AP12+'2012 полн'!AQ12+'2012 полн'!AR12+'2012 полн'!AS12+'2012 полн'!AT12</f>
        <v>25254.783000000003</v>
      </c>
      <c r="M18" s="142">
        <f>'2012 полн'!AU12+'2012 полн'!AV12+'2012 полн'!AW12+'2012 полн'!AX12</f>
        <v>2990</v>
      </c>
      <c r="N18" s="145">
        <f>'2012 полн'!BD12</f>
        <v>1419.078</v>
      </c>
      <c r="O18" s="145">
        <f t="shared" si="0"/>
        <v>32793.512</v>
      </c>
      <c r="P18" s="146">
        <f t="shared" si="1"/>
        <v>5315.421999999999</v>
      </c>
      <c r="Q18" s="146">
        <f>'2012 полн'!BG12</f>
        <v>4868.279999999999</v>
      </c>
      <c r="R18" s="60"/>
      <c r="S18" s="60"/>
    </row>
    <row r="19" spans="1:19" ht="12.75">
      <c r="A19" s="72" t="s">
        <v>48</v>
      </c>
      <c r="B19" s="147">
        <f>'2012 полн'!B13</f>
        <v>3597.3</v>
      </c>
      <c r="C19" s="24">
        <f>'2012 полн'!C13</f>
        <v>30756.915000000005</v>
      </c>
      <c r="D19" s="148">
        <f>'2012 полн'!D13</f>
        <v>267.75</v>
      </c>
      <c r="E19" s="141">
        <f>'2012 полн'!U13</f>
        <v>30613.24</v>
      </c>
      <c r="F19" s="141">
        <f>'2012 полн'!V13</f>
        <v>0</v>
      </c>
      <c r="G19" s="149">
        <f>'2012 полн'!AF13</f>
        <v>30623.920000000002</v>
      </c>
      <c r="H19" s="149">
        <f>'2012 полн'!AG13</f>
        <v>30891.670000000002</v>
      </c>
      <c r="I19" s="149">
        <f>'2012 полн'!AJ13</f>
        <v>2335.6839999999997</v>
      </c>
      <c r="J19" s="149">
        <f>'2012 полн'!AK13</f>
        <v>2410.1910000000003</v>
      </c>
      <c r="K19" s="141">
        <f>'2012 полн'!AL13</f>
        <v>719.46</v>
      </c>
      <c r="L19" s="141">
        <f>'2012 полн'!AM13+'2012 полн'!AN13+'2012 полн'!AO13+'2012 полн'!AP13+'2012 полн'!AQ13+'2012 полн'!AR13+'2012 полн'!AS13+'2012 полн'!AT13</f>
        <v>21117.888000000003</v>
      </c>
      <c r="M19" s="142">
        <f>'2012 полн'!AU13+'2012 полн'!AV13+'2012 полн'!AW13+'2012 полн'!AX13</f>
        <v>6806</v>
      </c>
      <c r="N19" s="145">
        <f>'2012 полн'!BD13</f>
        <v>1419.078</v>
      </c>
      <c r="O19" s="145">
        <f t="shared" si="0"/>
        <v>32472.617000000006</v>
      </c>
      <c r="P19" s="146">
        <f t="shared" si="1"/>
        <v>754.7369999999937</v>
      </c>
      <c r="Q19" s="146">
        <f>'2012 полн'!BG13</f>
        <v>10.680000000000291</v>
      </c>
      <c r="R19" s="60"/>
      <c r="S19" s="60"/>
    </row>
    <row r="20" spans="1:19" ht="12.75">
      <c r="A20" s="72" t="s">
        <v>49</v>
      </c>
      <c r="B20" s="147">
        <f>'2012 полн'!B14</f>
        <v>3597.3</v>
      </c>
      <c r="C20" s="24">
        <f>'2012 полн'!C14</f>
        <v>30756.915000000005</v>
      </c>
      <c r="D20" s="148">
        <f>'2012 полн'!D14</f>
        <v>267.75</v>
      </c>
      <c r="E20" s="141">
        <f>'2012 полн'!U14</f>
        <v>30605.83</v>
      </c>
      <c r="F20" s="141">
        <f>'2012 полн'!V14</f>
        <v>0</v>
      </c>
      <c r="G20" s="149">
        <f>'2012 полн'!AF14</f>
        <v>33800.92</v>
      </c>
      <c r="H20" s="149">
        <f>'2012 полн'!AG14</f>
        <v>34068.67</v>
      </c>
      <c r="I20" s="149">
        <f>'2012 полн'!AJ14</f>
        <v>2335.6839999999997</v>
      </c>
      <c r="J20" s="149">
        <f>'2012 полн'!AK14</f>
        <v>2410.1910000000003</v>
      </c>
      <c r="K20" s="141">
        <f>'2012 полн'!AL14</f>
        <v>719.46</v>
      </c>
      <c r="L20" s="141">
        <f>'2012 полн'!AM14+'2012 полн'!AN14+'2012 полн'!AO14+'2012 полн'!AP14+'2012 полн'!AQ14+'2012 полн'!AR14+'2012 полн'!AS14+'2012 полн'!AT14</f>
        <v>21117.888000000003</v>
      </c>
      <c r="M20" s="142">
        <f>'2012 полн'!AU14+'2012 полн'!AV14+'2012 полн'!AW14+'2012 полн'!AX14</f>
        <v>5884.26</v>
      </c>
      <c r="N20" s="145">
        <f>'2012 полн'!BD14</f>
        <v>1419.078</v>
      </c>
      <c r="O20" s="145">
        <f t="shared" si="0"/>
        <v>31550.877000000008</v>
      </c>
      <c r="P20" s="146">
        <f t="shared" si="1"/>
        <v>4853.476999999992</v>
      </c>
      <c r="Q20" s="146">
        <f>'2012 полн'!BG14</f>
        <v>3195.0899999999965</v>
      </c>
      <c r="R20" s="60"/>
      <c r="S20" s="60"/>
    </row>
    <row r="21" spans="1:19" ht="12.75">
      <c r="A21" s="72" t="s">
        <v>50</v>
      </c>
      <c r="B21" s="147">
        <f>'2012 полн'!B15</f>
        <v>3597.3</v>
      </c>
      <c r="C21" s="24">
        <f>'2012 полн'!C15</f>
        <v>30756.915000000005</v>
      </c>
      <c r="D21" s="148">
        <f>'2012 полн'!D15</f>
        <v>267.75</v>
      </c>
      <c r="E21" s="141">
        <f>'2012 полн'!U15</f>
        <v>30621.35</v>
      </c>
      <c r="F21" s="141">
        <f>'2012 полн'!V15</f>
        <v>0</v>
      </c>
      <c r="G21" s="149">
        <f>'2012 полн'!AF15</f>
        <v>27298.79</v>
      </c>
      <c r="H21" s="149">
        <f>'2012 полн'!AG15</f>
        <v>27566.54</v>
      </c>
      <c r="I21" s="149">
        <f>'2012 полн'!AJ15</f>
        <v>2335.6839999999997</v>
      </c>
      <c r="J21" s="149">
        <f>'2012 полн'!AK15</f>
        <v>2410.1910000000003</v>
      </c>
      <c r="K21" s="141">
        <f>'2012 полн'!AL15</f>
        <v>719.46</v>
      </c>
      <c r="L21" s="141">
        <f>'2012 полн'!AM15+'2012 полн'!AN15+'2012 полн'!AO15+'2012 полн'!AP15+'2012 полн'!AQ15+'2012 полн'!AR15+'2012 полн'!AS15+'2012 полн'!AT15</f>
        <v>21117.888000000003</v>
      </c>
      <c r="M21" s="142">
        <f>'2012 полн'!AU15+'2012 полн'!AV15+'2012 полн'!AW15+'2012 полн'!AX15</f>
        <v>1378.5</v>
      </c>
      <c r="N21" s="145">
        <f>'2012 полн'!BD15</f>
        <v>1419.078</v>
      </c>
      <c r="O21" s="145">
        <f t="shared" si="0"/>
        <v>27045.117000000006</v>
      </c>
      <c r="P21" s="146">
        <f t="shared" si="1"/>
        <v>2857.1069999999963</v>
      </c>
      <c r="Q21" s="146">
        <f>'2012 полн'!BG15</f>
        <v>-3322.5599999999977</v>
      </c>
      <c r="R21" s="60"/>
      <c r="S21" s="60"/>
    </row>
    <row r="22" spans="1:17" ht="12.75">
      <c r="A22" s="72" t="s">
        <v>51</v>
      </c>
      <c r="B22" s="147">
        <f>'2012 полн'!B16</f>
        <v>3597.3</v>
      </c>
      <c r="C22" s="24">
        <f>'2012 полн'!C16</f>
        <v>30756.915000000005</v>
      </c>
      <c r="D22" s="148">
        <f>'2012 полн'!D16</f>
        <v>267.75</v>
      </c>
      <c r="E22" s="141">
        <f>'2012 полн'!U16</f>
        <v>30609.660000000003</v>
      </c>
      <c r="F22" s="141">
        <f>'2012 полн'!V16</f>
        <v>0</v>
      </c>
      <c r="G22" s="149">
        <f>'2012 полн'!AF16</f>
        <v>29929.61</v>
      </c>
      <c r="H22" s="149">
        <f>'2012 полн'!AG16</f>
        <v>30197.36</v>
      </c>
      <c r="I22" s="149">
        <f>'2012 полн'!AJ16</f>
        <v>2335.6839999999997</v>
      </c>
      <c r="J22" s="149">
        <f>'2012 полн'!AK16</f>
        <v>2410.1910000000003</v>
      </c>
      <c r="K22" s="141">
        <f>'2012 полн'!AL16</f>
        <v>719.46</v>
      </c>
      <c r="L22" s="141">
        <f>'2012 полн'!AM16+'2012 полн'!AN16+'2012 полн'!AO16+'2012 полн'!AP16+'2012 полн'!AQ16+'2012 полн'!AR16+'2012 полн'!AS16+'2012 полн'!AT16</f>
        <v>21117.888000000003</v>
      </c>
      <c r="M22" s="142">
        <f>'2012 полн'!AU16+'2012 полн'!AV16+'2012 полн'!AW16+'2012 полн'!AX16</f>
        <v>155.99</v>
      </c>
      <c r="N22" s="145">
        <f>'2012 полн'!BD16</f>
        <v>1419.078</v>
      </c>
      <c r="O22" s="145">
        <f t="shared" si="0"/>
        <v>25822.607000000007</v>
      </c>
      <c r="P22" s="146">
        <f t="shared" si="1"/>
        <v>6710.436999999994</v>
      </c>
      <c r="Q22" s="146">
        <f>'2012 полн'!BG16</f>
        <v>-680.0500000000029</v>
      </c>
    </row>
    <row r="23" spans="1:17" ht="12.75">
      <c r="A23" s="72" t="s">
        <v>52</v>
      </c>
      <c r="B23" s="147">
        <f>'2012 полн'!B17</f>
        <v>3597.3</v>
      </c>
      <c r="C23" s="24">
        <f>'2012 полн'!C17</f>
        <v>30756.915000000005</v>
      </c>
      <c r="D23" s="148">
        <f>'2012 полн'!D17</f>
        <v>267.75</v>
      </c>
      <c r="E23" s="141">
        <f>'2012 полн'!U17</f>
        <v>30605.34</v>
      </c>
      <c r="F23" s="141">
        <f>'2012 полн'!V17</f>
        <v>0</v>
      </c>
      <c r="G23" s="149">
        <f>'2012 полн'!AF17</f>
        <v>24302.989999999998</v>
      </c>
      <c r="H23" s="149">
        <f>'2012 полн'!AG17</f>
        <v>24570.739999999998</v>
      </c>
      <c r="I23" s="149">
        <f>'2012 полн'!AJ17</f>
        <v>2335.6839999999997</v>
      </c>
      <c r="J23" s="149">
        <f>'2012 полн'!AK17</f>
        <v>2410.1910000000003</v>
      </c>
      <c r="K23" s="141">
        <f>'2012 полн'!AL17</f>
        <v>719.46</v>
      </c>
      <c r="L23" s="141">
        <f>'2012 полн'!AM17+'2012 полн'!AN17+'2012 полн'!AO17+'2012 полн'!AP17+'2012 полн'!AQ17+'2012 полн'!AR17+'2012 полн'!AS17+'2012 полн'!AT17</f>
        <v>21117.888000000003</v>
      </c>
      <c r="M23" s="142">
        <f>'2012 полн'!AU17+'2012 полн'!AV17+'2012 полн'!AW17+'2012 полн'!AX17</f>
        <v>15.6</v>
      </c>
      <c r="N23" s="145">
        <f>'2012 полн'!BD17</f>
        <v>1419.078</v>
      </c>
      <c r="O23" s="145">
        <f t="shared" si="0"/>
        <v>25682.217000000004</v>
      </c>
      <c r="P23" s="146">
        <f t="shared" si="1"/>
        <v>1224.2069999999949</v>
      </c>
      <c r="Q23" s="146">
        <f>'2012 полн'!BG17</f>
        <v>-6302.350000000002</v>
      </c>
    </row>
    <row r="24" spans="1:17" ht="12.75">
      <c r="A24" s="72" t="s">
        <v>53</v>
      </c>
      <c r="B24" s="147">
        <f>'2012 полн'!B18</f>
        <v>3597.3</v>
      </c>
      <c r="C24" s="24">
        <f>'2012 полн'!C18</f>
        <v>30756.915000000005</v>
      </c>
      <c r="D24" s="148">
        <f>'2012 полн'!D18</f>
        <v>267.75</v>
      </c>
      <c r="E24" s="141">
        <f>'2012 полн'!U18</f>
        <v>31211.47</v>
      </c>
      <c r="F24" s="141">
        <f>'2012 полн'!V18</f>
        <v>0</v>
      </c>
      <c r="G24" s="149">
        <f>'2012 полн'!AF18</f>
        <v>31962.549999999996</v>
      </c>
      <c r="H24" s="149">
        <f>'2012 полн'!AG18</f>
        <v>32230.299999999996</v>
      </c>
      <c r="I24" s="149">
        <f>'2012 полн'!AJ18</f>
        <v>2335.6839999999997</v>
      </c>
      <c r="J24" s="149">
        <f>'2012 полн'!AK18</f>
        <v>2410.1910000000003</v>
      </c>
      <c r="K24" s="141">
        <f>'2012 полн'!AL18</f>
        <v>719.46</v>
      </c>
      <c r="L24" s="141">
        <f>'2012 полн'!AM18+'2012 полн'!AN18+'2012 полн'!AO18+'2012 полн'!AP18+'2012 полн'!AQ18+'2012 полн'!AR18+'2012 полн'!AS18+'2012 полн'!AT18</f>
        <v>21117.888000000003</v>
      </c>
      <c r="M24" s="142">
        <f>'2012 полн'!AU18+'2012 полн'!AV18+'2012 полн'!AW18+'2012 полн'!AX18</f>
        <v>28967.120000000003</v>
      </c>
      <c r="N24" s="145">
        <f>'2012 полн'!BD18</f>
        <v>1419.078</v>
      </c>
      <c r="O24" s="145">
        <f t="shared" si="0"/>
        <v>54633.73700000001</v>
      </c>
      <c r="P24" s="146">
        <f t="shared" si="1"/>
        <v>-20067.75300000001</v>
      </c>
      <c r="Q24" s="146">
        <f>'2012 полн'!BG18</f>
        <v>751.0799999999945</v>
      </c>
    </row>
    <row r="25" spans="1:17" ht="12.75">
      <c r="A25" s="72" t="s">
        <v>41</v>
      </c>
      <c r="B25" s="147">
        <f>'2012 полн'!B19</f>
        <v>3597.3</v>
      </c>
      <c r="C25" s="24">
        <f>'2012 полн'!C19</f>
        <v>30756.915000000005</v>
      </c>
      <c r="D25" s="148">
        <f>'2012 полн'!D19</f>
        <v>267.75</v>
      </c>
      <c r="E25" s="141">
        <f>'2012 полн'!U19</f>
        <v>31214.32</v>
      </c>
      <c r="F25" s="141">
        <f>'2012 полн'!V19</f>
        <v>0</v>
      </c>
      <c r="G25" s="149">
        <f>'2012 полн'!AF19</f>
        <v>28788.87</v>
      </c>
      <c r="H25" s="149">
        <f>'2012 полн'!AG19</f>
        <v>29056.62</v>
      </c>
      <c r="I25" s="149">
        <f>'2012 полн'!AJ19</f>
        <v>2335.6839999999997</v>
      </c>
      <c r="J25" s="149">
        <f>'2012 полн'!AK19</f>
        <v>2410.1910000000003</v>
      </c>
      <c r="K25" s="141">
        <f>'2012 полн'!AL19</f>
        <v>719.46</v>
      </c>
      <c r="L25" s="141">
        <f>'2012 полн'!AM19+'2012 полн'!AN19+'2012 полн'!AO19+'2012 полн'!AP19+'2012 полн'!AQ19+'2012 полн'!AR19+'2012 полн'!AS19+'2012 полн'!AT19</f>
        <v>25254.783000000003</v>
      </c>
      <c r="M25" s="142">
        <f>'2012 полн'!AU19+'2012 полн'!AV19+'2012 полн'!AW19+'2012 полн'!AX19</f>
        <v>212.76999999999998</v>
      </c>
      <c r="N25" s="145">
        <f>'2012 полн'!BD19</f>
        <v>1419.078</v>
      </c>
      <c r="O25" s="145">
        <f t="shared" si="0"/>
        <v>30016.282000000007</v>
      </c>
      <c r="P25" s="146">
        <f t="shared" si="1"/>
        <v>1376.0219999999936</v>
      </c>
      <c r="Q25" s="146">
        <f>'2012 полн'!BG19</f>
        <v>-2425.4500000000007</v>
      </c>
    </row>
    <row r="26" spans="1:17" ht="12.75">
      <c r="A26" s="72" t="s">
        <v>42</v>
      </c>
      <c r="B26" s="147">
        <f>'2012 полн'!B20</f>
        <v>3597.3</v>
      </c>
      <c r="C26" s="24">
        <f>'2012 полн'!C20</f>
        <v>30756.915000000005</v>
      </c>
      <c r="D26" s="148">
        <f>'2012 полн'!D20</f>
        <v>267.75</v>
      </c>
      <c r="E26" s="141">
        <f>'2012 полн'!U20</f>
        <v>31214.59</v>
      </c>
      <c r="F26" s="141">
        <f>'2012 полн'!V20</f>
        <v>0</v>
      </c>
      <c r="G26" s="149">
        <f>'2012 полн'!AF20</f>
        <v>29959.55</v>
      </c>
      <c r="H26" s="149">
        <f>'2012 полн'!AG20</f>
        <v>30227.3</v>
      </c>
      <c r="I26" s="149">
        <f>'2012 полн'!AJ20</f>
        <v>2335.6839999999997</v>
      </c>
      <c r="J26" s="149">
        <f>'2012 полн'!AK20</f>
        <v>2410.1910000000003</v>
      </c>
      <c r="K26" s="141">
        <f>'2012 полн'!AL20</f>
        <v>719.46</v>
      </c>
      <c r="L26" s="141">
        <f>'2012 полн'!AM20+'2012 полн'!AN20+'2012 полн'!AO20+'2012 полн'!AP20+'2012 полн'!AQ20+'2012 полн'!AR20+'2012 полн'!AS20+'2012 полн'!AT20</f>
        <v>25254.783000000003</v>
      </c>
      <c r="M26" s="142">
        <f>'2012 полн'!AU20+'2012 полн'!AV20+'2012 полн'!AW20+'2012 полн'!AX20</f>
        <v>35.12</v>
      </c>
      <c r="N26" s="145">
        <f>'2012 полн'!BD20</f>
        <v>1419.078</v>
      </c>
      <c r="O26" s="145">
        <f t="shared" si="0"/>
        <v>29838.632000000005</v>
      </c>
      <c r="P26" s="146">
        <f t="shared" si="1"/>
        <v>2724.3519999999953</v>
      </c>
      <c r="Q26" s="146">
        <f>'2012 полн'!BG20</f>
        <v>-1255.0400000000009</v>
      </c>
    </row>
    <row r="27" spans="1:17" ht="13.5" thickBot="1">
      <c r="A27" s="195" t="s">
        <v>43</v>
      </c>
      <c r="B27" s="218">
        <f>'2012 полн'!B21</f>
        <v>3597.3</v>
      </c>
      <c r="C27" s="25">
        <f>'2012 полн'!C21</f>
        <v>30756.915000000005</v>
      </c>
      <c r="D27" s="219">
        <f>'2012 полн'!D21</f>
        <v>267.75</v>
      </c>
      <c r="E27" s="220">
        <f>'2012 полн'!U21</f>
        <v>31226.77</v>
      </c>
      <c r="F27" s="220">
        <f>'2012 полн'!V21</f>
        <v>0</v>
      </c>
      <c r="G27" s="221">
        <f>'2012 полн'!AF21</f>
        <v>39912.52</v>
      </c>
      <c r="H27" s="221">
        <f>'2012 полн'!AG21</f>
        <v>40180.27</v>
      </c>
      <c r="I27" s="221">
        <f>'2012 полн'!AJ21</f>
        <v>2335.6839999999997</v>
      </c>
      <c r="J27" s="221">
        <f>'2012 полн'!AK21</f>
        <v>2410.1910000000003</v>
      </c>
      <c r="K27" s="220">
        <f>'2012 полн'!AL21</f>
        <v>719.46</v>
      </c>
      <c r="L27" s="141">
        <f>'2012 полн'!AM21+'2012 полн'!AN21+'2012 полн'!AO21+'2012 полн'!AP21+'2012 полн'!AQ21+'2012 полн'!AR21+'2012 полн'!AS21+'2012 полн'!AT21</f>
        <v>25254.783000000003</v>
      </c>
      <c r="M27" s="142">
        <f>'2012 полн'!AU21+'2012 полн'!AV21+'2012 полн'!AW21+'2012 полн'!AX21</f>
        <v>1215</v>
      </c>
      <c r="N27" s="222">
        <f>'2012 полн'!BD21</f>
        <v>1419.078</v>
      </c>
      <c r="O27" s="145">
        <f t="shared" si="0"/>
        <v>31018.512000000006</v>
      </c>
      <c r="P27" s="223">
        <f t="shared" si="1"/>
        <v>11497.441999999992</v>
      </c>
      <c r="Q27" s="223">
        <f>'2012 полн'!BG21</f>
        <v>8685.749999999996</v>
      </c>
    </row>
    <row r="28" spans="1:19" s="15" customFormat="1" ht="13.5" thickBot="1">
      <c r="A28" s="26" t="s">
        <v>5</v>
      </c>
      <c r="B28" s="27"/>
      <c r="C28" s="30">
        <f aca="true" t="shared" si="2" ref="C28:Q28">SUM(C16:C27)</f>
        <v>369101.79</v>
      </c>
      <c r="D28" s="30">
        <f t="shared" si="2"/>
        <v>3213</v>
      </c>
      <c r="E28" s="30">
        <f t="shared" si="2"/>
        <v>369786.07000000007</v>
      </c>
      <c r="F28" s="30">
        <f t="shared" si="2"/>
        <v>0</v>
      </c>
      <c r="G28" s="30">
        <f t="shared" si="2"/>
        <v>359674.36</v>
      </c>
      <c r="H28" s="30">
        <f t="shared" si="2"/>
        <v>362887.36</v>
      </c>
      <c r="I28" s="30">
        <f t="shared" si="2"/>
        <v>28028.208000000002</v>
      </c>
      <c r="J28" s="30">
        <f t="shared" si="2"/>
        <v>28923.765999999996</v>
      </c>
      <c r="K28" s="30">
        <f t="shared" si="2"/>
        <v>8633.960000000001</v>
      </c>
      <c r="L28" s="30">
        <f t="shared" si="2"/>
        <v>278251.22800000006</v>
      </c>
      <c r="M28" s="30">
        <f t="shared" si="2"/>
        <v>48597.520000000004</v>
      </c>
      <c r="N28" s="30">
        <f t="shared" si="2"/>
        <v>17028.935999999998</v>
      </c>
      <c r="O28" s="30">
        <f t="shared" si="2"/>
        <v>381435.41000000003</v>
      </c>
      <c r="P28" s="30">
        <f t="shared" si="2"/>
        <v>9480.157999999938</v>
      </c>
      <c r="Q28" s="30">
        <f t="shared" si="2"/>
        <v>-10111.71000000001</v>
      </c>
      <c r="R28" s="32"/>
      <c r="S28" s="32"/>
    </row>
    <row r="29" spans="1:17" ht="13.5" thickBot="1">
      <c r="A29" s="237" t="s">
        <v>68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133"/>
      <c r="P29" s="134"/>
      <c r="Q29" s="134"/>
    </row>
    <row r="30" spans="1:19" s="15" customFormat="1" ht="13.5" thickBot="1">
      <c r="A30" s="34" t="s">
        <v>54</v>
      </c>
      <c r="B30" s="35"/>
      <c r="C30" s="135">
        <f aca="true" t="shared" si="3" ref="C30:Q30">C28+C14</f>
        <v>1578474.96</v>
      </c>
      <c r="D30" s="135">
        <f t="shared" si="3"/>
        <v>208258.83477125003</v>
      </c>
      <c r="E30" s="135">
        <f t="shared" si="3"/>
        <v>1379725.7400000002</v>
      </c>
      <c r="F30" s="135">
        <f t="shared" si="3"/>
        <v>94734.06</v>
      </c>
      <c r="G30" s="135">
        <f t="shared" si="3"/>
        <v>960037.8099999999</v>
      </c>
      <c r="H30" s="135">
        <f t="shared" si="3"/>
        <v>1259817.70477125</v>
      </c>
      <c r="I30" s="135">
        <f t="shared" si="3"/>
        <v>68502.42912</v>
      </c>
      <c r="J30" s="135">
        <f t="shared" si="3"/>
        <v>86345.158</v>
      </c>
      <c r="K30" s="135">
        <f t="shared" si="3"/>
        <v>27874.8337816</v>
      </c>
      <c r="L30" s="135">
        <f t="shared" si="3"/>
        <v>724062.8376182183</v>
      </c>
      <c r="M30" s="135">
        <f t="shared" si="3"/>
        <v>422245.0566</v>
      </c>
      <c r="N30" s="135">
        <f t="shared" si="3"/>
        <v>33671.9124831236</v>
      </c>
      <c r="O30" s="135">
        <f t="shared" si="3"/>
        <v>1294199.798482942</v>
      </c>
      <c r="P30" s="135">
        <f t="shared" si="3"/>
        <v>-15379.644591691816</v>
      </c>
      <c r="Q30" s="135">
        <f t="shared" si="3"/>
        <v>-49901.86</v>
      </c>
      <c r="R30" s="36"/>
      <c r="S30" s="32"/>
    </row>
    <row r="31" spans="1:19" ht="12.75">
      <c r="A31" s="4" t="s">
        <v>124</v>
      </c>
      <c r="B31" s="136"/>
      <c r="C31" s="33"/>
      <c r="D31" s="137"/>
      <c r="E31" s="138"/>
      <c r="F31" s="139"/>
      <c r="G31" s="140"/>
      <c r="H31" s="139"/>
      <c r="I31" s="161"/>
      <c r="J31" s="140"/>
      <c r="K31" s="141"/>
      <c r="L31" s="141"/>
      <c r="M31" s="142"/>
      <c r="N31" s="144"/>
      <c r="O31" s="145"/>
      <c r="P31" s="146"/>
      <c r="Q31" s="146"/>
      <c r="R31" s="60"/>
      <c r="S31" s="60"/>
    </row>
    <row r="32" spans="1:19" ht="12.75">
      <c r="A32" s="72" t="s">
        <v>45</v>
      </c>
      <c r="B32" s="147">
        <f>'2012 полн'!B26</f>
        <v>3597.3</v>
      </c>
      <c r="C32" s="24">
        <f>'2012 полн'!C26</f>
        <v>30756.915000000005</v>
      </c>
      <c r="D32" s="148">
        <f>'2012 полн'!D26</f>
        <v>267.75</v>
      </c>
      <c r="E32" s="141">
        <f>'2012 полн'!U26</f>
        <v>31245.940000000002</v>
      </c>
      <c r="F32" s="141">
        <f>'2012 полн'!V26</f>
        <v>0</v>
      </c>
      <c r="G32" s="149">
        <f>'2012 полн'!AF26</f>
        <v>24638.74</v>
      </c>
      <c r="H32" s="149">
        <f>'2012 полн'!AG26</f>
        <v>24906.49</v>
      </c>
      <c r="I32" s="149">
        <f>'2012 полн'!AJ26</f>
        <v>2875.3900000000003</v>
      </c>
      <c r="J32" s="149">
        <f>'2012 полн'!AK26</f>
        <v>2410.1910000000003</v>
      </c>
      <c r="K32" s="149">
        <f>'2012 полн'!AL26</f>
        <v>719.46</v>
      </c>
      <c r="L32" s="141">
        <f>'2012 полн'!AM26+'2012 полн'!AN26+'2012 полн'!AO26+'2012 полн'!AP26+'2012 полн'!AQ26+'2012 полн'!AR26+'2012 полн'!AS26+'2012 полн'!AT26</f>
        <v>25254.783000000003</v>
      </c>
      <c r="M32" s="142">
        <f>'2012 полн'!AU26+'2012 полн'!AV26+'2012 полн'!AW26+'2012 полн'!AX26</f>
        <v>736.11</v>
      </c>
      <c r="N32" s="145">
        <f>'2012 полн'!BD26</f>
        <v>1419.078</v>
      </c>
      <c r="O32" s="145">
        <f>'2012 полн'!BE26</f>
        <v>30539.622000000003</v>
      </c>
      <c r="P32" s="145">
        <f>'2012 полн'!BF26</f>
        <v>-2757.742000000002</v>
      </c>
      <c r="Q32" s="145">
        <f>'2012 полн'!BG26</f>
        <v>-6607.200000000001</v>
      </c>
      <c r="R32" s="60"/>
      <c r="S32" s="60"/>
    </row>
    <row r="33" spans="1:19" ht="12.75">
      <c r="A33" s="72" t="s">
        <v>46</v>
      </c>
      <c r="B33" s="147">
        <f>'2012 полн'!B27</f>
        <v>3597.3</v>
      </c>
      <c r="C33" s="24">
        <f>'2012 полн'!C27</f>
        <v>30756.915000000005</v>
      </c>
      <c r="D33" s="148">
        <f>'2012 полн'!D27</f>
        <v>267.75</v>
      </c>
      <c r="E33" s="141">
        <f>'2012 полн'!U27</f>
        <v>31254.9</v>
      </c>
      <c r="F33" s="141">
        <f>'2012 полн'!V27</f>
        <v>0</v>
      </c>
      <c r="G33" s="149">
        <f>'2012 полн'!AF27</f>
        <v>28579.01</v>
      </c>
      <c r="H33" s="149">
        <f>'2012 полн'!AG27</f>
        <v>28846.76</v>
      </c>
      <c r="I33" s="149">
        <f>'2012 полн'!AJ27</f>
        <v>2875.3900000000003</v>
      </c>
      <c r="J33" s="149">
        <f>'2012 полн'!AK27</f>
        <v>2410.1910000000003</v>
      </c>
      <c r="K33" s="149">
        <f>'2012 полн'!AL27</f>
        <v>719.46</v>
      </c>
      <c r="L33" s="141">
        <f>'2012 полн'!AM27+'2012 полн'!AN27+'2012 полн'!AO27+'2012 полн'!AP27+'2012 полн'!AQ27+'2012 полн'!AR27+'2012 полн'!AS27+'2012 полн'!AT27</f>
        <v>25254.783000000003</v>
      </c>
      <c r="M33" s="142">
        <f>'2012 полн'!AU27+'2012 полн'!AV27+'2012 полн'!AW27+'2012 полн'!AX27</f>
        <v>19898.11</v>
      </c>
      <c r="N33" s="145">
        <f>'2012 полн'!BD27</f>
        <v>1419.078</v>
      </c>
      <c r="O33" s="145">
        <f>'2012 полн'!BE27</f>
        <v>49701.622</v>
      </c>
      <c r="P33" s="145">
        <f>'2012 полн'!BF27</f>
        <v>-17979.472000000005</v>
      </c>
      <c r="Q33" s="145">
        <f>'2012 полн'!BG27</f>
        <v>-2675.890000000003</v>
      </c>
      <c r="R33" s="60"/>
      <c r="S33" s="60"/>
    </row>
    <row r="34" spans="1:19" ht="12.75">
      <c r="A34" s="72" t="s">
        <v>47</v>
      </c>
      <c r="B34" s="147">
        <f>'2012 полн'!B28</f>
        <v>3597.3</v>
      </c>
      <c r="C34" s="24">
        <f>'2012 полн'!C28</f>
        <v>30756.915000000005</v>
      </c>
      <c r="D34" s="148">
        <f>'2012 полн'!D28</f>
        <v>267.75</v>
      </c>
      <c r="E34" s="141">
        <f>'2012 полн'!U28</f>
        <v>31261.239999999998</v>
      </c>
      <c r="F34" s="141">
        <f>'2012 полн'!V28</f>
        <v>0</v>
      </c>
      <c r="G34" s="149">
        <f>'2012 полн'!AF28</f>
        <v>33461.74</v>
      </c>
      <c r="H34" s="149">
        <f>'2012 полн'!AG28</f>
        <v>33729.49</v>
      </c>
      <c r="I34" s="149">
        <f>'2012 полн'!AJ28</f>
        <v>2875.3900000000003</v>
      </c>
      <c r="J34" s="149">
        <f>'2012 полн'!AK28</f>
        <v>2410.1910000000003</v>
      </c>
      <c r="K34" s="149">
        <f>'2012 полн'!AL28</f>
        <v>719.46</v>
      </c>
      <c r="L34" s="141">
        <f>'2012 полн'!AM28+'2012 полн'!AN28+'2012 полн'!AO28+'2012 полн'!AP28+'2012 полн'!AQ28+'2012 полн'!AR28+'2012 полн'!AS28+'2012 полн'!AT28</f>
        <v>25254.783000000003</v>
      </c>
      <c r="M34" s="142">
        <f>'2012 полн'!AU28+'2012 полн'!AV28+'2012 полн'!AW28+'2012 полн'!AX28</f>
        <v>1652.496</v>
      </c>
      <c r="N34" s="145">
        <f>'2012 полн'!BD28</f>
        <v>1419.078</v>
      </c>
      <c r="O34" s="145">
        <f>'2012 полн'!BE28</f>
        <v>31456.008</v>
      </c>
      <c r="P34" s="145">
        <f>'2012 полн'!BF28</f>
        <v>5148.871999999996</v>
      </c>
      <c r="Q34" s="145">
        <f>'2012 полн'!BG28</f>
        <v>2200.5</v>
      </c>
      <c r="R34" s="60"/>
      <c r="S34" s="60"/>
    </row>
    <row r="35" spans="1:19" ht="12.75">
      <c r="A35" s="72" t="s">
        <v>48</v>
      </c>
      <c r="B35" s="147">
        <f>'2012 полн'!B29</f>
        <v>3597.3</v>
      </c>
      <c r="C35" s="24">
        <f>'2012 полн'!C29</f>
        <v>30756.915000000005</v>
      </c>
      <c r="D35" s="148">
        <f>'2012 полн'!D29</f>
        <v>267.75</v>
      </c>
      <c r="E35" s="141">
        <f>'2012 полн'!U29</f>
        <v>31274.27</v>
      </c>
      <c r="F35" s="141">
        <f>'2012 полн'!V29</f>
        <v>0</v>
      </c>
      <c r="G35" s="149">
        <f>'2012 полн'!AF29</f>
        <v>25886.879999999997</v>
      </c>
      <c r="H35" s="149">
        <f>'2012 полн'!AG29</f>
        <v>26154.629999999997</v>
      </c>
      <c r="I35" s="149">
        <f>'2012 полн'!AJ29</f>
        <v>2875.3900000000003</v>
      </c>
      <c r="J35" s="149">
        <f>'2012 полн'!AK29</f>
        <v>2410.1910000000003</v>
      </c>
      <c r="K35" s="149">
        <f>'2012 полн'!AL29</f>
        <v>719.46</v>
      </c>
      <c r="L35" s="141">
        <f>'2012 полн'!AM29+'2012 полн'!AN29+'2012 полн'!AO29+'2012 полн'!AP29+'2012 полн'!AQ29+'2012 полн'!AR29+'2012 полн'!AS29+'2012 полн'!AT29</f>
        <v>21117.888000000003</v>
      </c>
      <c r="M35" s="142">
        <f>'2012 полн'!AU29+'2012 полн'!AV29+'2012 полн'!AW29+'2012 полн'!AX29</f>
        <v>5085.456</v>
      </c>
      <c r="N35" s="145">
        <f>'2012 полн'!BD29</f>
        <v>1419.078</v>
      </c>
      <c r="O35" s="145">
        <f>'2012 полн'!BE29</f>
        <v>30752.073</v>
      </c>
      <c r="P35" s="145">
        <f>'2012 полн'!BF29</f>
        <v>-1722.0530000000035</v>
      </c>
      <c r="Q35" s="145">
        <f>'2012 полн'!BG29</f>
        <v>-5387.390000000003</v>
      </c>
      <c r="R35" s="60"/>
      <c r="S35" s="60"/>
    </row>
    <row r="36" spans="1:19" ht="12.75">
      <c r="A36" s="72" t="s">
        <v>49</v>
      </c>
      <c r="B36" s="147">
        <f>'2012 полн'!B30</f>
        <v>3597.3</v>
      </c>
      <c r="C36" s="24">
        <f>'2012 полн'!C30</f>
        <v>30756.915000000005</v>
      </c>
      <c r="D36" s="148">
        <f>'2012 полн'!D30</f>
        <v>267.75</v>
      </c>
      <c r="E36" s="141">
        <f>'2012 полн'!U30</f>
        <v>31295.28</v>
      </c>
      <c r="F36" s="141">
        <f>'2012 полн'!V30</f>
        <v>0</v>
      </c>
      <c r="G36" s="149">
        <f>'2012 полн'!AF30</f>
        <v>34470.1</v>
      </c>
      <c r="H36" s="149">
        <f>'2012 полн'!AG30</f>
        <v>34737.85</v>
      </c>
      <c r="I36" s="149">
        <f>'2012 полн'!AJ30</f>
        <v>2875.3900000000003</v>
      </c>
      <c r="J36" s="149">
        <f>'2012 полн'!AK30</f>
        <v>2410.1910000000003</v>
      </c>
      <c r="K36" s="149">
        <f>'2012 полн'!AL30</f>
        <v>719.46</v>
      </c>
      <c r="L36" s="141">
        <f>'2012 полн'!AM30+'2012 полн'!AN30+'2012 полн'!AO30+'2012 полн'!AP30+'2012 полн'!AQ30+'2012 полн'!AR30+'2012 полн'!AS30+'2012 полн'!AT30</f>
        <v>21117.888000000003</v>
      </c>
      <c r="M36" s="142">
        <f>'2012 полн'!AU30+'2012 полн'!AV30+'2012 полн'!AW30+'2012 полн'!AX30</f>
        <v>97.856</v>
      </c>
      <c r="N36" s="145">
        <f>'2012 полн'!BD30</f>
        <v>1419.078</v>
      </c>
      <c r="O36" s="145">
        <f>'2012 полн'!BE30</f>
        <v>25764.473</v>
      </c>
      <c r="P36" s="145">
        <f>'2012 полн'!BF30</f>
        <v>11848.766999999996</v>
      </c>
      <c r="Q36" s="145">
        <f>'2012 полн'!BG30</f>
        <v>3174.8199999999997</v>
      </c>
      <c r="R36" s="60"/>
      <c r="S36" s="60"/>
    </row>
    <row r="37" spans="1:19" ht="12.75">
      <c r="A37" s="72" t="s">
        <v>50</v>
      </c>
      <c r="B37" s="147">
        <f>'2012 полн'!B31</f>
        <v>3596.7</v>
      </c>
      <c r="C37" s="24">
        <f>'2012 полн'!C31</f>
        <v>30751.785</v>
      </c>
      <c r="D37" s="148">
        <f>'2012 полн'!D31</f>
        <v>267.75</v>
      </c>
      <c r="E37" s="141">
        <f>'2012 полн'!U31</f>
        <v>31338.09</v>
      </c>
      <c r="F37" s="141">
        <f>'2012 полн'!V31</f>
        <v>0</v>
      </c>
      <c r="G37" s="149">
        <f>'2012 полн'!AF31</f>
        <v>37272.409999999996</v>
      </c>
      <c r="H37" s="149">
        <f>'2012 полн'!AG31</f>
        <v>37540.159999999996</v>
      </c>
      <c r="I37" s="149">
        <f>'2012 полн'!AJ31</f>
        <v>2975.3900000000003</v>
      </c>
      <c r="J37" s="149">
        <f>'2012 полн'!AK31</f>
        <v>2409.789</v>
      </c>
      <c r="K37" s="149">
        <f>'2012 полн'!AL31</f>
        <v>719.34</v>
      </c>
      <c r="L37" s="141">
        <f>'2012 полн'!AM31+'2012 полн'!AN31+'2012 полн'!AO31+'2012 полн'!AP31+'2012 полн'!AQ31+'2012 полн'!AR31+'2012 полн'!AS31+'2012 полн'!AT31</f>
        <v>21114.431999999997</v>
      </c>
      <c r="M37" s="142">
        <f>'2012 полн'!AU31+'2012 полн'!AV31+'2012 полн'!AW31+'2012 полн'!AX31</f>
        <v>2286.996</v>
      </c>
      <c r="N37" s="145">
        <f>'2012 полн'!BD31</f>
        <v>1444.078</v>
      </c>
      <c r="O37" s="145">
        <f>'2012 полн'!BE31</f>
        <v>27974.635</v>
      </c>
      <c r="P37" s="145">
        <f>'2012 полн'!BF31</f>
        <v>12540.914999999997</v>
      </c>
      <c r="Q37" s="145">
        <f>'2012 полн'!BG31</f>
        <v>5934.319999999996</v>
      </c>
      <c r="R37" s="60"/>
      <c r="S37" s="60"/>
    </row>
    <row r="38" spans="1:19" ht="12.75">
      <c r="A38" s="72" t="s">
        <v>51</v>
      </c>
      <c r="B38" s="147">
        <f>'2012 полн'!B32</f>
        <v>3596.7</v>
      </c>
      <c r="C38" s="24">
        <f>'2012 полн'!C32</f>
        <v>34204.617</v>
      </c>
      <c r="D38" s="148">
        <f>'2012 полн'!D32</f>
        <v>358.3125</v>
      </c>
      <c r="E38" s="141">
        <f>'2012 полн'!U32</f>
        <v>34801.11</v>
      </c>
      <c r="F38" s="141">
        <f>'2012 полн'!V32</f>
        <v>0</v>
      </c>
      <c r="G38" s="149">
        <f>'2012 полн'!AF32</f>
        <v>36143.68</v>
      </c>
      <c r="H38" s="149">
        <f>'2012 полн'!AG32</f>
        <v>36501.9925</v>
      </c>
      <c r="I38" s="149">
        <f>'2012 полн'!AJ32</f>
        <v>2975.3900000000003</v>
      </c>
      <c r="J38" s="149">
        <f>'2012 полн'!AK32</f>
        <v>2697.5249999999996</v>
      </c>
      <c r="K38" s="149">
        <f>'2012 полн'!AL32</f>
        <v>719.34</v>
      </c>
      <c r="L38" s="141">
        <f>'2012 полн'!AM32+'2012 полн'!AN32+'2012 полн'!AO32+'2012 полн'!AP32+'2012 полн'!AQ32+'2012 полн'!AR32+'2012 полн'!AS32+'2012 полн'!AT32</f>
        <v>21114.431999999997</v>
      </c>
      <c r="M38" s="142">
        <f>'2012 полн'!AU32+'2012 полн'!AV32+'2012 полн'!AW32+'2012 полн'!AX32</f>
        <v>5044.44</v>
      </c>
      <c r="N38" s="145">
        <f>'2012 полн'!BD32</f>
        <v>1444.078</v>
      </c>
      <c r="O38" s="145">
        <f>'2012 полн'!BE32</f>
        <v>31019.814999999995</v>
      </c>
      <c r="P38" s="145">
        <f>'2012 полн'!BF32</f>
        <v>8457.567500000005</v>
      </c>
      <c r="Q38" s="145">
        <f>'2012 полн'!BG32</f>
        <v>1342.5699999999997</v>
      </c>
      <c r="R38" s="60"/>
      <c r="S38" s="60"/>
    </row>
    <row r="39" spans="1:19" ht="12.75">
      <c r="A39" s="72" t="s">
        <v>52</v>
      </c>
      <c r="B39" s="147">
        <f>'2012 полн'!B33</f>
        <v>3596.7</v>
      </c>
      <c r="C39" s="24">
        <f>'2012 полн'!C33</f>
        <v>34204.617</v>
      </c>
      <c r="D39" s="148">
        <f>'2012 полн'!D33</f>
        <v>0</v>
      </c>
      <c r="E39" s="141">
        <f>'2012 полн'!U33</f>
        <v>34801.11</v>
      </c>
      <c r="F39" s="141">
        <f>'2012 полн'!V33</f>
        <v>0</v>
      </c>
      <c r="G39" s="149">
        <f>'2012 полн'!AF33</f>
        <v>33822.11</v>
      </c>
      <c r="H39" s="149">
        <f>'2012 полн'!AG33</f>
        <v>33822.11</v>
      </c>
      <c r="I39" s="149">
        <f>'2012 полн'!AJ33</f>
        <v>4775.39</v>
      </c>
      <c r="J39" s="149">
        <f>'2012 полн'!AK33</f>
        <v>2697.5249999999996</v>
      </c>
      <c r="K39" s="149">
        <f>'2012 полн'!AL33</f>
        <v>719.34</v>
      </c>
      <c r="L39" s="141">
        <f>'2012 полн'!AM33+'2012 полн'!AN33+'2012 полн'!AO33+'2012 полн'!AP33+'2012 полн'!AQ33+'2012 полн'!AR33+'2012 полн'!AS33+'2012 полн'!AT33</f>
        <v>21114.431999999997</v>
      </c>
      <c r="M39" s="142">
        <f>'2012 полн'!AU33+'2012 полн'!AV33+'2012 полн'!AW33+'2012 полн'!AX33</f>
        <v>4608.91</v>
      </c>
      <c r="N39" s="145">
        <f>'2012 полн'!BD33</f>
        <v>1894.078</v>
      </c>
      <c r="O39" s="145">
        <f>'2012 полн'!BE33</f>
        <v>31034.284999999996</v>
      </c>
      <c r="P39" s="145">
        <f>'2012 полн'!BF33</f>
        <v>7563.215000000004</v>
      </c>
      <c r="Q39" s="145">
        <f>'2012 полн'!BG33</f>
        <v>-979</v>
      </c>
      <c r="R39" s="60"/>
      <c r="S39" s="60"/>
    </row>
    <row r="40" spans="1:19" ht="12.75">
      <c r="A40" s="72" t="s">
        <v>53</v>
      </c>
      <c r="B40" s="147">
        <f>'2012 полн'!B34</f>
        <v>3596.7</v>
      </c>
      <c r="C40" s="24">
        <f>'2012 полн'!C34</f>
        <v>34204.617</v>
      </c>
      <c r="D40" s="148">
        <f>'2012 полн'!D34</f>
        <v>0</v>
      </c>
      <c r="E40" s="141">
        <f>'2012 полн'!U34</f>
        <v>34801.11</v>
      </c>
      <c r="F40" s="141">
        <f>'2012 полн'!V34</f>
        <v>0</v>
      </c>
      <c r="G40" s="149">
        <f>'2012 полн'!AF34</f>
        <v>32055.83</v>
      </c>
      <c r="H40" s="149">
        <f>'2012 полн'!AG34</f>
        <v>32055.83</v>
      </c>
      <c r="I40" s="149">
        <f>'2012 полн'!AJ34</f>
        <v>3575.3900000000003</v>
      </c>
      <c r="J40" s="149">
        <f>'2012 полн'!AK34</f>
        <v>2697.5249999999996</v>
      </c>
      <c r="K40" s="149">
        <f>'2012 полн'!AL34</f>
        <v>719.34</v>
      </c>
      <c r="L40" s="141">
        <f>'2012 полн'!AM34+'2012 полн'!AN34+'2012 полн'!AO34+'2012 полн'!AP34+'2012 полн'!AQ34+'2012 полн'!AR34+'2012 полн'!AS34+'2012 полн'!AT34</f>
        <v>21114.431999999997</v>
      </c>
      <c r="M40" s="142">
        <f>'2012 полн'!AU34+'2012 полн'!AV34+'2012 полн'!AW34+'2012 полн'!AX34</f>
        <v>7971.5</v>
      </c>
      <c r="N40" s="145">
        <f>'2012 полн'!BD34</f>
        <v>1594.078</v>
      </c>
      <c r="O40" s="145">
        <f>'2012 полн'!BE34</f>
        <v>34096.87499999999</v>
      </c>
      <c r="P40" s="145">
        <f>'2012 полн'!BF34</f>
        <v>1534.3450000000084</v>
      </c>
      <c r="Q40" s="145">
        <f>'2012 полн'!BG34</f>
        <v>-2745.279999999999</v>
      </c>
      <c r="R40" s="60"/>
      <c r="S40" s="60"/>
    </row>
    <row r="41" spans="1:19" ht="12.75">
      <c r="A41" s="72" t="s">
        <v>41</v>
      </c>
      <c r="B41" s="147">
        <f>'2012 полн'!B35</f>
        <v>3596.7</v>
      </c>
      <c r="C41" s="24">
        <f>'2012 полн'!C35</f>
        <v>34204.617</v>
      </c>
      <c r="D41" s="148">
        <f>'2012 полн'!D35</f>
        <v>0</v>
      </c>
      <c r="E41" s="141">
        <f>'2012 полн'!U35</f>
        <v>34806.51</v>
      </c>
      <c r="F41" s="141">
        <f>'2012 полн'!V35</f>
        <v>0</v>
      </c>
      <c r="G41" s="149">
        <f>'2012 полн'!AF35</f>
        <v>35266.14</v>
      </c>
      <c r="H41" s="149">
        <f>'2012 полн'!AG35</f>
        <v>35266.14</v>
      </c>
      <c r="I41" s="149">
        <f>'2012 полн'!AJ35</f>
        <v>3575.3900000000003</v>
      </c>
      <c r="J41" s="149">
        <f>'2012 полн'!AK35</f>
        <v>2697.5249999999996</v>
      </c>
      <c r="K41" s="149">
        <f>'2012 полн'!AL35</f>
        <v>719.34</v>
      </c>
      <c r="L41" s="141">
        <f>'2012 полн'!AM35+'2012 полн'!AN35+'2012 полн'!AO35+'2012 полн'!AP35+'2012 полн'!AQ35+'2012 полн'!AR35+'2012 полн'!AS35+'2012 полн'!AT35</f>
        <v>25250.636999999995</v>
      </c>
      <c r="M41" s="142">
        <f>'2012 полн'!AU35+'2012 полн'!AV35+'2012 полн'!AW35+'2012 полн'!AX35</f>
        <v>2092.0299999999997</v>
      </c>
      <c r="N41" s="145">
        <f>'2012 полн'!BD35</f>
        <v>1594.078</v>
      </c>
      <c r="O41" s="145">
        <f>'2012 полн'!BE35</f>
        <v>32353.609999999993</v>
      </c>
      <c r="P41" s="145">
        <f>'2012 полн'!BF35</f>
        <v>6487.9200000000055</v>
      </c>
      <c r="Q41" s="145">
        <f>'2012 полн'!BG35</f>
        <v>459.6299999999974</v>
      </c>
      <c r="R41" s="60"/>
      <c r="S41" s="60"/>
    </row>
    <row r="42" spans="1:19" ht="12.75">
      <c r="A42" s="72" t="s">
        <v>42</v>
      </c>
      <c r="B42" s="147">
        <f>'2012 полн'!B36</f>
        <v>3598.5</v>
      </c>
      <c r="C42" s="24">
        <f>'2012 полн'!C36</f>
        <v>34221.735</v>
      </c>
      <c r="D42" s="148">
        <f>'2012 полн'!D36</f>
        <v>0</v>
      </c>
      <c r="E42" s="141">
        <f>'2012 полн'!U36</f>
        <v>34970.58</v>
      </c>
      <c r="F42" s="141">
        <f>'2012 полн'!V36</f>
        <v>0</v>
      </c>
      <c r="G42" s="149">
        <f>'2012 полн'!AF36</f>
        <v>32747.969999999998</v>
      </c>
      <c r="H42" s="149">
        <f>'2012 полн'!AG36</f>
        <v>32747.969999999998</v>
      </c>
      <c r="I42" s="149">
        <f>'2012 полн'!AJ36</f>
        <v>3575.3900000000003</v>
      </c>
      <c r="J42" s="149">
        <f>'2012 полн'!AK36</f>
        <v>2698.875</v>
      </c>
      <c r="K42" s="149">
        <f>'2012 полн'!AL36</f>
        <v>719.7</v>
      </c>
      <c r="L42" s="141">
        <f>'2012 полн'!AM36+'2012 полн'!AN36+'2012 полн'!AO36+'2012 полн'!AP36+'2012 полн'!AQ36+'2012 полн'!AR36+'2012 полн'!AS36+'2012 полн'!AT36</f>
        <v>25263.075</v>
      </c>
      <c r="M42" s="142">
        <f>'2012 полн'!AU36+'2012 полн'!AV36+'2012 полн'!AW36+'2012 полн'!AX36</f>
        <v>585.6800000000001</v>
      </c>
      <c r="N42" s="145">
        <f>'2012 полн'!BD36</f>
        <v>1594.078</v>
      </c>
      <c r="O42" s="145">
        <f>'2012 полн'!BE36</f>
        <v>30861.408</v>
      </c>
      <c r="P42" s="145">
        <f>'2012 полн'!BF36</f>
        <v>5461.952000000001</v>
      </c>
      <c r="Q42" s="145">
        <f>'2012 полн'!BG36</f>
        <v>-2222.610000000004</v>
      </c>
      <c r="R42" s="60"/>
      <c r="S42" s="60"/>
    </row>
    <row r="43" spans="1:19" ht="13.5" thickBot="1">
      <c r="A43" s="72" t="s">
        <v>43</v>
      </c>
      <c r="B43" s="147">
        <f>'2012 полн'!B37</f>
        <v>3602</v>
      </c>
      <c r="C43" s="24">
        <f>'2012 полн'!C37</f>
        <v>34255.02</v>
      </c>
      <c r="D43" s="148">
        <f>'2012 полн'!D37</f>
        <v>0</v>
      </c>
      <c r="E43" s="141">
        <f>'2012 полн'!U37</f>
        <v>34899.3</v>
      </c>
      <c r="F43" s="141">
        <f>'2012 полн'!V37</f>
        <v>0</v>
      </c>
      <c r="G43" s="149">
        <f>'2012 полн'!AF37</f>
        <v>44891.340000000004</v>
      </c>
      <c r="H43" s="149">
        <f>'2012 полн'!AG37</f>
        <v>44891.340000000004</v>
      </c>
      <c r="I43" s="149">
        <f>'2012 полн'!AJ37</f>
        <v>3575.3900000000003</v>
      </c>
      <c r="J43" s="149">
        <f>'2012 полн'!AK37</f>
        <v>2701.5</v>
      </c>
      <c r="K43" s="149">
        <f>'2012 полн'!AL37</f>
        <v>720.4000000000001</v>
      </c>
      <c r="L43" s="141">
        <f>'2012 полн'!AM37+'2012 полн'!AN37+'2012 полн'!AO37+'2012 полн'!AP37+'2012 полн'!AQ37+'2012 полн'!AR37+'2012 полн'!AS37+'2012 полн'!AT37</f>
        <v>25287.259999999995</v>
      </c>
      <c r="M43" s="142">
        <f>'2012 полн'!AU37+'2012 полн'!AV37+'2012 полн'!AW37+'2012 полн'!AX37</f>
        <v>106410.51</v>
      </c>
      <c r="N43" s="145">
        <f>'2012 полн'!BD37</f>
        <v>1594.078</v>
      </c>
      <c r="O43" s="145">
        <f>'2012 полн'!BE37</f>
        <v>136713.748</v>
      </c>
      <c r="P43" s="145">
        <f>'2012 полн'!BF37</f>
        <v>-88247.01799999998</v>
      </c>
      <c r="Q43" s="145">
        <f>'2012 полн'!BG37</f>
        <v>9992.04</v>
      </c>
      <c r="R43" s="60"/>
      <c r="S43" s="60"/>
    </row>
    <row r="44" spans="1:19" s="15" customFormat="1" ht="13.5" thickBot="1">
      <c r="A44" s="26" t="s">
        <v>5</v>
      </c>
      <c r="B44" s="27"/>
      <c r="C44" s="30">
        <f aca="true" t="shared" si="4" ref="C44:P44">SUM(C32:C43)</f>
        <v>389831.583</v>
      </c>
      <c r="D44" s="30">
        <f t="shared" si="4"/>
        <v>1964.8125</v>
      </c>
      <c r="E44" s="30">
        <f t="shared" si="4"/>
        <v>396749.44</v>
      </c>
      <c r="F44" s="30">
        <f t="shared" si="4"/>
        <v>0</v>
      </c>
      <c r="G44" s="30">
        <f t="shared" si="4"/>
        <v>399235.95</v>
      </c>
      <c r="H44" s="30">
        <f t="shared" si="4"/>
        <v>401200.7625</v>
      </c>
      <c r="I44" s="30">
        <f t="shared" si="4"/>
        <v>39404.68</v>
      </c>
      <c r="J44" s="30">
        <f t="shared" si="4"/>
        <v>30651.219000000005</v>
      </c>
      <c r="K44" s="30">
        <f t="shared" si="4"/>
        <v>8634.1</v>
      </c>
      <c r="L44" s="30">
        <f t="shared" si="4"/>
        <v>278258.825</v>
      </c>
      <c r="M44" s="30">
        <f t="shared" si="4"/>
        <v>156470.09399999998</v>
      </c>
      <c r="N44" s="30">
        <f t="shared" si="4"/>
        <v>18253.935999999998</v>
      </c>
      <c r="O44" s="30">
        <f t="shared" si="4"/>
        <v>492268.174</v>
      </c>
      <c r="P44" s="30">
        <f t="shared" si="4"/>
        <v>-51662.73149999998</v>
      </c>
      <c r="Q44" s="30">
        <f>SUM(Q32:Q43)</f>
        <v>2486.509999999984</v>
      </c>
      <c r="R44" s="32"/>
      <c r="S44" s="32"/>
    </row>
    <row r="45" spans="1:17" ht="13.5" thickBot="1">
      <c r="A45" s="237" t="s">
        <v>68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133"/>
      <c r="P45" s="134"/>
      <c r="Q45" s="134"/>
    </row>
    <row r="46" spans="1:19" s="15" customFormat="1" ht="13.5" thickBot="1">
      <c r="A46" s="34" t="s">
        <v>54</v>
      </c>
      <c r="B46" s="35"/>
      <c r="C46" s="135">
        <f aca="true" t="shared" si="5" ref="C46:P46">C30+C44</f>
        <v>1968306.543</v>
      </c>
      <c r="D46" s="135">
        <f t="shared" si="5"/>
        <v>210223.64727125003</v>
      </c>
      <c r="E46" s="135">
        <f t="shared" si="5"/>
        <v>1776475.1800000002</v>
      </c>
      <c r="F46" s="135">
        <f t="shared" si="5"/>
        <v>94734.06</v>
      </c>
      <c r="G46" s="135">
        <f t="shared" si="5"/>
        <v>1359273.76</v>
      </c>
      <c r="H46" s="135">
        <f t="shared" si="5"/>
        <v>1661018.46727125</v>
      </c>
      <c r="I46" s="135">
        <f t="shared" si="5"/>
        <v>107907.10912000001</v>
      </c>
      <c r="J46" s="135">
        <f>J30+J44</f>
        <v>116996.37700000001</v>
      </c>
      <c r="K46" s="135">
        <f t="shared" si="5"/>
        <v>36508.9337816</v>
      </c>
      <c r="L46" s="135">
        <f t="shared" si="5"/>
        <v>1002321.6626182182</v>
      </c>
      <c r="M46" s="135">
        <f t="shared" si="5"/>
        <v>578715.1506</v>
      </c>
      <c r="N46" s="135">
        <f t="shared" si="5"/>
        <v>51925.8484831236</v>
      </c>
      <c r="O46" s="135">
        <f t="shared" si="5"/>
        <v>1786467.972482942</v>
      </c>
      <c r="P46" s="135">
        <f t="shared" si="5"/>
        <v>-67042.3760916918</v>
      </c>
      <c r="Q46" s="135">
        <f>Q30+Q44</f>
        <v>-47415.35000000002</v>
      </c>
      <c r="R46" s="36"/>
      <c r="S46" s="32"/>
    </row>
    <row r="48" spans="1:4" ht="12.75">
      <c r="A48" s="15" t="s">
        <v>69</v>
      </c>
      <c r="D48" s="153" t="s">
        <v>125</v>
      </c>
    </row>
    <row r="49" spans="1:4" ht="12.75">
      <c r="A49" s="70" t="s">
        <v>70</v>
      </c>
      <c r="B49" s="70" t="s">
        <v>71</v>
      </c>
      <c r="C49" s="229" t="s">
        <v>72</v>
      </c>
      <c r="D49" s="230"/>
    </row>
    <row r="50" spans="1:4" ht="12.75">
      <c r="A50" s="154">
        <v>374545.04</v>
      </c>
      <c r="B50" s="212">
        <v>384063.56</v>
      </c>
      <c r="C50" s="231">
        <f>A50-B50</f>
        <v>-9518.520000000019</v>
      </c>
      <c r="D50" s="232"/>
    </row>
    <row r="51" ht="12.75">
      <c r="A51" s="37"/>
    </row>
    <row r="52" spans="1:7" ht="12.75">
      <c r="A52" s="61" t="s">
        <v>73</v>
      </c>
      <c r="G52" s="61" t="s">
        <v>74</v>
      </c>
    </row>
    <row r="53" ht="12.75">
      <c r="A53" s="60"/>
    </row>
    <row r="54" ht="12.75">
      <c r="A54" s="61" t="s">
        <v>116</v>
      </c>
    </row>
    <row r="55" ht="12.75">
      <c r="A55" s="61" t="s">
        <v>75</v>
      </c>
    </row>
  </sheetData>
  <sheetProtection/>
  <mergeCells count="29">
    <mergeCell ref="C8:C11"/>
    <mergeCell ref="D8:D11"/>
    <mergeCell ref="E8:F9"/>
    <mergeCell ref="G8:H9"/>
    <mergeCell ref="B1:H1"/>
    <mergeCell ref="B2:H2"/>
    <mergeCell ref="A5:N5"/>
    <mergeCell ref="A6:G6"/>
    <mergeCell ref="A7:D7"/>
    <mergeCell ref="E7:F7"/>
    <mergeCell ref="P8:P11"/>
    <mergeCell ref="Q8:Q11"/>
    <mergeCell ref="E10:F10"/>
    <mergeCell ref="H10:H11"/>
    <mergeCell ref="I10:I11"/>
    <mergeCell ref="J10:J11"/>
    <mergeCell ref="K10:K11"/>
    <mergeCell ref="L10:L11"/>
    <mergeCell ref="M10:M11"/>
    <mergeCell ref="A45:N45"/>
    <mergeCell ref="C49:D49"/>
    <mergeCell ref="C50:D50"/>
    <mergeCell ref="N10:N11"/>
    <mergeCell ref="O10:O11"/>
    <mergeCell ref="A13:N13"/>
    <mergeCell ref="A29:N29"/>
    <mergeCell ref="A8:A11"/>
    <mergeCell ref="B8:B11"/>
    <mergeCell ref="J8:O9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Виктория</cp:lastModifiedBy>
  <cp:lastPrinted>2012-10-19T08:50:55Z</cp:lastPrinted>
  <dcterms:created xsi:type="dcterms:W3CDTF">2010-04-03T04:08:20Z</dcterms:created>
  <dcterms:modified xsi:type="dcterms:W3CDTF">2013-03-24T16:39:28Z</dcterms:modified>
  <cp:category/>
  <cp:version/>
  <cp:contentType/>
  <cp:contentStatus/>
</cp:coreProperties>
</file>