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 (2)" sheetId="1" r:id="rId1"/>
    <sheet name="Лист2 (2)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 refMode="R1C1"/>
</workbook>
</file>

<file path=xl/sharedStrings.xml><?xml version="1.0" encoding="utf-8"?>
<sst xmlns="http://schemas.openxmlformats.org/spreadsheetml/2006/main" count="333" uniqueCount="125">
  <si>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</si>
  <si>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</si>
  <si>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</si>
  <si>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</si>
  <si>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</si>
  <si>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</si>
  <si>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</si>
  <si>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</si>
  <si>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</si>
  <si>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</si>
  <si>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</si>
  <si>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</si>
  <si>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</si>
  <si>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</si>
  <si>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</si>
  <si>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</si>
  <si>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</si>
  <si>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</si>
  <si>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</si>
  <si>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</si>
  <si>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</si>
  <si>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</si>
  <si>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</si>
  <si>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</si>
  <si>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</si>
  <si>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</si>
  <si>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</si>
  <si>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</si>
  <si>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</si>
  <si>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</si>
  <si>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</si>
  <si>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</si>
  <si>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</si>
  <si>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</si>
  <si>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</si>
  <si>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</si>
  <si>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</si>
  <si>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</si>
  <si>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</si>
  <si>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</si>
  <si>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</si>
  <si>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</si>
  <si>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</si>
  <si>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</si>
  <si>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</si>
  <si>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</si>
  <si>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</si>
  <si>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</si>
  <si>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</si>
  <si>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</si>
  <si>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</si>
  <si>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</si>
  <si>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</si>
  <si>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</si>
  <si>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</si>
  <si>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</si>
  <si>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</si>
  <si>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</si>
  <si>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</si>
  <si>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</si>
  <si>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</si>
  <si>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</si>
  <si>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</si>
  <si>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</si>
  <si>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</si>
  <si>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</si>
  <si>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</si>
  <si>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</si>
  <si>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</si>
  <si>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</si>
  <si>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</si>
  <si>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</si>
  <si>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</si>
  <si>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</si>
  <si>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</si>
  <si>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</si>
  <si>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>Доходы по нежил.помещениям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</si>
  <si>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</si>
  <si>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</si>
  <si>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</si>
  <si>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</si>
  <si>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</si>
  <si>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</si>
  <si>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</si>
  <si>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</si>
  <si>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Расходы по нежил. помещениям</t>
  </si>
  <si>
    <t>*по состоянию на 01.01.2011 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</si>
  <si>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</si>
  <si>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</si>
  <si>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</si>
  <si>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</si>
  <si>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</si>
  <si>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</si>
  <si>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</si>
  <si>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</si>
  <si>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</si>
  <si>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</si>
  <si>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</si>
  <si>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</si>
  <si>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</si>
  <si>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</si>
  <si>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</si>
  <si>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</si>
  <si>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</si>
  <si>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</si>
  <si>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</si>
  <si>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</si>
  <si>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</si>
  <si>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</si>
  <si>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</si>
  <si>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</si>
  <si>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</si>
  <si>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</si>
  <si>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</si>
  <si>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</si>
  <si>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</si>
  <si>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</si>
  <si>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Доходы по нежилым помещениям</t>
  </si>
  <si>
    <t>Лицевой счет по адресу г. Таштагол, ул. Макаренко, д.14</t>
  </si>
  <si>
    <t>Выписка по лицевому счету по адресу г. Таштагол ул. Макаренко, д.14</t>
  </si>
  <si>
    <t>на 01.01. 2011 г.</t>
  </si>
  <si>
    <t>2012 год</t>
  </si>
  <si>
    <t>*по состоянию на 01.08.2012 г.</t>
  </si>
  <si>
    <t>на 01.01.2013 г.</t>
  </si>
  <si>
    <t>Тариф по содержанию и тек.ремонту 100 % (11,66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</si>
</sst>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2" fillId="0" borderId="11" xfId="34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" fillId="0" borderId="23" xfId="34" applyNumberFormat="1" applyFont="1" applyFill="1" applyBorder="1" applyAlignment="1">
      <alignment horizontal="right" vertical="center" wrapText="1"/>
      <protection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1" xfId="34" applyNumberFormat="1" applyFont="1" applyFill="1" applyBorder="1" applyAlignment="1">
      <alignment horizontal="center" vertical="center" wrapText="1"/>
      <protection/>
    </xf>
    <xf numFmtId="4" fontId="7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37" borderId="2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9" xfId="0" applyNumberFormat="1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36" xfId="0" applyFont="1" applyFill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2" fontId="7" fillId="34" borderId="1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4" fontId="0" fillId="0" borderId="4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4" fontId="0" fillId="0" borderId="38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34" borderId="23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0" fillId="35" borderId="31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" fontId="0" fillId="0" borderId="48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2" fillId="35" borderId="36" xfId="0" applyFont="1" applyFill="1" applyBorder="1" applyAlignment="1">
      <alignment/>
    </xf>
    <xf numFmtId="0" fontId="2" fillId="0" borderId="47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/>
    </xf>
    <xf numFmtId="4" fontId="0" fillId="37" borderId="15" xfId="0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2" fillId="0" borderId="23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4" fontId="2" fillId="0" borderId="45" xfId="34" applyNumberFormat="1" applyFont="1" applyFill="1" applyBorder="1" applyAlignment="1">
      <alignment horizontal="right" vertical="center" wrapText="1"/>
      <protection/>
    </xf>
    <xf numFmtId="4" fontId="0" fillId="0" borderId="33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46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4" fontId="2" fillId="34" borderId="40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52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53" xfId="0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horizontal="right" vertical="center" wrapText="1"/>
    </xf>
    <xf numFmtId="0" fontId="1" fillId="0" borderId="53" xfId="0" applyFont="1" applyFill="1" applyBorder="1" applyAlignment="1">
      <alignment horizontal="right"/>
    </xf>
    <xf numFmtId="0" fontId="1" fillId="0" borderId="55" xfId="0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60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2" xfId="0" applyNumberFormat="1" applyFont="1" applyFill="1" applyBorder="1" applyAlignment="1">
      <alignment horizontal="center" vertical="center" wrapText="1"/>
    </xf>
    <xf numFmtId="2" fontId="1" fillId="36" borderId="29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4" borderId="6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29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8" fillId="34" borderId="32" xfId="0" applyNumberFormat="1" applyFont="1" applyFill="1" applyBorder="1" applyAlignment="1">
      <alignment horizontal="center" vertical="center" wrapText="1"/>
    </xf>
    <xf numFmtId="2" fontId="8" fillId="34" borderId="66" xfId="0" applyNumberFormat="1" applyFont="1" applyFill="1" applyBorder="1" applyAlignment="1">
      <alignment horizontal="center" vertical="center" wrapText="1"/>
    </xf>
    <xf numFmtId="2" fontId="8" fillId="34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 textRotation="90" wrapText="1"/>
    </xf>
    <xf numFmtId="0" fontId="1" fillId="0" borderId="60" xfId="0" applyFont="1" applyFill="1" applyBorder="1" applyAlignment="1">
      <alignment horizontal="center" textRotation="90" wrapText="1"/>
    </xf>
    <xf numFmtId="0" fontId="1" fillId="0" borderId="67" xfId="0" applyFont="1" applyFill="1" applyBorder="1" applyAlignment="1">
      <alignment horizontal="center" textRotation="90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7" borderId="32" xfId="0" applyNumberFormat="1" applyFont="1" applyFill="1" applyBorder="1" applyAlignment="1">
      <alignment horizontal="center" vertical="center" wrapText="1"/>
    </xf>
    <xf numFmtId="2" fontId="1" fillId="37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textRotation="90"/>
    </xf>
    <xf numFmtId="0" fontId="1" fillId="0" borderId="29" xfId="0" applyFont="1" applyFill="1" applyBorder="1" applyAlignment="1">
      <alignment horizontal="center" textRotation="90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66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textRotation="90"/>
    </xf>
    <xf numFmtId="0" fontId="1" fillId="35" borderId="29" xfId="0" applyFont="1" applyFill="1" applyBorder="1" applyAlignment="1">
      <alignment horizontal="center" textRotation="90"/>
    </xf>
    <xf numFmtId="0" fontId="1" fillId="0" borderId="2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32" xfId="0" applyNumberFormat="1" applyFont="1" applyFill="1" applyBorder="1" applyAlignment="1">
      <alignment horizontal="center" vertical="center" wrapText="1"/>
    </xf>
    <xf numFmtId="4" fontId="1" fillId="34" borderId="66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4" fontId="29" fillId="0" borderId="31" xfId="34" applyNumberFormat="1" applyFont="1" applyFill="1" applyBorder="1" applyAlignment="1">
      <alignment horizontal="center" vertical="center" wrapText="1"/>
      <protection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  <xf numFmtId="4" fontId="0" fillId="38" borderId="15" xfId="0" applyNumberFormat="1" applyFont="1" applyFill="1" applyBorder="1" applyAlignment="1">
      <alignment horizontal="center" wrapText="1"/>
    </xf>
    <xf numFmtId="43" fontId="1" fillId="0" borderId="2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2;&#1072;&#1082;&#1072;&#1088;&#1077;&#1085;&#1082;&#1086;,%2014%20&#1089;%202010%20&#107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1;&#1048;&#1062;%20&#1057;&#1063;&#1045;&#1058;&#1040;%204%20&#1082;&#1074;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8">
          <cell r="I68">
            <v>483.3752</v>
          </cell>
        </row>
        <row r="87">
          <cell r="I87">
            <v>632.70066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2">
        <row r="168">
          <cell r="F168">
            <v>89.5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90">
          <cell r="J90">
            <v>632.126</v>
          </cell>
        </row>
        <row r="170">
          <cell r="J170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F3" t="str">
            <v>Доходы по нежил.помещениям</v>
          </cell>
        </row>
        <row r="9">
          <cell r="B9">
            <v>3685.1</v>
          </cell>
          <cell r="D9">
            <v>7678.318581200001</v>
          </cell>
          <cell r="S9">
            <v>21856.78</v>
          </cell>
          <cell r="T9">
            <v>4718.040000000001</v>
          </cell>
          <cell r="AB9">
            <v>396.48</v>
          </cell>
          <cell r="AC9">
            <v>12792.838581200001</v>
          </cell>
          <cell r="AD9">
            <v>0</v>
          </cell>
          <cell r="AG9">
            <v>2211.06</v>
          </cell>
          <cell r="AH9">
            <v>779.9587852</v>
          </cell>
          <cell r="AI9">
            <v>3138.9581799999996</v>
          </cell>
          <cell r="AJ9">
            <v>565.0124723999999</v>
          </cell>
          <cell r="AK9">
            <v>3652.7595623999996</v>
          </cell>
          <cell r="AL9">
            <v>657.4967212319999</v>
          </cell>
          <cell r="AM9">
            <v>6708.433427099999</v>
          </cell>
          <cell r="AN9">
            <v>1207.5180168779998</v>
          </cell>
          <cell r="AP9">
            <v>0</v>
          </cell>
          <cell r="AU9">
            <v>0</v>
          </cell>
          <cell r="AX9">
            <v>0</v>
          </cell>
          <cell r="BB9">
            <v>18921.197165209996</v>
          </cell>
          <cell r="BD9">
            <v>-6128.358584009995</v>
          </cell>
          <cell r="BE9">
            <v>-21460.3</v>
          </cell>
        </row>
        <row r="10">
          <cell r="B10">
            <v>3685.1</v>
          </cell>
          <cell r="D10">
            <v>7678.318581200001</v>
          </cell>
          <cell r="S10">
            <v>19911.07</v>
          </cell>
          <cell r="T10">
            <v>4479.62</v>
          </cell>
          <cell r="AB10">
            <v>14589.93</v>
          </cell>
          <cell r="AC10">
            <v>26747.8685812</v>
          </cell>
          <cell r="AD10">
            <v>0</v>
          </cell>
          <cell r="AG10">
            <v>2211.06</v>
          </cell>
          <cell r="AH10">
            <v>740.7051</v>
          </cell>
          <cell r="AI10">
            <v>3138.9581799999996</v>
          </cell>
          <cell r="AJ10">
            <v>565.0124723999999</v>
          </cell>
          <cell r="AK10">
            <v>3652.7595623999996</v>
          </cell>
          <cell r="AL10">
            <v>657.4967212319999</v>
          </cell>
          <cell r="AM10">
            <v>6708.433427099999</v>
          </cell>
          <cell r="AN10">
            <v>1207.5180168779998</v>
          </cell>
          <cell r="AP10">
            <v>0</v>
          </cell>
          <cell r="AS10">
            <v>10154</v>
          </cell>
          <cell r="AU10">
            <v>1827.72</v>
          </cell>
          <cell r="AX10">
            <v>0</v>
          </cell>
          <cell r="BB10">
            <v>30863.66348001</v>
          </cell>
          <cell r="BD10">
            <v>-4115.79489881</v>
          </cell>
          <cell r="BE10">
            <v>-5321.139999999999</v>
          </cell>
        </row>
        <row r="11">
          <cell r="B11">
            <v>3685.1</v>
          </cell>
          <cell r="D11">
            <v>7661.42424025</v>
          </cell>
          <cell r="S11">
            <v>20705.93</v>
          </cell>
          <cell r="T11">
            <v>4548.81</v>
          </cell>
          <cell r="AB11">
            <v>23536.01</v>
          </cell>
          <cell r="AC11">
            <v>35746.24424025</v>
          </cell>
          <cell r="AD11">
            <v>0</v>
          </cell>
          <cell r="AG11">
            <v>2211.06</v>
          </cell>
          <cell r="AH11">
            <v>755.6223848</v>
          </cell>
          <cell r="AI11">
            <v>3129.829132</v>
          </cell>
          <cell r="AJ11">
            <v>563.3692437599999</v>
          </cell>
          <cell r="AK11">
            <v>3642.14352632</v>
          </cell>
          <cell r="AL11">
            <v>655.5858347376</v>
          </cell>
          <cell r="AM11">
            <v>6688.936668529999</v>
          </cell>
          <cell r="AN11">
            <v>1204.0086003353997</v>
          </cell>
          <cell r="AP11">
            <v>0</v>
          </cell>
          <cell r="AS11">
            <v>1030</v>
          </cell>
          <cell r="AU11">
            <v>185.4</v>
          </cell>
          <cell r="AX11">
            <v>0</v>
          </cell>
          <cell r="BB11">
            <v>20065.955390483003</v>
          </cell>
          <cell r="BD11">
            <v>15680.288849767</v>
          </cell>
          <cell r="BE11">
            <v>2830.079999999998</v>
          </cell>
        </row>
        <row r="14">
          <cell r="B14">
            <v>3685.1</v>
          </cell>
          <cell r="D14">
            <v>3984.514375</v>
          </cell>
          <cell r="S14">
            <v>20677.640000000003</v>
          </cell>
          <cell r="T14">
            <v>4548.81</v>
          </cell>
          <cell r="AB14">
            <v>13651.07</v>
          </cell>
          <cell r="AC14">
            <v>22184.394375</v>
          </cell>
          <cell r="AG14">
            <v>1989.954</v>
          </cell>
          <cell r="AH14">
            <v>656.68482</v>
          </cell>
          <cell r="AI14">
            <v>2715.714445</v>
          </cell>
          <cell r="AJ14">
            <v>488.8286001</v>
          </cell>
          <cell r="AK14">
            <v>2656.4227605</v>
          </cell>
          <cell r="AL14">
            <v>478.15609689</v>
          </cell>
          <cell r="AM14">
            <v>6113.6767125999995</v>
          </cell>
          <cell r="AN14">
            <v>1100.461808268</v>
          </cell>
          <cell r="AP14">
            <v>0</v>
          </cell>
          <cell r="AR14">
            <v>0</v>
          </cell>
          <cell r="AU14">
            <v>0</v>
          </cell>
          <cell r="AX14">
            <v>2078.8768</v>
          </cell>
          <cell r="BA14">
            <v>0</v>
          </cell>
          <cell r="BB14">
            <v>16199.899243357999</v>
          </cell>
          <cell r="BD14">
            <v>5984.495131642001</v>
          </cell>
          <cell r="BE14">
            <v>-7026.570000000003</v>
          </cell>
        </row>
        <row r="15">
          <cell r="B15">
            <v>3685.1</v>
          </cell>
          <cell r="D15">
            <v>3984.514375</v>
          </cell>
          <cell r="S15">
            <v>21611.82</v>
          </cell>
          <cell r="T15">
            <v>4548.81</v>
          </cell>
          <cell r="AB15">
            <v>19837.57</v>
          </cell>
          <cell r="AC15">
            <v>28370.894375</v>
          </cell>
          <cell r="AG15">
            <v>1989.954</v>
          </cell>
          <cell r="AH15">
            <v>674.5944059999999</v>
          </cell>
          <cell r="AI15">
            <v>2715.734445</v>
          </cell>
          <cell r="AJ15">
            <v>488.83220009999997</v>
          </cell>
          <cell r="AK15">
            <v>2656.1168971999996</v>
          </cell>
          <cell r="AL15">
            <v>478.1010414959999</v>
          </cell>
          <cell r="AM15">
            <v>6112.269004399999</v>
          </cell>
          <cell r="AN15">
            <v>1100.2084207919997</v>
          </cell>
          <cell r="AP15">
            <v>0</v>
          </cell>
          <cell r="AR15">
            <v>0</v>
          </cell>
          <cell r="AS15">
            <v>7625</v>
          </cell>
          <cell r="AU15">
            <v>1372.5</v>
          </cell>
          <cell r="AX15">
            <v>1591.2064</v>
          </cell>
          <cell r="BA15">
            <v>0</v>
          </cell>
          <cell r="BB15">
            <v>25213.310414988</v>
          </cell>
          <cell r="BD15">
            <v>3157.5839600120016</v>
          </cell>
          <cell r="BE15">
            <v>-1774.25</v>
          </cell>
        </row>
        <row r="16">
          <cell r="B16">
            <v>3685.1</v>
          </cell>
          <cell r="D16">
            <v>3984.514375</v>
          </cell>
          <cell r="S16">
            <v>21366.050000000003</v>
          </cell>
          <cell r="T16">
            <v>4704.16</v>
          </cell>
          <cell r="AB16">
            <v>20542.38</v>
          </cell>
          <cell r="AC16">
            <v>29231.054375</v>
          </cell>
          <cell r="AG16">
            <v>1989.954</v>
          </cell>
          <cell r="AH16">
            <v>669.361564</v>
          </cell>
          <cell r="AI16">
            <v>2717.3006125</v>
          </cell>
          <cell r="AJ16">
            <v>489.11411025</v>
          </cell>
          <cell r="AK16">
            <v>2563.1344539999996</v>
          </cell>
          <cell r="AL16">
            <v>461.3642017199999</v>
          </cell>
          <cell r="AM16">
            <v>5899.001212099999</v>
          </cell>
          <cell r="AN16">
            <v>1061.8202181779998</v>
          </cell>
          <cell r="AP16">
            <v>0</v>
          </cell>
          <cell r="AR16">
            <v>0</v>
          </cell>
          <cell r="AS16">
            <v>2766</v>
          </cell>
          <cell r="AU16">
            <v>497.88</v>
          </cell>
          <cell r="AX16">
            <v>1289.8816000000002</v>
          </cell>
          <cell r="BA16">
            <v>0</v>
          </cell>
          <cell r="BB16">
            <v>19114.930372748</v>
          </cell>
          <cell r="BD16">
            <v>10116.124002252</v>
          </cell>
          <cell r="BE16">
            <v>-823.6700000000019</v>
          </cell>
        </row>
        <row r="17">
          <cell r="B17">
            <v>3685.1</v>
          </cell>
          <cell r="D17">
            <v>3984.514375</v>
          </cell>
          <cell r="S17">
            <v>21861.18</v>
          </cell>
          <cell r="T17">
            <v>4669.41</v>
          </cell>
          <cell r="AB17">
            <v>20013.71</v>
          </cell>
          <cell r="AC17">
            <v>28667.634375</v>
          </cell>
          <cell r="AG17">
            <v>1989.954</v>
          </cell>
          <cell r="AH17">
            <v>680.564268</v>
          </cell>
          <cell r="AI17">
            <v>2798.428089</v>
          </cell>
          <cell r="AJ17">
            <v>503.71705602</v>
          </cell>
          <cell r="AK17">
            <v>2599.2263233999997</v>
          </cell>
          <cell r="AL17">
            <v>467.86073821199994</v>
          </cell>
          <cell r="AM17">
            <v>5981.352141799999</v>
          </cell>
          <cell r="AN17">
            <v>1076.6433855239998</v>
          </cell>
          <cell r="AP17">
            <v>0</v>
          </cell>
          <cell r="AR17">
            <v>0</v>
          </cell>
          <cell r="AS17">
            <v>5497.67</v>
          </cell>
          <cell r="AU17">
            <v>989.5806</v>
          </cell>
          <cell r="AX17">
            <v>1127.3248</v>
          </cell>
          <cell r="BA17">
            <v>0</v>
          </cell>
          <cell r="BB17">
            <v>28672.286201956</v>
          </cell>
          <cell r="BD17">
            <v>-4.65182695600015</v>
          </cell>
          <cell r="BE17">
            <v>-1847.4700000000012</v>
          </cell>
        </row>
        <row r="18">
          <cell r="B18">
            <v>3683.7</v>
          </cell>
          <cell r="D18">
            <v>3144.125000000004</v>
          </cell>
          <cell r="S18">
            <v>23307.02</v>
          </cell>
          <cell r="T18">
            <v>5412.860000000001</v>
          </cell>
          <cell r="AB18">
            <v>24109.4</v>
          </cell>
          <cell r="AC18">
            <v>32666.385000000006</v>
          </cell>
          <cell r="AG18">
            <v>2210.22</v>
          </cell>
          <cell r="AH18">
            <v>744.1074</v>
          </cell>
          <cell r="AI18">
            <v>3131.145</v>
          </cell>
          <cell r="AJ18">
            <v>563.6061</v>
          </cell>
          <cell r="AK18">
            <v>3057.4709999999995</v>
          </cell>
          <cell r="AL18">
            <v>550.3447799999999</v>
          </cell>
          <cell r="AM18">
            <v>7035.866999999999</v>
          </cell>
          <cell r="AN18">
            <v>1266.4560599999998</v>
          </cell>
          <cell r="AP18">
            <v>0</v>
          </cell>
          <cell r="AR18">
            <v>0</v>
          </cell>
          <cell r="AS18">
            <v>426.36</v>
          </cell>
          <cell r="AU18">
            <v>76.7448</v>
          </cell>
          <cell r="AX18">
            <v>888.1152000000001</v>
          </cell>
          <cell r="BA18">
            <v>0</v>
          </cell>
          <cell r="BB18">
            <v>19950.43734</v>
          </cell>
          <cell r="BD18">
            <v>12715.947660000005</v>
          </cell>
          <cell r="BE18">
            <v>802.380000000001</v>
          </cell>
        </row>
        <row r="19">
          <cell r="B19">
            <v>3683.7</v>
          </cell>
          <cell r="D19">
            <v>3021.5650000000073</v>
          </cell>
          <cell r="S19">
            <v>23429.579999999998</v>
          </cell>
          <cell r="T19">
            <v>5412.860000000001</v>
          </cell>
          <cell r="AB19">
            <v>21417.62</v>
          </cell>
          <cell r="AC19">
            <v>29852.045000000006</v>
          </cell>
          <cell r="AG19">
            <v>2210.22</v>
          </cell>
          <cell r="AH19">
            <v>744.438933</v>
          </cell>
          <cell r="AI19">
            <v>3131.145</v>
          </cell>
          <cell r="AJ19">
            <v>563.6061</v>
          </cell>
          <cell r="AK19">
            <v>3057.4709999999995</v>
          </cell>
          <cell r="AL19">
            <v>550.3447799999999</v>
          </cell>
          <cell r="AM19">
            <v>7035.866999999999</v>
          </cell>
          <cell r="AN19">
            <v>1266.4560599999998</v>
          </cell>
          <cell r="AP19">
            <v>0</v>
          </cell>
          <cell r="AR19">
            <v>0</v>
          </cell>
          <cell r="AS19">
            <v>53265.31</v>
          </cell>
          <cell r="AU19">
            <v>9587.755799999999</v>
          </cell>
          <cell r="AX19">
            <v>935.6928</v>
          </cell>
          <cell r="BA19">
            <v>0</v>
          </cell>
          <cell r="BB19">
            <v>82348.307473</v>
          </cell>
          <cell r="BD19">
            <v>-52496.26247299999</v>
          </cell>
          <cell r="BE19">
            <v>-2011.9599999999991</v>
          </cell>
        </row>
        <row r="20">
          <cell r="B20">
            <v>3683.7</v>
          </cell>
          <cell r="D20">
            <v>3031.1550000000025</v>
          </cell>
          <cell r="S20">
            <v>23419.99</v>
          </cell>
          <cell r="T20">
            <v>5412.860000000001</v>
          </cell>
          <cell r="AB20">
            <v>22916.65</v>
          </cell>
          <cell r="AC20">
            <v>31360.665000000005</v>
          </cell>
          <cell r="AF20">
            <v>1116.07586</v>
          </cell>
          <cell r="AG20">
            <v>2210.22</v>
          </cell>
          <cell r="AH20">
            <v>732.5111124</v>
          </cell>
          <cell r="AI20">
            <v>3086.3696265</v>
          </cell>
          <cell r="AJ20">
            <v>555.54653277</v>
          </cell>
          <cell r="AK20">
            <v>3028.4250254999997</v>
          </cell>
          <cell r="AL20">
            <v>545.11650459</v>
          </cell>
          <cell r="AM20">
            <v>6968.322676799999</v>
          </cell>
          <cell r="AN20">
            <v>1254.2980818239996</v>
          </cell>
          <cell r="AP20">
            <v>0</v>
          </cell>
          <cell r="AR20">
            <v>0</v>
          </cell>
          <cell r="AS20">
            <v>27500.11</v>
          </cell>
          <cell r="AU20">
            <v>4950.0198</v>
          </cell>
          <cell r="AX20">
            <v>824.6784000000001</v>
          </cell>
          <cell r="BA20">
            <v>0</v>
          </cell>
          <cell r="BB20">
            <v>51655.617760384</v>
          </cell>
          <cell r="BC20">
            <v>481.2467290200001</v>
          </cell>
          <cell r="BD20">
            <v>-19660.12362940399</v>
          </cell>
          <cell r="BE20">
            <v>-503.34000000000015</v>
          </cell>
        </row>
        <row r="21">
          <cell r="B21">
            <v>3683.7</v>
          </cell>
          <cell r="D21">
            <v>3020.955000000001</v>
          </cell>
          <cell r="S21">
            <v>23326.19</v>
          </cell>
          <cell r="T21">
            <v>5516.860000000001</v>
          </cell>
          <cell r="AB21">
            <v>21773.95</v>
          </cell>
          <cell r="AC21">
            <v>30311.765000000003</v>
          </cell>
          <cell r="AF21">
            <v>1116.07586</v>
          </cell>
          <cell r="AG21">
            <v>2210.22</v>
          </cell>
          <cell r="AH21">
            <v>735.819075</v>
          </cell>
          <cell r="AI21">
            <v>3084.9919227</v>
          </cell>
          <cell r="AJ21">
            <v>555.298546086</v>
          </cell>
          <cell r="AK21">
            <v>3026.8962899999997</v>
          </cell>
          <cell r="AL21">
            <v>544.8413321999999</v>
          </cell>
          <cell r="AM21">
            <v>6965.50833</v>
          </cell>
          <cell r="AN21">
            <v>1253.7914993999998</v>
          </cell>
          <cell r="AP21">
            <v>0</v>
          </cell>
          <cell r="AR21">
            <v>0</v>
          </cell>
          <cell r="AS21">
            <v>14381</v>
          </cell>
          <cell r="AU21">
            <v>2588.58</v>
          </cell>
          <cell r="AX21">
            <v>803.5328</v>
          </cell>
          <cell r="BA21">
            <v>0</v>
          </cell>
          <cell r="BB21">
            <v>36150.479795385996</v>
          </cell>
          <cell r="BC21">
            <v>481.028066406</v>
          </cell>
          <cell r="BD21">
            <v>-5203.667001791992</v>
          </cell>
          <cell r="BE21">
            <v>-1552.239999999998</v>
          </cell>
        </row>
        <row r="22">
          <cell r="B22">
            <v>3683.7</v>
          </cell>
          <cell r="D22">
            <v>3036.525</v>
          </cell>
          <cell r="S22">
            <v>23301.800000000003</v>
          </cell>
          <cell r="T22">
            <v>5525.679999999999</v>
          </cell>
          <cell r="AB22">
            <v>20583.739999999998</v>
          </cell>
          <cell r="AC22">
            <v>29145.945</v>
          </cell>
          <cell r="AF22">
            <v>1116.07586</v>
          </cell>
          <cell r="AG22">
            <v>2210.22</v>
          </cell>
          <cell r="AH22">
            <v>736.5189780000001</v>
          </cell>
          <cell r="AI22">
            <v>3084.45962805</v>
          </cell>
          <cell r="AJ22">
            <v>555.202733049</v>
          </cell>
          <cell r="AK22">
            <v>3026.3153705099994</v>
          </cell>
          <cell r="AL22">
            <v>544.7367666917999</v>
          </cell>
          <cell r="AM22">
            <v>6964.1011566</v>
          </cell>
          <cell r="AN22">
            <v>1253.538208188</v>
          </cell>
          <cell r="AP22">
            <v>0</v>
          </cell>
          <cell r="AR22">
            <v>0</v>
          </cell>
          <cell r="AU22">
            <v>0</v>
          </cell>
          <cell r="AX22">
            <v>1098.2496</v>
          </cell>
          <cell r="BA22">
            <v>0</v>
          </cell>
          <cell r="BB22">
            <v>19473.3424410888</v>
          </cell>
          <cell r="BC22">
            <v>480.9553137774</v>
          </cell>
          <cell r="BD22">
            <v>10307.7231051338</v>
          </cell>
          <cell r="BE22">
            <v>-2718.060000000005</v>
          </cell>
        </row>
        <row r="23">
          <cell r="B23">
            <v>3683.7</v>
          </cell>
          <cell r="D23">
            <v>3025.6249999999986</v>
          </cell>
          <cell r="S23">
            <v>23300.1</v>
          </cell>
          <cell r="T23">
            <v>5538.28</v>
          </cell>
          <cell r="AB23">
            <v>26086.309999999998</v>
          </cell>
          <cell r="AC23">
            <v>34650.215</v>
          </cell>
          <cell r="AF23">
            <v>1116.07586</v>
          </cell>
          <cell r="AG23">
            <v>2210.22</v>
          </cell>
          <cell r="AH23">
            <v>736.74</v>
          </cell>
          <cell r="AI23">
            <v>3120.0939</v>
          </cell>
          <cell r="AJ23">
            <v>561.616902</v>
          </cell>
          <cell r="AK23">
            <v>3057.4709999999995</v>
          </cell>
          <cell r="AL23">
            <v>550.3447799999999</v>
          </cell>
          <cell r="AM23">
            <v>7024.004237288135</v>
          </cell>
          <cell r="AN23">
            <v>1264.3207627118643</v>
          </cell>
          <cell r="AP23">
            <v>0</v>
          </cell>
          <cell r="AQ23">
            <v>25679.04</v>
          </cell>
          <cell r="AR23">
            <v>4622.2272</v>
          </cell>
          <cell r="AS23">
            <v>17605.6</v>
          </cell>
          <cell r="AU23">
            <v>3169.008</v>
          </cell>
          <cell r="AX23">
            <v>1088.9984000000002</v>
          </cell>
          <cell r="BA23">
            <v>0</v>
          </cell>
          <cell r="BB23">
            <v>70689.685182</v>
          </cell>
          <cell r="BC23">
            <v>484.700142</v>
          </cell>
          <cell r="BD23">
            <v>-35408.09446400001</v>
          </cell>
          <cell r="BE23">
            <v>2786.209999999999</v>
          </cell>
        </row>
        <row r="24">
          <cell r="B24">
            <v>3684.7</v>
          </cell>
          <cell r="D24">
            <v>3026.844999999995</v>
          </cell>
          <cell r="S24">
            <v>23303.829999999998</v>
          </cell>
          <cell r="T24">
            <v>5541.98</v>
          </cell>
          <cell r="AB24">
            <v>22150.19</v>
          </cell>
          <cell r="AC24">
            <v>30719.014999999992</v>
          </cell>
          <cell r="AF24">
            <v>1116.07586</v>
          </cell>
          <cell r="AG24">
            <v>2210.8199999999997</v>
          </cell>
          <cell r="AH24">
            <v>736.94</v>
          </cell>
          <cell r="AI24">
            <v>3131.995</v>
          </cell>
          <cell r="AJ24">
            <v>563.7591</v>
          </cell>
          <cell r="AK24">
            <v>3058.3009999999995</v>
          </cell>
          <cell r="AL24">
            <v>550.4941799999999</v>
          </cell>
          <cell r="AM24">
            <v>7037.776999999999</v>
          </cell>
          <cell r="AN24">
            <v>1266.7998599999999</v>
          </cell>
          <cell r="AO24">
            <v>9937.17</v>
          </cell>
          <cell r="AP24">
            <v>1788.6906</v>
          </cell>
          <cell r="AR24">
            <v>0</v>
          </cell>
          <cell r="AS24">
            <v>4873</v>
          </cell>
          <cell r="AU24">
            <v>877.14</v>
          </cell>
          <cell r="AX24">
            <v>1317.6352</v>
          </cell>
          <cell r="BA24">
            <v>0</v>
          </cell>
          <cell r="BB24">
            <v>37350.52194</v>
          </cell>
          <cell r="BC24">
            <v>485.39574000000005</v>
          </cell>
          <cell r="BD24">
            <v>-6000.826820000006</v>
          </cell>
          <cell r="BE24">
            <v>-1153.6399999999994</v>
          </cell>
        </row>
        <row r="25">
          <cell r="B25">
            <v>3684.7</v>
          </cell>
          <cell r="D25">
            <v>4251.384999999999</v>
          </cell>
          <cell r="S25">
            <v>22085.870000000003</v>
          </cell>
          <cell r="T25">
            <v>5535.4</v>
          </cell>
          <cell r="AB25">
            <v>29815.08</v>
          </cell>
          <cell r="AC25">
            <v>39601.865000000005</v>
          </cell>
          <cell r="AF25">
            <v>1116.07586</v>
          </cell>
          <cell r="AG25">
            <v>2210.8199999999997</v>
          </cell>
          <cell r="AH25">
            <v>736.94</v>
          </cell>
          <cell r="AI25">
            <v>3131.995</v>
          </cell>
          <cell r="AJ25">
            <v>563.7591</v>
          </cell>
          <cell r="AK25">
            <v>3058.3009999999995</v>
          </cell>
          <cell r="AL25">
            <v>550.4941799999999</v>
          </cell>
          <cell r="AM25">
            <v>7037.776999999999</v>
          </cell>
          <cell r="AN25">
            <v>1266.7998599999999</v>
          </cell>
          <cell r="AP25">
            <v>0</v>
          </cell>
          <cell r="AR25">
            <v>0</v>
          </cell>
          <cell r="AS25">
            <v>15182</v>
          </cell>
          <cell r="AT25">
            <v>750</v>
          </cell>
          <cell r="AU25">
            <v>2867.7599999999998</v>
          </cell>
          <cell r="AX25">
            <v>1481.5136000000002</v>
          </cell>
          <cell r="BA25">
            <v>0</v>
          </cell>
          <cell r="BB25">
            <v>38838.15974</v>
          </cell>
          <cell r="BC25">
            <v>485.39574000000005</v>
          </cell>
          <cell r="BD25">
            <v>1394.3853799999997</v>
          </cell>
          <cell r="BE25">
            <v>7729.209999999999</v>
          </cell>
        </row>
        <row r="30">
          <cell r="B30">
            <v>3684.7</v>
          </cell>
          <cell r="D30">
            <v>2981.914999999995</v>
          </cell>
          <cell r="S30">
            <v>23348.760000000002</v>
          </cell>
          <cell r="T30">
            <v>5541.98</v>
          </cell>
          <cell r="AB30">
            <v>11554.55</v>
          </cell>
          <cell r="AC30">
            <v>20078.444999999992</v>
          </cell>
          <cell r="AF30">
            <v>1116.07586</v>
          </cell>
          <cell r="AG30">
            <v>2210.8199999999997</v>
          </cell>
          <cell r="AH30">
            <v>736.94</v>
          </cell>
          <cell r="AI30">
            <v>3684.7</v>
          </cell>
          <cell r="AJ30">
            <v>0</v>
          </cell>
          <cell r="AK30">
            <v>3611.006</v>
          </cell>
          <cell r="AL30">
            <v>0</v>
          </cell>
          <cell r="AM30">
            <v>8290.574999999999</v>
          </cell>
          <cell r="AN30">
            <v>0</v>
          </cell>
          <cell r="AP30">
            <v>0</v>
          </cell>
          <cell r="AS30">
            <v>0</v>
          </cell>
          <cell r="AU30">
            <v>0</v>
          </cell>
          <cell r="BA30">
            <v>0</v>
          </cell>
        </row>
        <row r="31">
          <cell r="B31">
            <v>3684.8</v>
          </cell>
          <cell r="D31">
            <v>2930.7000000000016</v>
          </cell>
          <cell r="S31">
            <v>23463.45</v>
          </cell>
          <cell r="T31">
            <v>5479.370000000001</v>
          </cell>
          <cell r="AB31">
            <v>18880.96</v>
          </cell>
          <cell r="AC31">
            <v>27291.030000000002</v>
          </cell>
          <cell r="AF31">
            <v>1116.07586</v>
          </cell>
          <cell r="AG31">
            <v>2210.88</v>
          </cell>
          <cell r="AH31">
            <v>736.96</v>
          </cell>
          <cell r="AI31">
            <v>3684.8</v>
          </cell>
          <cell r="AJ31">
            <v>0</v>
          </cell>
          <cell r="AK31">
            <v>3611.1040000000003</v>
          </cell>
          <cell r="AL31">
            <v>0</v>
          </cell>
          <cell r="AM31">
            <v>8290.800000000001</v>
          </cell>
          <cell r="AN31">
            <v>0</v>
          </cell>
          <cell r="AS31">
            <v>4220</v>
          </cell>
          <cell r="AU31">
            <v>0</v>
          </cell>
          <cell r="BA31">
            <v>0</v>
          </cell>
        </row>
        <row r="32">
          <cell r="B32">
            <v>3684.8</v>
          </cell>
          <cell r="D32">
            <v>2968.960000000001</v>
          </cell>
          <cell r="S32">
            <v>23425.190000000002</v>
          </cell>
          <cell r="T32">
            <v>5479.370000000001</v>
          </cell>
          <cell r="AB32">
            <v>21146.55</v>
          </cell>
          <cell r="AC32">
            <v>29594.88</v>
          </cell>
          <cell r="AF32">
            <v>1116.07586</v>
          </cell>
          <cell r="AG32">
            <v>2210.88</v>
          </cell>
          <cell r="AH32">
            <v>736.96</v>
          </cell>
          <cell r="AI32">
            <v>3684.8</v>
          </cell>
          <cell r="AJ32">
            <v>0</v>
          </cell>
          <cell r="AK32">
            <v>3611.1040000000003</v>
          </cell>
          <cell r="AL32">
            <v>0</v>
          </cell>
          <cell r="AM32">
            <v>8290.800000000001</v>
          </cell>
          <cell r="AN32">
            <v>0</v>
          </cell>
          <cell r="AQ32">
            <v>6160</v>
          </cell>
          <cell r="AS32">
            <v>2083</v>
          </cell>
          <cell r="AU32">
            <v>0</v>
          </cell>
          <cell r="BA32">
            <v>0</v>
          </cell>
        </row>
        <row r="33">
          <cell r="B33">
            <v>3684.8</v>
          </cell>
          <cell r="D33">
            <v>2969.050000000008</v>
          </cell>
          <cell r="S33">
            <v>23401.73</v>
          </cell>
          <cell r="T33">
            <v>5502.740000000001</v>
          </cell>
          <cell r="AB33">
            <v>20013.71</v>
          </cell>
          <cell r="AC33">
            <v>28485.500000000007</v>
          </cell>
          <cell r="AF33">
            <v>1116.07586</v>
          </cell>
          <cell r="AG33">
            <v>2210.88</v>
          </cell>
          <cell r="AH33">
            <v>736.96</v>
          </cell>
          <cell r="AI33">
            <v>3684.8</v>
          </cell>
          <cell r="AJ33">
            <v>0</v>
          </cell>
          <cell r="AK33">
            <v>3611.1040000000003</v>
          </cell>
          <cell r="AL33">
            <v>0</v>
          </cell>
          <cell r="AM33">
            <v>8290.800000000001</v>
          </cell>
          <cell r="AN33">
            <v>0</v>
          </cell>
          <cell r="AS33">
            <v>7028</v>
          </cell>
          <cell r="AU33">
            <v>0</v>
          </cell>
          <cell r="BA33">
            <v>0</v>
          </cell>
        </row>
        <row r="34">
          <cell r="B34">
            <v>3684.8</v>
          </cell>
          <cell r="D34">
            <v>2961.4600000000055</v>
          </cell>
          <cell r="S34">
            <v>23198.69</v>
          </cell>
          <cell r="T34">
            <v>5713.370000000001</v>
          </cell>
          <cell r="AB34">
            <v>23690.64</v>
          </cell>
          <cell r="AC34">
            <v>32365.470000000005</v>
          </cell>
          <cell r="AF34">
            <v>1116.07586</v>
          </cell>
          <cell r="AG34">
            <v>2210.88</v>
          </cell>
          <cell r="AH34">
            <v>736.96</v>
          </cell>
          <cell r="AI34">
            <v>3684.8</v>
          </cell>
          <cell r="AJ34">
            <v>0</v>
          </cell>
          <cell r="AK34">
            <v>3611.1040000000003</v>
          </cell>
          <cell r="AL34">
            <v>0</v>
          </cell>
          <cell r="AM34">
            <v>8290.800000000001</v>
          </cell>
          <cell r="AN34">
            <v>0</v>
          </cell>
          <cell r="AS34">
            <v>5398</v>
          </cell>
          <cell r="AT34">
            <v>766.27</v>
          </cell>
          <cell r="AU34">
            <v>137.9286</v>
          </cell>
          <cell r="BA34">
            <v>0</v>
          </cell>
        </row>
        <row r="35">
          <cell r="B35">
            <v>3684.8</v>
          </cell>
          <cell r="D35">
            <v>2961.4600000000055</v>
          </cell>
          <cell r="S35">
            <v>23198.69</v>
          </cell>
          <cell r="T35">
            <v>5713.370000000001</v>
          </cell>
          <cell r="AB35">
            <v>23055.04</v>
          </cell>
          <cell r="AC35">
            <v>31729.870000000006</v>
          </cell>
          <cell r="AF35">
            <v>1116.07586</v>
          </cell>
          <cell r="AG35">
            <v>2210.88</v>
          </cell>
          <cell r="AH35">
            <v>736.96</v>
          </cell>
          <cell r="AI35">
            <v>3684.8</v>
          </cell>
          <cell r="AJ35">
            <v>0</v>
          </cell>
          <cell r="AK35">
            <v>3611.1040000000003</v>
          </cell>
          <cell r="AL35">
            <v>0</v>
          </cell>
          <cell r="AM35">
            <v>8290.800000000001</v>
          </cell>
          <cell r="AN35">
            <v>0</v>
          </cell>
          <cell r="AQ35">
            <v>100</v>
          </cell>
          <cell r="AS35">
            <v>2147</v>
          </cell>
          <cell r="AU35">
            <v>0</v>
          </cell>
          <cell r="BA35">
            <v>0</v>
          </cell>
        </row>
        <row r="36">
          <cell r="B36">
            <v>3684.8</v>
          </cell>
          <cell r="D36">
            <v>2905.740000000006</v>
          </cell>
          <cell r="S36">
            <v>28967.78</v>
          </cell>
          <cell r="T36">
            <v>0</v>
          </cell>
          <cell r="AB36">
            <v>22494.92</v>
          </cell>
          <cell r="AC36">
            <v>25400.660000000003</v>
          </cell>
          <cell r="AF36">
            <v>1116.07586</v>
          </cell>
          <cell r="AG36">
            <v>2210.88</v>
          </cell>
          <cell r="AH36">
            <v>736.96</v>
          </cell>
          <cell r="AI36">
            <v>3684.8</v>
          </cell>
          <cell r="AJ36">
            <v>0</v>
          </cell>
          <cell r="AK36">
            <v>3611.1040000000003</v>
          </cell>
          <cell r="AL36">
            <v>0</v>
          </cell>
          <cell r="AM36">
            <v>8290.800000000001</v>
          </cell>
          <cell r="AN36">
            <v>0</v>
          </cell>
          <cell r="AT36">
            <v>8983.05</v>
          </cell>
          <cell r="AU36">
            <v>1616.9389999999999</v>
          </cell>
          <cell r="BA36">
            <v>0</v>
          </cell>
        </row>
        <row r="37">
          <cell r="B37">
            <v>3684.8</v>
          </cell>
          <cell r="D37">
            <v>2928.3800000000056</v>
          </cell>
          <cell r="S37">
            <v>28945.140000000003</v>
          </cell>
          <cell r="T37">
            <v>0</v>
          </cell>
          <cell r="AB37">
            <v>25186.56</v>
          </cell>
          <cell r="AC37">
            <v>28114.940000000006</v>
          </cell>
          <cell r="AF37">
            <v>1116.07586</v>
          </cell>
          <cell r="AG37">
            <v>2210.88</v>
          </cell>
          <cell r="AH37">
            <v>736.96</v>
          </cell>
          <cell r="AI37">
            <v>3684.8</v>
          </cell>
          <cell r="AJ37">
            <v>0</v>
          </cell>
          <cell r="AK37">
            <v>3611.1040000000003</v>
          </cell>
          <cell r="AL37">
            <v>0</v>
          </cell>
          <cell r="AM37">
            <v>8290.800000000001</v>
          </cell>
          <cell r="AN37">
            <v>0</v>
          </cell>
          <cell r="AS37">
            <v>6120</v>
          </cell>
          <cell r="AT37">
            <v>47.8</v>
          </cell>
          <cell r="AU37">
            <v>8.604</v>
          </cell>
          <cell r="BA37">
            <v>0</v>
          </cell>
        </row>
        <row r="38">
          <cell r="B38">
            <v>3684.8</v>
          </cell>
          <cell r="D38">
            <v>2919.4300000000076</v>
          </cell>
          <cell r="S38">
            <v>28954.090000000004</v>
          </cell>
          <cell r="T38">
            <v>0</v>
          </cell>
          <cell r="AB38">
            <v>26677.630000000005</v>
          </cell>
          <cell r="AC38">
            <v>29597.060000000012</v>
          </cell>
          <cell r="AF38">
            <v>1116.07586</v>
          </cell>
          <cell r="AG38">
            <v>2210.88</v>
          </cell>
          <cell r="AH38">
            <v>736.96</v>
          </cell>
          <cell r="AI38">
            <v>3684.8</v>
          </cell>
          <cell r="AJ38">
            <v>0</v>
          </cell>
          <cell r="AK38">
            <v>3611.1040000000003</v>
          </cell>
          <cell r="AL38">
            <v>0</v>
          </cell>
          <cell r="AM38">
            <v>8290.800000000001</v>
          </cell>
          <cell r="AN38">
            <v>0</v>
          </cell>
          <cell r="AO38">
            <v>11441.52</v>
          </cell>
          <cell r="AS38">
            <v>5321</v>
          </cell>
          <cell r="AU38">
            <v>0</v>
          </cell>
          <cell r="BA38">
            <v>0</v>
          </cell>
        </row>
        <row r="39">
          <cell r="B39">
            <v>3684.8</v>
          </cell>
          <cell r="D39">
            <v>2893.390000000002</v>
          </cell>
          <cell r="S39">
            <v>28980.13</v>
          </cell>
          <cell r="T39">
            <v>0</v>
          </cell>
          <cell r="AB39">
            <v>26933.75</v>
          </cell>
          <cell r="AC39">
            <v>29827.140000000003</v>
          </cell>
          <cell r="AF39">
            <v>1266.07586</v>
          </cell>
          <cell r="AG39">
            <v>2210.88</v>
          </cell>
          <cell r="AH39">
            <v>736.96</v>
          </cell>
          <cell r="AI39">
            <v>3684.8</v>
          </cell>
          <cell r="AJ39">
            <v>0</v>
          </cell>
          <cell r="AK39">
            <v>3611.1040000000003</v>
          </cell>
          <cell r="AL39">
            <v>0</v>
          </cell>
          <cell r="AM39">
            <v>8290.800000000001</v>
          </cell>
          <cell r="AN39">
            <v>0</v>
          </cell>
          <cell r="AS39">
            <v>2067</v>
          </cell>
          <cell r="AU39">
            <v>0</v>
          </cell>
          <cell r="BA39">
            <v>0</v>
          </cell>
        </row>
        <row r="40">
          <cell r="B40">
            <v>3684.8</v>
          </cell>
          <cell r="D40">
            <v>2823.840000000004</v>
          </cell>
          <cell r="S40">
            <v>29049.68</v>
          </cell>
          <cell r="T40">
            <v>0</v>
          </cell>
          <cell r="AB40">
            <v>32231.739999999998</v>
          </cell>
          <cell r="AC40">
            <v>35055.58</v>
          </cell>
          <cell r="AF40">
            <v>782.70066</v>
          </cell>
          <cell r="AG40">
            <v>2210.88</v>
          </cell>
          <cell r="AH40">
            <v>736.96</v>
          </cell>
          <cell r="AI40">
            <v>3684.8</v>
          </cell>
          <cell r="AJ40">
            <v>0</v>
          </cell>
          <cell r="AK40">
            <v>3611.1040000000003</v>
          </cell>
          <cell r="AL40">
            <v>0</v>
          </cell>
          <cell r="AM40">
            <v>8290.800000000001</v>
          </cell>
          <cell r="AN40">
            <v>0</v>
          </cell>
          <cell r="AS40">
            <v>1818</v>
          </cell>
          <cell r="AU40">
            <v>0</v>
          </cell>
          <cell r="BA40">
            <v>0</v>
          </cell>
        </row>
        <row r="41">
          <cell r="B41">
            <v>3684.8</v>
          </cell>
          <cell r="D41">
            <v>2807.970000000004</v>
          </cell>
          <cell r="S41">
            <v>29065.550000000003</v>
          </cell>
          <cell r="T41">
            <v>0</v>
          </cell>
          <cell r="AB41">
            <v>38136.9</v>
          </cell>
          <cell r="AC41">
            <v>40944.87</v>
          </cell>
          <cell r="AF41">
            <v>782.70066</v>
          </cell>
          <cell r="AG41">
            <v>2210.88</v>
          </cell>
          <cell r="AH41">
            <v>736.96</v>
          </cell>
          <cell r="AI41">
            <v>3684.8</v>
          </cell>
          <cell r="AJ41">
            <v>0</v>
          </cell>
          <cell r="AK41">
            <v>3611.1040000000003</v>
          </cell>
          <cell r="AL41">
            <v>0</v>
          </cell>
          <cell r="AM41">
            <v>8290.800000000001</v>
          </cell>
          <cell r="AN41">
            <v>0</v>
          </cell>
          <cell r="AS41">
            <v>3885</v>
          </cell>
          <cell r="AT41">
            <v>18960.3</v>
          </cell>
          <cell r="AU41">
            <v>1252.854</v>
          </cell>
          <cell r="BA4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88">
          <cell r="J88">
            <v>632.126</v>
          </cell>
        </row>
        <row r="176">
          <cell r="J176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71">
          <cell r="I71">
            <v>483.3752</v>
          </cell>
        </row>
        <row r="93">
          <cell r="I93">
            <v>632.70066</v>
          </cell>
        </row>
      </sheetData>
      <sheetData sheetId="2">
        <row r="72">
          <cell r="M72">
            <v>230.12</v>
          </cell>
        </row>
        <row r="94">
          <cell r="M94">
            <v>254.70100000000002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72">
          <cell r="I72">
            <v>483.3752</v>
          </cell>
          <cell r="M72">
            <v>230.12</v>
          </cell>
        </row>
        <row r="94">
          <cell r="I94">
            <v>632.70066</v>
          </cell>
          <cell r="M94">
            <v>254.70100000000002</v>
          </cell>
        </row>
      </sheetData>
      <sheetData sheetId="5">
        <row r="70">
          <cell r="M70">
            <v>230.12</v>
          </cell>
        </row>
        <row r="92">
          <cell r="M92">
            <v>254.70100000000002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 для сч-фактур"/>
      <sheetName val="Таштагол 10"/>
      <sheetName val="Таштагол 11"/>
      <sheetName val="Таштагол 12"/>
      <sheetName val="Шалым 10"/>
      <sheetName val="Шалым 11"/>
      <sheetName val="Шалым 12"/>
    </sheetNames>
    <sheetDataSet>
      <sheetData sheetId="4">
        <row r="90">
          <cell r="AK90">
            <v>6615.1329025</v>
          </cell>
          <cell r="BD90">
            <v>664.120225625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Лист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62">
          <cell r="J62">
            <v>781.6350000000001</v>
          </cell>
          <cell r="S62">
            <v>385.217</v>
          </cell>
        </row>
        <row r="122">
          <cell r="J122">
            <v>0</v>
          </cell>
          <cell r="S122">
            <v>40.3</v>
          </cell>
        </row>
        <row r="153">
          <cell r="J153">
            <v>0</v>
          </cell>
          <cell r="S153">
            <v>0</v>
          </cell>
        </row>
        <row r="164">
          <cell r="J164">
            <v>150</v>
          </cell>
          <cell r="S164">
            <v>37.5</v>
          </cell>
        </row>
        <row r="198">
          <cell r="J198">
            <v>114</v>
          </cell>
          <cell r="S198">
            <v>28.5</v>
          </cell>
        </row>
      </sheetData>
      <sheetData sheetId="2">
        <row r="60">
          <cell r="J60">
            <v>781.6350000000001</v>
          </cell>
          <cell r="S60">
            <v>385.217</v>
          </cell>
        </row>
        <row r="123">
          <cell r="J123">
            <v>1698.655</v>
          </cell>
          <cell r="S123">
            <v>318.77299999999997</v>
          </cell>
        </row>
        <row r="154">
          <cell r="J154">
            <v>300</v>
          </cell>
          <cell r="S154">
            <v>75</v>
          </cell>
        </row>
        <row r="165">
          <cell r="J165">
            <v>150</v>
          </cell>
          <cell r="S165">
            <v>37.5</v>
          </cell>
        </row>
        <row r="199">
          <cell r="J199">
            <v>114</v>
          </cell>
          <cell r="S199">
            <v>28.5</v>
          </cell>
        </row>
      </sheetData>
      <sheetData sheetId="3">
        <row r="60">
          <cell r="J60">
            <v>781.6350000000001</v>
          </cell>
          <cell r="S60">
            <v>385.217</v>
          </cell>
        </row>
        <row r="123">
          <cell r="J123">
            <v>566.215</v>
          </cell>
          <cell r="S123">
            <v>318.77299999999997</v>
          </cell>
        </row>
        <row r="154">
          <cell r="J154">
            <v>100</v>
          </cell>
          <cell r="S154">
            <v>25</v>
          </cell>
        </row>
        <row r="165">
          <cell r="J165">
            <v>150</v>
          </cell>
          <cell r="S165">
            <v>37.5</v>
          </cell>
        </row>
        <row r="199">
          <cell r="J199">
            <v>114</v>
          </cell>
          <cell r="S199">
            <v>28.5</v>
          </cell>
        </row>
      </sheetData>
      <sheetData sheetId="4">
        <row r="60">
          <cell r="J60">
            <v>781.6350000000001</v>
          </cell>
          <cell r="S60">
            <v>385.217</v>
          </cell>
        </row>
        <row r="123">
          <cell r="J123">
            <v>566.215</v>
          </cell>
          <cell r="S123">
            <v>318.77299999999997</v>
          </cell>
        </row>
        <row r="154">
          <cell r="J154">
            <v>100</v>
          </cell>
          <cell r="S154">
            <v>25</v>
          </cell>
        </row>
        <row r="165">
          <cell r="J165">
            <v>150</v>
          </cell>
          <cell r="S165">
            <v>37.5</v>
          </cell>
        </row>
        <row r="205">
          <cell r="J205">
            <v>114</v>
          </cell>
          <cell r="S205">
            <v>28.5</v>
          </cell>
        </row>
      </sheetData>
      <sheetData sheetId="5">
        <row r="60">
          <cell r="J60">
            <v>781.6350000000001</v>
          </cell>
          <cell r="S60">
            <v>385.217</v>
          </cell>
        </row>
        <row r="123">
          <cell r="J123">
            <v>566.215</v>
          </cell>
          <cell r="S123">
            <v>318.77299999999997</v>
          </cell>
        </row>
        <row r="155">
          <cell r="J155">
            <v>100</v>
          </cell>
          <cell r="S155">
            <v>25</v>
          </cell>
        </row>
        <row r="196">
          <cell r="J196">
            <v>150</v>
          </cell>
          <cell r="S196">
            <v>37.5</v>
          </cell>
        </row>
        <row r="236">
          <cell r="J236">
            <v>114</v>
          </cell>
          <cell r="S236">
            <v>28.5</v>
          </cell>
        </row>
      </sheetData>
      <sheetData sheetId="6">
        <row r="60">
          <cell r="J60">
            <v>781.6350000000001</v>
          </cell>
          <cell r="S60">
            <v>385.217</v>
          </cell>
        </row>
        <row r="125">
          <cell r="J125">
            <v>566.215</v>
          </cell>
          <cell r="S125">
            <v>318.77299999999997</v>
          </cell>
        </row>
        <row r="157">
          <cell r="J157">
            <v>100</v>
          </cell>
          <cell r="S157">
            <v>25</v>
          </cell>
        </row>
        <row r="198">
          <cell r="J198">
            <v>150</v>
          </cell>
          <cell r="S198">
            <v>37.5</v>
          </cell>
        </row>
        <row r="238">
          <cell r="J238">
            <v>114</v>
          </cell>
          <cell r="S238">
            <v>28.5</v>
          </cell>
        </row>
      </sheetData>
      <sheetData sheetId="7">
        <row r="60">
          <cell r="J60">
            <v>-108.35499999999989</v>
          </cell>
          <cell r="S60">
            <v>385.217</v>
          </cell>
        </row>
        <row r="125">
          <cell r="J125">
            <v>566.215</v>
          </cell>
          <cell r="S125">
            <v>318.77299999999997</v>
          </cell>
        </row>
        <row r="157">
          <cell r="J157">
            <v>100</v>
          </cell>
          <cell r="S157">
            <v>25</v>
          </cell>
        </row>
        <row r="198">
          <cell r="J198">
            <v>150</v>
          </cell>
          <cell r="S198">
            <v>37.5</v>
          </cell>
        </row>
        <row r="238">
          <cell r="J238">
            <v>114</v>
          </cell>
          <cell r="S238">
            <v>28.5</v>
          </cell>
        </row>
        <row r="314">
          <cell r="J314">
            <v>1800</v>
          </cell>
          <cell r="S314">
            <v>450</v>
          </cell>
        </row>
      </sheetData>
      <sheetData sheetId="8">
        <row r="60">
          <cell r="J60">
            <v>781.6350000000001</v>
          </cell>
          <cell r="S60">
            <v>385.217</v>
          </cell>
        </row>
        <row r="124">
          <cell r="J124">
            <v>566.215</v>
          </cell>
          <cell r="S124">
            <v>318.77299999999997</v>
          </cell>
        </row>
        <row r="160">
          <cell r="J160">
            <v>100</v>
          </cell>
          <cell r="S160">
            <v>25</v>
          </cell>
        </row>
        <row r="198">
          <cell r="J198">
            <v>150</v>
          </cell>
          <cell r="S198">
            <v>37.5</v>
          </cell>
        </row>
        <row r="238">
          <cell r="J238">
            <v>114</v>
          </cell>
          <cell r="S238">
            <v>28.5</v>
          </cell>
        </row>
        <row r="314">
          <cell r="J314">
            <v>600</v>
          </cell>
          <cell r="S314">
            <v>150</v>
          </cell>
        </row>
      </sheetData>
      <sheetData sheetId="9">
        <row r="60">
          <cell r="J60">
            <v>781.6350000000001</v>
          </cell>
          <cell r="S60">
            <v>385.217</v>
          </cell>
        </row>
        <row r="123">
          <cell r="J123">
            <v>566.215</v>
          </cell>
          <cell r="S123">
            <v>318.77299999999997</v>
          </cell>
        </row>
        <row r="159">
          <cell r="J159">
            <v>100</v>
          </cell>
          <cell r="S159">
            <v>25</v>
          </cell>
        </row>
        <row r="197">
          <cell r="J197">
            <v>150</v>
          </cell>
          <cell r="S197">
            <v>37.5</v>
          </cell>
        </row>
        <row r="237">
          <cell r="J237">
            <v>114</v>
          </cell>
          <cell r="S237">
            <v>28.5</v>
          </cell>
        </row>
        <row r="313">
          <cell r="J313">
            <v>600</v>
          </cell>
          <cell r="S313">
            <v>150</v>
          </cell>
        </row>
      </sheetData>
      <sheetData sheetId="10">
        <row r="60">
          <cell r="J60">
            <v>781.6350000000001</v>
          </cell>
          <cell r="S60">
            <v>385.217</v>
          </cell>
        </row>
        <row r="123">
          <cell r="J123">
            <v>566.215</v>
          </cell>
          <cell r="S123">
            <v>318.77299999999997</v>
          </cell>
        </row>
        <row r="161">
          <cell r="J161">
            <v>100</v>
          </cell>
          <cell r="S161">
            <v>25</v>
          </cell>
        </row>
        <row r="199">
          <cell r="J199">
            <v>150</v>
          </cell>
          <cell r="S199">
            <v>37.5</v>
          </cell>
        </row>
        <row r="239">
          <cell r="J239">
            <v>114</v>
          </cell>
          <cell r="S239">
            <v>28.5</v>
          </cell>
        </row>
        <row r="315">
          <cell r="J315">
            <v>600</v>
          </cell>
          <cell r="S315">
            <v>150</v>
          </cell>
        </row>
      </sheetData>
      <sheetData sheetId="11">
        <row r="60">
          <cell r="J60">
            <v>781.6350000000001</v>
          </cell>
          <cell r="S60">
            <v>385.217</v>
          </cell>
        </row>
        <row r="123">
          <cell r="J123">
            <v>1347.5510000000002</v>
          </cell>
          <cell r="S123">
            <v>340.12999999999994</v>
          </cell>
        </row>
        <row r="163">
          <cell r="J163">
            <v>100</v>
          </cell>
          <cell r="S163">
            <v>25</v>
          </cell>
        </row>
        <row r="201">
          <cell r="J201">
            <v>150</v>
          </cell>
          <cell r="S201">
            <v>37.5</v>
          </cell>
        </row>
        <row r="241">
          <cell r="J241">
            <v>114</v>
          </cell>
          <cell r="S241">
            <v>28.5</v>
          </cell>
        </row>
        <row r="317">
          <cell r="J317">
            <v>600</v>
          </cell>
          <cell r="S317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8">
          <cell r="O68">
            <v>228.4234744</v>
          </cell>
        </row>
        <row r="87">
          <cell r="O87">
            <v>252.82325462000006</v>
          </cell>
        </row>
      </sheetData>
      <sheetData sheetId="7">
        <row r="69">
          <cell r="O69">
            <v>228.31968632000002</v>
          </cell>
        </row>
        <row r="88">
          <cell r="O88">
            <v>252.708380086</v>
          </cell>
        </row>
      </sheetData>
      <sheetData sheetId="8">
        <row r="69">
          <cell r="O69">
            <v>228.285154328</v>
          </cell>
        </row>
        <row r="88">
          <cell r="O88">
            <v>252.67015944940002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3">
          <cell r="I73">
            <v>483.3752</v>
          </cell>
        </row>
        <row r="95">
          <cell r="I95">
            <v>632.70066</v>
          </cell>
        </row>
      </sheetData>
      <sheetData sheetId="1">
        <row r="73">
          <cell r="I73">
            <v>483.3752</v>
          </cell>
          <cell r="O73">
            <v>230.39280000000002</v>
          </cell>
        </row>
        <row r="95">
          <cell r="I95">
            <v>632.70066</v>
          </cell>
          <cell r="O95">
            <v>255.00294000000002</v>
          </cell>
        </row>
      </sheetData>
      <sheetData sheetId="2">
        <row r="74">
          <cell r="I74">
            <v>483.3752</v>
          </cell>
          <cell r="O74">
            <v>230.39280000000002</v>
          </cell>
        </row>
        <row r="96">
          <cell r="I96">
            <v>632.70066</v>
          </cell>
          <cell r="O96">
            <v>255.00294000000002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3">
          <cell r="O73">
            <v>230.06083999999998</v>
          </cell>
        </row>
        <row r="95">
          <cell r="O95">
            <v>254.63930200000004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69">
          <cell r="I69">
            <v>483.3752</v>
          </cell>
          <cell r="M69">
            <v>230.12</v>
          </cell>
        </row>
        <row r="91">
          <cell r="I91">
            <v>632.70066</v>
          </cell>
          <cell r="M91">
            <v>254.70100000000002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70">
          <cell r="I70">
            <v>483.3752</v>
          </cell>
        </row>
        <row r="92">
          <cell r="I92">
            <v>632.70066</v>
          </cell>
        </row>
      </sheetData>
      <sheetData sheetId="6">
        <row r="69">
          <cell r="I69">
            <v>483.3752</v>
          </cell>
        </row>
        <row r="91">
          <cell r="I91">
            <v>632.70066</v>
          </cell>
        </row>
      </sheetData>
      <sheetData sheetId="9">
        <row r="69">
          <cell r="M69">
            <v>230.12</v>
          </cell>
        </row>
        <row r="91">
          <cell r="M91">
            <v>254.70100000000002</v>
          </cell>
        </row>
      </sheetData>
      <sheetData sheetId="10">
        <row r="69">
          <cell r="I69">
            <v>0</v>
          </cell>
        </row>
        <row r="91">
          <cell r="I91">
            <v>632.70066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89">
          <cell r="I89">
            <v>632.126</v>
          </cell>
          <cell r="R89">
            <v>385.217</v>
          </cell>
        </row>
        <row r="166">
          <cell r="I166">
            <v>114</v>
          </cell>
          <cell r="R166">
            <v>28.5</v>
          </cell>
        </row>
      </sheetData>
      <sheetData sheetId="1">
        <row r="89">
          <cell r="J89">
            <v>632.126</v>
          </cell>
          <cell r="S89">
            <v>385.217</v>
          </cell>
        </row>
        <row r="167">
          <cell r="S167">
            <v>28.5</v>
          </cell>
        </row>
        <row r="168">
          <cell r="J168">
            <v>114</v>
          </cell>
        </row>
      </sheetData>
      <sheetData sheetId="2">
        <row r="89">
          <cell r="J89">
            <v>632.126</v>
          </cell>
          <cell r="S89">
            <v>385.217</v>
          </cell>
        </row>
        <row r="168">
          <cell r="J168">
            <v>114</v>
          </cell>
          <cell r="S168">
            <v>28.5</v>
          </cell>
        </row>
      </sheetData>
      <sheetData sheetId="3">
        <row r="90">
          <cell r="S90">
            <v>385.217</v>
          </cell>
        </row>
        <row r="170">
          <cell r="S170">
            <v>28.5</v>
          </cell>
        </row>
      </sheetData>
      <sheetData sheetId="4">
        <row r="88">
          <cell r="J88">
            <v>632.126</v>
          </cell>
          <cell r="S88">
            <v>385.217</v>
          </cell>
        </row>
        <row r="168">
          <cell r="J168">
            <v>114</v>
          </cell>
          <cell r="S168">
            <v>28.5</v>
          </cell>
        </row>
      </sheetData>
      <sheetData sheetId="5">
        <row r="88">
          <cell r="J88">
            <v>632.126</v>
          </cell>
          <cell r="S88">
            <v>385.217</v>
          </cell>
        </row>
        <row r="168">
          <cell r="J168">
            <v>114</v>
          </cell>
          <cell r="S168">
            <v>28.5</v>
          </cell>
        </row>
      </sheetData>
      <sheetData sheetId="6">
        <row r="88">
          <cell r="J88">
            <v>632.126</v>
          </cell>
          <cell r="S88">
            <v>385.217</v>
          </cell>
        </row>
        <row r="172">
          <cell r="J172">
            <v>114</v>
          </cell>
          <cell r="S172">
            <v>28.5</v>
          </cell>
        </row>
      </sheetData>
      <sheetData sheetId="7">
        <row r="88">
          <cell r="J88">
            <v>632.126</v>
          </cell>
          <cell r="S88">
            <v>385.217</v>
          </cell>
        </row>
        <row r="176">
          <cell r="J176">
            <v>114</v>
          </cell>
          <cell r="S176">
            <v>28.5</v>
          </cell>
        </row>
      </sheetData>
      <sheetData sheetId="8">
        <row r="88">
          <cell r="J88">
            <v>632.126</v>
          </cell>
        </row>
        <row r="176">
          <cell r="J176">
            <v>114</v>
          </cell>
        </row>
      </sheetData>
      <sheetData sheetId="9">
        <row r="88">
          <cell r="S88">
            <v>385.217</v>
          </cell>
        </row>
        <row r="176">
          <cell r="S176">
            <v>28.5</v>
          </cell>
        </row>
      </sheetData>
      <sheetData sheetId="10">
        <row r="88">
          <cell r="J88">
            <v>632.126</v>
          </cell>
          <cell r="S88">
            <v>385.217</v>
          </cell>
        </row>
        <row r="176">
          <cell r="J176">
            <v>114</v>
          </cell>
          <cell r="S176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41" sqref="AX41"/>
    </sheetView>
  </sheetViews>
  <sheetFormatPr defaultColWidth="9.00390625" defaultRowHeight="12.75"/>
  <cols>
    <col min="1" max="1" width="8.75390625" style="62" bestFit="1" customWidth="1"/>
    <col min="2" max="2" width="9.125" style="62" customWidth="1"/>
    <col min="3" max="3" width="10.125" style="62" customWidth="1"/>
    <col min="4" max="4" width="10.375" style="62" customWidth="1"/>
    <col min="5" max="6" width="9.125" style="62" customWidth="1"/>
    <col min="7" max="7" width="10.25390625" style="62" customWidth="1"/>
    <col min="8" max="8" width="9.125" style="62" customWidth="1"/>
    <col min="9" max="9" width="9.875" style="62" customWidth="1"/>
    <col min="10" max="10" width="9.125" style="62" customWidth="1"/>
    <col min="11" max="11" width="10.375" style="62" customWidth="1"/>
    <col min="12" max="14" width="9.125" style="62" customWidth="1"/>
    <col min="15" max="15" width="10.125" style="62" bestFit="1" customWidth="1"/>
    <col min="16" max="18" width="9.125" style="62" customWidth="1"/>
    <col min="19" max="19" width="10.125" style="62" bestFit="1" customWidth="1"/>
    <col min="20" max="20" width="10.125" style="62" customWidth="1"/>
    <col min="21" max="22" width="9.125" style="62" customWidth="1"/>
    <col min="23" max="23" width="10.625" style="62" customWidth="1"/>
    <col min="24" max="24" width="10.125" style="62" customWidth="1"/>
    <col min="25" max="27" width="9.125" style="62" customWidth="1"/>
    <col min="28" max="28" width="10.125" style="62" bestFit="1" customWidth="1"/>
    <col min="29" max="30" width="11.375" style="62" customWidth="1"/>
    <col min="31" max="31" width="9.25390625" style="62" bestFit="1" customWidth="1"/>
    <col min="32" max="32" width="11.25390625" style="62" customWidth="1"/>
    <col min="33" max="33" width="10.25390625" style="62" customWidth="1"/>
    <col min="34" max="38" width="9.25390625" style="62" bestFit="1" customWidth="1"/>
    <col min="39" max="39" width="10.125" style="62" bestFit="1" customWidth="1"/>
    <col min="40" max="42" width="9.25390625" style="62" bestFit="1" customWidth="1"/>
    <col min="43" max="44" width="9.25390625" style="62" customWidth="1"/>
    <col min="45" max="45" width="10.125" style="62" bestFit="1" customWidth="1"/>
    <col min="46" max="46" width="10.125" style="62" customWidth="1"/>
    <col min="47" max="47" width="9.25390625" style="62" bestFit="1" customWidth="1"/>
    <col min="48" max="49" width="9.25390625" style="62" customWidth="1"/>
    <col min="50" max="50" width="10.625" style="62" customWidth="1"/>
    <col min="51" max="51" width="9.25390625" style="62" bestFit="1" customWidth="1"/>
    <col min="52" max="53" width="10.125" style="62" bestFit="1" customWidth="1"/>
    <col min="54" max="55" width="10.375" style="62" customWidth="1"/>
    <col min="56" max="56" width="10.75390625" style="62" customWidth="1"/>
    <col min="57" max="57" width="14.00390625" style="62" customWidth="1"/>
    <col min="58" max="16384" width="9.125" style="62" customWidth="1"/>
  </cols>
  <sheetData>
    <row r="1" spans="1:18" ht="21" customHeight="1">
      <c r="A1" s="287" t="s">
        <v>118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61"/>
      <c r="P1" s="61"/>
      <c r="Q1" s="61"/>
      <c r="R1" s="61"/>
    </row>
    <row r="2" spans="1:18" ht="13.5" thickBot="1">
      <c r="A2" s="61"/>
      <c r="B2" s="63"/>
      <c r="C2" s="64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57" ht="13.5" customHeight="1">
      <c r="A3" s="288" t="s">
        <v>0</v>
      </c>
      <c r="B3" s="291" t="s">
        <v>1</v>
      </c>
      <c r="C3" s="291" t="s">
        <v>2</v>
      </c>
      <c r="D3" s="291" t="s">
        <v>3</v>
      </c>
      <c r="E3" s="294" t="s">
        <v>4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75" t="s">
        <v>5</v>
      </c>
      <c r="T3" s="275"/>
      <c r="U3" s="276" t="s">
        <v>6</v>
      </c>
      <c r="V3" s="276"/>
      <c r="W3" s="276"/>
      <c r="X3" s="276"/>
      <c r="Y3" s="276"/>
      <c r="Z3" s="276"/>
      <c r="AA3" s="276"/>
      <c r="AB3" s="276"/>
      <c r="AC3" s="278" t="s">
        <v>94</v>
      </c>
      <c r="AD3" s="278" t="s">
        <v>8</v>
      </c>
      <c r="AE3" s="281" t="s">
        <v>9</v>
      </c>
      <c r="AF3" s="284" t="s">
        <v>76</v>
      </c>
      <c r="AG3" s="264" t="s">
        <v>10</v>
      </c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5" t="s">
        <v>85</v>
      </c>
      <c r="BD3" s="268" t="s">
        <v>11</v>
      </c>
      <c r="BE3" s="271" t="s">
        <v>12</v>
      </c>
    </row>
    <row r="4" spans="1:57" ht="36" customHeight="1" thickBot="1">
      <c r="A4" s="289"/>
      <c r="B4" s="292"/>
      <c r="C4" s="292"/>
      <c r="D4" s="292"/>
      <c r="E4" s="274" t="s">
        <v>13</v>
      </c>
      <c r="F4" s="274"/>
      <c r="G4" s="274" t="s">
        <v>14</v>
      </c>
      <c r="H4" s="274"/>
      <c r="I4" s="274" t="s">
        <v>15</v>
      </c>
      <c r="J4" s="274"/>
      <c r="K4" s="274" t="s">
        <v>16</v>
      </c>
      <c r="L4" s="274"/>
      <c r="M4" s="274" t="s">
        <v>17</v>
      </c>
      <c r="N4" s="274"/>
      <c r="O4" s="274" t="s">
        <v>18</v>
      </c>
      <c r="P4" s="274"/>
      <c r="Q4" s="274" t="s">
        <v>19</v>
      </c>
      <c r="R4" s="274"/>
      <c r="S4" s="274"/>
      <c r="T4" s="274"/>
      <c r="U4" s="277"/>
      <c r="V4" s="277"/>
      <c r="W4" s="277"/>
      <c r="X4" s="277"/>
      <c r="Y4" s="277"/>
      <c r="Z4" s="277"/>
      <c r="AA4" s="277"/>
      <c r="AB4" s="277"/>
      <c r="AC4" s="279"/>
      <c r="AD4" s="279"/>
      <c r="AE4" s="282"/>
      <c r="AF4" s="285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66"/>
      <c r="BD4" s="269"/>
      <c r="BE4" s="272"/>
    </row>
    <row r="5" spans="1:57" ht="29.25" customHeight="1" thickBot="1">
      <c r="A5" s="289"/>
      <c r="B5" s="292"/>
      <c r="C5" s="292"/>
      <c r="D5" s="292"/>
      <c r="E5" s="262" t="s">
        <v>20</v>
      </c>
      <c r="F5" s="262" t="s">
        <v>21</v>
      </c>
      <c r="G5" s="262" t="s">
        <v>20</v>
      </c>
      <c r="H5" s="262" t="s">
        <v>21</v>
      </c>
      <c r="I5" s="262" t="s">
        <v>20</v>
      </c>
      <c r="J5" s="262" t="s">
        <v>21</v>
      </c>
      <c r="K5" s="262" t="s">
        <v>20</v>
      </c>
      <c r="L5" s="262" t="s">
        <v>21</v>
      </c>
      <c r="M5" s="262" t="s">
        <v>20</v>
      </c>
      <c r="N5" s="262" t="s">
        <v>21</v>
      </c>
      <c r="O5" s="262" t="s">
        <v>20</v>
      </c>
      <c r="P5" s="262" t="s">
        <v>21</v>
      </c>
      <c r="Q5" s="262" t="s">
        <v>20</v>
      </c>
      <c r="R5" s="262" t="s">
        <v>21</v>
      </c>
      <c r="S5" s="262" t="s">
        <v>20</v>
      </c>
      <c r="T5" s="262" t="s">
        <v>21</v>
      </c>
      <c r="U5" s="260" t="s">
        <v>22</v>
      </c>
      <c r="V5" s="260" t="s">
        <v>23</v>
      </c>
      <c r="W5" s="260" t="s">
        <v>24</v>
      </c>
      <c r="X5" s="260" t="s">
        <v>25</v>
      </c>
      <c r="Y5" s="260" t="s">
        <v>26</v>
      </c>
      <c r="Z5" s="260" t="s">
        <v>27</v>
      </c>
      <c r="AA5" s="260" t="s">
        <v>28</v>
      </c>
      <c r="AB5" s="260" t="s">
        <v>29</v>
      </c>
      <c r="AC5" s="279"/>
      <c r="AD5" s="279"/>
      <c r="AE5" s="282"/>
      <c r="AF5" s="285"/>
      <c r="AG5" s="247" t="s">
        <v>30</v>
      </c>
      <c r="AH5" s="247" t="s">
        <v>31</v>
      </c>
      <c r="AI5" s="247" t="s">
        <v>32</v>
      </c>
      <c r="AJ5" s="247" t="s">
        <v>33</v>
      </c>
      <c r="AK5" s="247" t="s">
        <v>34</v>
      </c>
      <c r="AL5" s="247" t="s">
        <v>33</v>
      </c>
      <c r="AM5" s="247" t="s">
        <v>35</v>
      </c>
      <c r="AN5" s="247" t="s">
        <v>33</v>
      </c>
      <c r="AO5" s="247" t="s">
        <v>36</v>
      </c>
      <c r="AP5" s="247" t="s">
        <v>33</v>
      </c>
      <c r="AQ5" s="254" t="s">
        <v>77</v>
      </c>
      <c r="AR5" s="256" t="s">
        <v>33</v>
      </c>
      <c r="AS5" s="258" t="s">
        <v>78</v>
      </c>
      <c r="AT5" s="249" t="s">
        <v>79</v>
      </c>
      <c r="AU5" s="249" t="s">
        <v>33</v>
      </c>
      <c r="AV5" s="251" t="s">
        <v>80</v>
      </c>
      <c r="AW5" s="252"/>
      <c r="AX5" s="253"/>
      <c r="AY5" s="247" t="s">
        <v>19</v>
      </c>
      <c r="AZ5" s="247" t="s">
        <v>38</v>
      </c>
      <c r="BA5" s="247" t="s">
        <v>33</v>
      </c>
      <c r="BB5" s="247" t="s">
        <v>39</v>
      </c>
      <c r="BC5" s="266"/>
      <c r="BD5" s="269"/>
      <c r="BE5" s="272"/>
    </row>
    <row r="6" spans="1:57" ht="54" customHeight="1" thickBot="1">
      <c r="A6" s="290"/>
      <c r="B6" s="293"/>
      <c r="C6" s="293"/>
      <c r="D6" s="29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1"/>
      <c r="V6" s="261"/>
      <c r="W6" s="261"/>
      <c r="X6" s="261"/>
      <c r="Y6" s="261"/>
      <c r="Z6" s="261"/>
      <c r="AA6" s="261"/>
      <c r="AB6" s="261"/>
      <c r="AC6" s="280"/>
      <c r="AD6" s="280"/>
      <c r="AE6" s="283"/>
      <c r="AF6" s="286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55"/>
      <c r="AR6" s="257"/>
      <c r="AS6" s="259"/>
      <c r="AT6" s="250"/>
      <c r="AU6" s="250"/>
      <c r="AV6" s="47" t="s">
        <v>81</v>
      </c>
      <c r="AW6" s="47" t="s">
        <v>82</v>
      </c>
      <c r="AX6" s="47" t="s">
        <v>83</v>
      </c>
      <c r="AY6" s="248"/>
      <c r="AZ6" s="248"/>
      <c r="BA6" s="248"/>
      <c r="BB6" s="248"/>
      <c r="BC6" s="267"/>
      <c r="BD6" s="270"/>
      <c r="BE6" s="273"/>
    </row>
    <row r="7" spans="1:57" ht="12.7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  <c r="L7" s="5">
        <v>12</v>
      </c>
      <c r="M7" s="4">
        <v>13</v>
      </c>
      <c r="N7" s="5">
        <v>14</v>
      </c>
      <c r="O7" s="4">
        <v>15</v>
      </c>
      <c r="P7" s="5">
        <v>16</v>
      </c>
      <c r="Q7" s="4">
        <v>17</v>
      </c>
      <c r="R7" s="5">
        <v>18</v>
      </c>
      <c r="S7" s="4">
        <v>19</v>
      </c>
      <c r="T7" s="5">
        <v>20</v>
      </c>
      <c r="U7" s="4">
        <v>21</v>
      </c>
      <c r="V7" s="5">
        <v>22</v>
      </c>
      <c r="W7" s="4">
        <v>23</v>
      </c>
      <c r="X7" s="5">
        <v>24</v>
      </c>
      <c r="Y7" s="4">
        <v>25</v>
      </c>
      <c r="Z7" s="5">
        <v>26</v>
      </c>
      <c r="AA7" s="4">
        <v>27</v>
      </c>
      <c r="AB7" s="5">
        <v>28</v>
      </c>
      <c r="AC7" s="4">
        <v>29</v>
      </c>
      <c r="AD7" s="5">
        <v>30</v>
      </c>
      <c r="AE7" s="4">
        <v>31</v>
      </c>
      <c r="AF7" s="5">
        <v>32</v>
      </c>
      <c r="AG7" s="4">
        <v>33</v>
      </c>
      <c r="AH7" s="5">
        <v>34</v>
      </c>
      <c r="AI7" s="4">
        <v>35</v>
      </c>
      <c r="AJ7" s="5">
        <v>36</v>
      </c>
      <c r="AK7" s="4">
        <v>37</v>
      </c>
      <c r="AL7" s="5">
        <v>38</v>
      </c>
      <c r="AM7" s="4">
        <v>39</v>
      </c>
      <c r="AN7" s="5">
        <v>40</v>
      </c>
      <c r="AO7" s="4">
        <v>41</v>
      </c>
      <c r="AP7" s="5">
        <v>42</v>
      </c>
      <c r="AQ7" s="4">
        <v>43</v>
      </c>
      <c r="AR7" s="5">
        <v>44</v>
      </c>
      <c r="AS7" s="4">
        <v>45</v>
      </c>
      <c r="AT7" s="5">
        <v>46</v>
      </c>
      <c r="AU7" s="4">
        <v>47</v>
      </c>
      <c r="AV7" s="5">
        <v>48</v>
      </c>
      <c r="AW7" s="4">
        <v>49</v>
      </c>
      <c r="AX7" s="5">
        <v>50</v>
      </c>
      <c r="AY7" s="4">
        <v>51</v>
      </c>
      <c r="AZ7" s="5">
        <v>52</v>
      </c>
      <c r="BA7" s="4">
        <v>53</v>
      </c>
      <c r="BB7" s="5">
        <v>54</v>
      </c>
      <c r="BC7" s="4">
        <v>55</v>
      </c>
      <c r="BD7" s="5">
        <v>56</v>
      </c>
      <c r="BE7" s="4">
        <v>57</v>
      </c>
    </row>
    <row r="8" spans="1:57" ht="12.75">
      <c r="A8" s="1" t="s">
        <v>40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166"/>
    </row>
    <row r="9" spans="1:57" ht="12.75">
      <c r="A9" s="73" t="s">
        <v>41</v>
      </c>
      <c r="B9" s="74">
        <v>3685.1</v>
      </c>
      <c r="C9" s="48">
        <f>B9*8.65</f>
        <v>31876.115</v>
      </c>
      <c r="D9" s="49">
        <f>C9*0.24088</f>
        <v>7678.318581200001</v>
      </c>
      <c r="E9" s="75">
        <v>2526.78</v>
      </c>
      <c r="F9" s="75">
        <v>545.44</v>
      </c>
      <c r="G9" s="75">
        <v>3411.21</v>
      </c>
      <c r="H9" s="75">
        <v>736.34</v>
      </c>
      <c r="I9" s="75">
        <v>8212.06</v>
      </c>
      <c r="J9" s="75">
        <v>1772.68</v>
      </c>
      <c r="K9" s="75">
        <v>5685.3</v>
      </c>
      <c r="L9" s="75">
        <v>1227.24</v>
      </c>
      <c r="M9" s="75">
        <v>2021.43</v>
      </c>
      <c r="N9" s="75">
        <v>436.34</v>
      </c>
      <c r="O9" s="81">
        <v>0</v>
      </c>
      <c r="P9" s="81">
        <v>0</v>
      </c>
      <c r="Q9" s="81">
        <v>0</v>
      </c>
      <c r="R9" s="81">
        <v>0</v>
      </c>
      <c r="S9" s="81">
        <f>E9+G9+I9+K9+M9+O9+Q9</f>
        <v>21856.78</v>
      </c>
      <c r="T9" s="97">
        <f>P9+N9+L9+J9+H9+F9+R9</f>
        <v>4718.040000000001</v>
      </c>
      <c r="U9" s="81">
        <v>45.84</v>
      </c>
      <c r="V9" s="81">
        <v>61.87</v>
      </c>
      <c r="W9" s="81">
        <v>148.97</v>
      </c>
      <c r="X9" s="81">
        <v>103.13</v>
      </c>
      <c r="Y9" s="81">
        <v>36.67</v>
      </c>
      <c r="Z9" s="82">
        <v>0</v>
      </c>
      <c r="AA9" s="82">
        <v>0</v>
      </c>
      <c r="AB9" s="82">
        <f>SUM(U9:AA9)</f>
        <v>396.48</v>
      </c>
      <c r="AC9" s="167">
        <f>D9+T9+AB9</f>
        <v>12792.838581200001</v>
      </c>
      <c r="AD9" s="168">
        <f>P9+Z9</f>
        <v>0</v>
      </c>
      <c r="AE9" s="86">
        <f>R9+AA9</f>
        <v>0</v>
      </c>
      <c r="AF9" s="86"/>
      <c r="AG9" s="87">
        <f>0.6*B9</f>
        <v>2211.06</v>
      </c>
      <c r="AH9" s="87">
        <f>B9*0.2*1.05826</f>
        <v>779.9587852</v>
      </c>
      <c r="AI9" s="87">
        <f>0.8518*B9-0.01</f>
        <v>3138.9581799999996</v>
      </c>
      <c r="AJ9" s="87">
        <f>AI9*0.18</f>
        <v>565.0124723999999</v>
      </c>
      <c r="AK9" s="87">
        <f>1.04*B9*0.9531</f>
        <v>3652.7595623999996</v>
      </c>
      <c r="AL9" s="87">
        <f>AK9*0.18</f>
        <v>657.4967212319999</v>
      </c>
      <c r="AM9" s="87">
        <f>(1.91)*B9*0.9531</f>
        <v>6708.433427099999</v>
      </c>
      <c r="AN9" s="87">
        <f>AM9*0.18</f>
        <v>1207.5180168779998</v>
      </c>
      <c r="AO9" s="87"/>
      <c r="AP9" s="87">
        <f>AO9*0.18</f>
        <v>0</v>
      </c>
      <c r="AQ9" s="89"/>
      <c r="AR9" s="89"/>
      <c r="AS9" s="88"/>
      <c r="AT9" s="88"/>
      <c r="AU9" s="88">
        <f>(AS9+AT9)*0.18</f>
        <v>0</v>
      </c>
      <c r="AV9" s="169"/>
      <c r="AW9" s="170"/>
      <c r="AX9" s="87">
        <f>AW9*1.12*1.18</f>
        <v>0</v>
      </c>
      <c r="AY9" s="51"/>
      <c r="AZ9" s="90"/>
      <c r="BA9" s="90">
        <f>AZ9*0.18</f>
        <v>0</v>
      </c>
      <c r="BB9" s="90">
        <f>SUM(AG9:BA9)-AV9-AW9</f>
        <v>18921.197165209996</v>
      </c>
      <c r="BC9" s="91"/>
      <c r="BD9" s="141">
        <f>AC9-BB9</f>
        <v>-6128.358584009995</v>
      </c>
      <c r="BE9" s="145">
        <f>AB9-S9</f>
        <v>-21460.3</v>
      </c>
    </row>
    <row r="10" spans="1:57" ht="12.75">
      <c r="A10" s="73" t="s">
        <v>42</v>
      </c>
      <c r="B10" s="74">
        <v>3685.1</v>
      </c>
      <c r="C10" s="48">
        <f>B10*8.65</f>
        <v>31876.115</v>
      </c>
      <c r="D10" s="49">
        <f>C10*0.24088</f>
        <v>7678.318581200001</v>
      </c>
      <c r="E10" s="75">
        <v>2301.82</v>
      </c>
      <c r="F10" s="75">
        <v>517.89</v>
      </c>
      <c r="G10" s="75">
        <v>3107.57</v>
      </c>
      <c r="H10" s="75">
        <v>699.11</v>
      </c>
      <c r="I10" s="75">
        <v>7481</v>
      </c>
      <c r="J10" s="75">
        <v>1683.13</v>
      </c>
      <c r="K10" s="75">
        <v>5179.21</v>
      </c>
      <c r="L10" s="75">
        <v>1165.22</v>
      </c>
      <c r="M10" s="75">
        <v>1841.47</v>
      </c>
      <c r="N10" s="75">
        <v>414.27</v>
      </c>
      <c r="O10" s="81">
        <v>0</v>
      </c>
      <c r="P10" s="81">
        <v>0</v>
      </c>
      <c r="Q10" s="81">
        <v>0</v>
      </c>
      <c r="R10" s="81">
        <v>0</v>
      </c>
      <c r="S10" s="81">
        <f>E10+G10+I10+K10+M10+O10+Q10</f>
        <v>19911.07</v>
      </c>
      <c r="T10" s="97">
        <f>P10+N10+L10+J10+H10+F10+R10</f>
        <v>4479.62</v>
      </c>
      <c r="U10" s="81">
        <v>1686.68</v>
      </c>
      <c r="V10" s="81">
        <v>2277.08</v>
      </c>
      <c r="W10" s="81">
        <v>5481.76</v>
      </c>
      <c r="X10" s="81">
        <v>3795.04</v>
      </c>
      <c r="Y10" s="81">
        <v>1349.37</v>
      </c>
      <c r="Z10" s="81">
        <v>0</v>
      </c>
      <c r="AA10" s="82">
        <v>0</v>
      </c>
      <c r="AB10" s="100">
        <f>SUM(U10:AA10)</f>
        <v>14589.93</v>
      </c>
      <c r="AC10" s="171">
        <f>D10+T10+AB10</f>
        <v>26747.8685812</v>
      </c>
      <c r="AD10" s="86">
        <f>P10+Z10</f>
        <v>0</v>
      </c>
      <c r="AE10" s="86">
        <f>R10+AA10</f>
        <v>0</v>
      </c>
      <c r="AF10" s="86"/>
      <c r="AG10" s="87">
        <f>0.6*B10</f>
        <v>2211.06</v>
      </c>
      <c r="AH10" s="87">
        <f>B10*0.201</f>
        <v>740.7051</v>
      </c>
      <c r="AI10" s="87">
        <f>0.8518*B10-0.01</f>
        <v>3138.9581799999996</v>
      </c>
      <c r="AJ10" s="87">
        <f>AI10*0.18</f>
        <v>565.0124723999999</v>
      </c>
      <c r="AK10" s="87">
        <f>1.04*B10*0.9531</f>
        <v>3652.7595623999996</v>
      </c>
      <c r="AL10" s="87">
        <f>AK10*0.18</f>
        <v>657.4967212319999</v>
      </c>
      <c r="AM10" s="87">
        <f>(1.91)*B10*0.9531</f>
        <v>6708.433427099999</v>
      </c>
      <c r="AN10" s="87">
        <f>AM10*0.18</f>
        <v>1207.5180168779998</v>
      </c>
      <c r="AO10" s="87"/>
      <c r="AP10" s="87">
        <f>AO10*0.18</f>
        <v>0</v>
      </c>
      <c r="AQ10" s="89"/>
      <c r="AR10" s="89"/>
      <c r="AS10" s="88">
        <v>10154</v>
      </c>
      <c r="AT10" s="88"/>
      <c r="AU10" s="88">
        <f>(AS10+AT10)*0.18</f>
        <v>1827.72</v>
      </c>
      <c r="AV10" s="169"/>
      <c r="AW10" s="170"/>
      <c r="AX10" s="87">
        <f>AW10*1.12*1.18</f>
        <v>0</v>
      </c>
      <c r="AY10" s="51"/>
      <c r="AZ10" s="90"/>
      <c r="BA10" s="90">
        <f>AZ10*0.18</f>
        <v>0</v>
      </c>
      <c r="BB10" s="90">
        <f>SUM(AG10:BA10)-AV10-AW10</f>
        <v>30863.66348001</v>
      </c>
      <c r="BC10" s="91"/>
      <c r="BD10" s="141">
        <f>AC10-BB10</f>
        <v>-4115.79489881</v>
      </c>
      <c r="BE10" s="145">
        <f>AB10-S10</f>
        <v>-5321.139999999999</v>
      </c>
    </row>
    <row r="11" spans="1:57" ht="12.75">
      <c r="A11" s="73" t="s">
        <v>43</v>
      </c>
      <c r="B11" s="74">
        <v>3685.1</v>
      </c>
      <c r="C11" s="48">
        <f>B11*8.65</f>
        <v>31876.115</v>
      </c>
      <c r="D11" s="49">
        <f>C11*0.24035</f>
        <v>7661.42424025</v>
      </c>
      <c r="E11" s="75">
        <v>2377.79</v>
      </c>
      <c r="F11" s="75">
        <v>525.88</v>
      </c>
      <c r="G11" s="75">
        <v>3210.09</v>
      </c>
      <c r="H11" s="75">
        <v>709.92</v>
      </c>
      <c r="I11" s="75">
        <v>7865.66</v>
      </c>
      <c r="J11" s="75">
        <v>1709.11</v>
      </c>
      <c r="K11" s="75">
        <v>5350.11</v>
      </c>
      <c r="L11" s="75">
        <v>1183.22</v>
      </c>
      <c r="M11" s="75">
        <v>1902.28</v>
      </c>
      <c r="N11" s="75">
        <v>420.68</v>
      </c>
      <c r="O11" s="82">
        <v>0</v>
      </c>
      <c r="P11" s="82">
        <v>0</v>
      </c>
      <c r="Q11" s="82">
        <v>0</v>
      </c>
      <c r="R11" s="82">
        <v>0</v>
      </c>
      <c r="S11" s="81">
        <f>E11+G11+I11+K11+M11+O11+Q11</f>
        <v>20705.93</v>
      </c>
      <c r="T11" s="97">
        <f>P11+N11+L11+J11+H11+F11+R11</f>
        <v>4548.81</v>
      </c>
      <c r="U11" s="81">
        <v>2742.55</v>
      </c>
      <c r="V11" s="81">
        <v>3645.18</v>
      </c>
      <c r="W11" s="81">
        <v>8912.96</v>
      </c>
      <c r="X11" s="81">
        <v>6075.23</v>
      </c>
      <c r="Y11" s="81">
        <v>2160.09</v>
      </c>
      <c r="Z11" s="81">
        <v>0</v>
      </c>
      <c r="AA11" s="82">
        <v>0</v>
      </c>
      <c r="AB11" s="100">
        <f>SUM(U11:AA11)</f>
        <v>23536.01</v>
      </c>
      <c r="AC11" s="171">
        <f>D11+T11+AB11</f>
        <v>35746.24424025</v>
      </c>
      <c r="AD11" s="86">
        <f>P11+Z11</f>
        <v>0</v>
      </c>
      <c r="AE11" s="86">
        <f>R11+AA11</f>
        <v>0</v>
      </c>
      <c r="AF11" s="86"/>
      <c r="AG11" s="87">
        <f>0.6*B11</f>
        <v>2211.06</v>
      </c>
      <c r="AH11" s="87">
        <f>B11*0.2*1.02524</f>
        <v>755.6223848</v>
      </c>
      <c r="AI11" s="87">
        <f>0.84932*B11</f>
        <v>3129.829132</v>
      </c>
      <c r="AJ11" s="87">
        <f>AI11*0.18</f>
        <v>563.3692437599999</v>
      </c>
      <c r="AK11" s="87">
        <f>1.04*B11*0.95033</f>
        <v>3642.14352632</v>
      </c>
      <c r="AL11" s="87">
        <f>AK11*0.18</f>
        <v>655.5858347376</v>
      </c>
      <c r="AM11" s="87">
        <f>(1.91)*B11*0.95033</f>
        <v>6688.936668529999</v>
      </c>
      <c r="AN11" s="87">
        <f>AM11*0.18</f>
        <v>1204.0086003353997</v>
      </c>
      <c r="AO11" s="87"/>
      <c r="AP11" s="87">
        <f>AO11*0.18</f>
        <v>0</v>
      </c>
      <c r="AQ11" s="89"/>
      <c r="AR11" s="89"/>
      <c r="AS11" s="88">
        <v>1030</v>
      </c>
      <c r="AT11" s="88"/>
      <c r="AU11" s="88">
        <f>(AS11+AT11)*0.18</f>
        <v>185.4</v>
      </c>
      <c r="AV11" s="169"/>
      <c r="AW11" s="170"/>
      <c r="AX11" s="87">
        <f>AW11*1.12*1.18</f>
        <v>0</v>
      </c>
      <c r="AY11" s="51"/>
      <c r="AZ11" s="90"/>
      <c r="BA11" s="90">
        <f>AZ11*0.18</f>
        <v>0</v>
      </c>
      <c r="BB11" s="90">
        <f>SUM(AG11:BA11)-AV11-AW11</f>
        <v>20065.955390483003</v>
      </c>
      <c r="BC11" s="91"/>
      <c r="BD11" s="141">
        <f>AC11-BB11</f>
        <v>15680.288849767</v>
      </c>
      <c r="BE11" s="145">
        <f>AB11-S11</f>
        <v>2830.079999999998</v>
      </c>
    </row>
    <row r="12" spans="1:57" s="15" customFormat="1" ht="15" customHeight="1">
      <c r="A12" s="9" t="s">
        <v>5</v>
      </c>
      <c r="B12" s="10"/>
      <c r="C12" s="10">
        <f aca="true" t="shared" si="0" ref="C12:BE12">SUM(C9:C11)</f>
        <v>95628.345</v>
      </c>
      <c r="D12" s="10">
        <f t="shared" si="0"/>
        <v>23018.061402650004</v>
      </c>
      <c r="E12" s="11">
        <f>SUM(E9:E11)</f>
        <v>7206.39</v>
      </c>
      <c r="F12" s="11">
        <f t="shared" si="0"/>
        <v>1589.21</v>
      </c>
      <c r="G12" s="11">
        <f t="shared" si="0"/>
        <v>9728.87</v>
      </c>
      <c r="H12" s="11">
        <f t="shared" si="0"/>
        <v>2145.37</v>
      </c>
      <c r="I12" s="11">
        <f t="shared" si="0"/>
        <v>23558.72</v>
      </c>
      <c r="J12" s="11">
        <f t="shared" si="0"/>
        <v>5164.92</v>
      </c>
      <c r="K12" s="11">
        <f t="shared" si="0"/>
        <v>16214.619999999999</v>
      </c>
      <c r="L12" s="11">
        <f t="shared" si="0"/>
        <v>3575.6800000000003</v>
      </c>
      <c r="M12" s="11">
        <f t="shared" si="0"/>
        <v>5765.18</v>
      </c>
      <c r="N12" s="11">
        <f t="shared" si="0"/>
        <v>1271.29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62473.78</v>
      </c>
      <c r="T12" s="11">
        <f t="shared" si="0"/>
        <v>13746.470000000001</v>
      </c>
      <c r="U12" s="12">
        <f t="shared" si="0"/>
        <v>4475.07</v>
      </c>
      <c r="V12" s="12">
        <f t="shared" si="0"/>
        <v>5984.129999999999</v>
      </c>
      <c r="W12" s="12">
        <f t="shared" si="0"/>
        <v>14543.689999999999</v>
      </c>
      <c r="X12" s="12">
        <f t="shared" si="0"/>
        <v>9973.4</v>
      </c>
      <c r="Y12" s="12">
        <f t="shared" si="0"/>
        <v>3546.13</v>
      </c>
      <c r="Z12" s="12">
        <f t="shared" si="0"/>
        <v>0</v>
      </c>
      <c r="AA12" s="12">
        <f t="shared" si="0"/>
        <v>0</v>
      </c>
      <c r="AB12" s="12">
        <f t="shared" si="0"/>
        <v>38522.42</v>
      </c>
      <c r="AC12" s="12">
        <f t="shared" si="0"/>
        <v>75286.95140265001</v>
      </c>
      <c r="AD12" s="12">
        <f>SUM(AD9:AD11)</f>
        <v>0</v>
      </c>
      <c r="AE12" s="45">
        <f t="shared" si="0"/>
        <v>0</v>
      </c>
      <c r="AF12" s="45">
        <f t="shared" si="0"/>
        <v>0</v>
      </c>
      <c r="AG12" s="13">
        <f t="shared" si="0"/>
        <v>6633.18</v>
      </c>
      <c r="AH12" s="13">
        <f t="shared" si="0"/>
        <v>2276.28627</v>
      </c>
      <c r="AI12" s="13">
        <f t="shared" si="0"/>
        <v>9407.745491999998</v>
      </c>
      <c r="AJ12" s="13">
        <f t="shared" si="0"/>
        <v>1693.3941885599997</v>
      </c>
      <c r="AK12" s="13">
        <f t="shared" si="0"/>
        <v>10947.66265112</v>
      </c>
      <c r="AL12" s="13">
        <f t="shared" si="0"/>
        <v>1970.5792772015998</v>
      </c>
      <c r="AM12" s="13">
        <f>SUM(AM9:AM11)</f>
        <v>20105.80352273</v>
      </c>
      <c r="AN12" s="13">
        <f>SUM(AN9:AN11)</f>
        <v>3619.0446340913995</v>
      </c>
      <c r="AO12" s="13">
        <f t="shared" si="0"/>
        <v>0</v>
      </c>
      <c r="AP12" s="13">
        <f t="shared" si="0"/>
        <v>0</v>
      </c>
      <c r="AQ12" s="13">
        <f>SUM(AQ9:AQ11)</f>
        <v>0</v>
      </c>
      <c r="AR12" s="13">
        <f>SUM(AR9:AR11)</f>
        <v>0</v>
      </c>
      <c r="AS12" s="13">
        <f>SUM(AS9:AS11)</f>
        <v>11184</v>
      </c>
      <c r="AT12" s="13">
        <f>SUM(AT9:AT11)</f>
        <v>0</v>
      </c>
      <c r="AU12" s="13">
        <f>SUM(AU9:AU11)</f>
        <v>2013.1200000000001</v>
      </c>
      <c r="AV12" s="13"/>
      <c r="AW12" s="13"/>
      <c r="AX12" s="13">
        <f t="shared" si="0"/>
        <v>0</v>
      </c>
      <c r="AY12" s="13">
        <f t="shared" si="0"/>
        <v>0</v>
      </c>
      <c r="AZ12" s="13">
        <f t="shared" si="0"/>
        <v>0</v>
      </c>
      <c r="BA12" s="13">
        <f t="shared" si="0"/>
        <v>0</v>
      </c>
      <c r="BB12" s="13">
        <f t="shared" si="0"/>
        <v>69850.816035703</v>
      </c>
      <c r="BC12" s="13">
        <f t="shared" si="0"/>
        <v>0</v>
      </c>
      <c r="BD12" s="13">
        <f t="shared" si="0"/>
        <v>5436.1353669470045</v>
      </c>
      <c r="BE12" s="14">
        <f t="shared" si="0"/>
        <v>-23951.36</v>
      </c>
    </row>
    <row r="13" spans="1:57" ht="15" customHeight="1">
      <c r="A13" s="1" t="s">
        <v>44</v>
      </c>
      <c r="B13" s="39"/>
      <c r="C13" s="8"/>
      <c r="D13" s="8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R13" s="173"/>
      <c r="S13" s="173"/>
      <c r="T13" s="173"/>
      <c r="U13" s="174"/>
      <c r="V13" s="174"/>
      <c r="W13" s="174"/>
      <c r="X13" s="174"/>
      <c r="Y13" s="174"/>
      <c r="Z13" s="174"/>
      <c r="AA13" s="175"/>
      <c r="AB13" s="175"/>
      <c r="AC13" s="44"/>
      <c r="AD13" s="44"/>
      <c r="AE13" s="176"/>
      <c r="AF13" s="176"/>
      <c r="AG13" s="141"/>
      <c r="AH13" s="141"/>
      <c r="AI13" s="141"/>
      <c r="AJ13" s="141"/>
      <c r="AK13" s="141"/>
      <c r="AL13" s="141"/>
      <c r="AM13" s="141"/>
      <c r="AN13" s="141"/>
      <c r="AO13" s="142"/>
      <c r="AP13" s="142"/>
      <c r="AQ13" s="142"/>
      <c r="AR13" s="142"/>
      <c r="AS13" s="142"/>
      <c r="AT13" s="142"/>
      <c r="AU13" s="141"/>
      <c r="AV13" s="141"/>
      <c r="AW13" s="141"/>
      <c r="AX13" s="142"/>
      <c r="AY13" s="142"/>
      <c r="AZ13" s="142"/>
      <c r="BA13" s="141"/>
      <c r="BB13" s="141"/>
      <c r="BC13" s="141"/>
      <c r="BD13" s="141"/>
      <c r="BE13" s="145"/>
    </row>
    <row r="14" spans="1:57" ht="12.75">
      <c r="A14" s="73" t="s">
        <v>45</v>
      </c>
      <c r="B14" s="177">
        <v>3685.1</v>
      </c>
      <c r="C14" s="48">
        <f>B14*8.65</f>
        <v>31876.115</v>
      </c>
      <c r="D14" s="49">
        <f>C14*0.125</f>
        <v>3984.514375</v>
      </c>
      <c r="E14" s="75">
        <v>2390.45</v>
      </c>
      <c r="F14" s="75">
        <v>525.88</v>
      </c>
      <c r="G14" s="75">
        <v>3227.23</v>
      </c>
      <c r="H14" s="75">
        <v>709.92</v>
      </c>
      <c r="I14" s="75">
        <v>7769.04</v>
      </c>
      <c r="J14" s="75">
        <v>1709.11</v>
      </c>
      <c r="K14" s="75">
        <v>5378.58</v>
      </c>
      <c r="L14" s="75">
        <v>1183.22</v>
      </c>
      <c r="M14" s="75">
        <v>1912.34</v>
      </c>
      <c r="N14" s="75">
        <v>420.68</v>
      </c>
      <c r="O14" s="82">
        <v>0</v>
      </c>
      <c r="P14" s="82">
        <v>0</v>
      </c>
      <c r="Q14" s="82">
        <v>0</v>
      </c>
      <c r="R14" s="82">
        <v>0</v>
      </c>
      <c r="S14" s="81">
        <f>E14+G14+I14+K14+M14+O14+Q14</f>
        <v>20677.640000000003</v>
      </c>
      <c r="T14" s="97">
        <f>P14+N14+L14+J14+H14+F14+R14</f>
        <v>4548.81</v>
      </c>
      <c r="U14" s="81">
        <v>1540.6</v>
      </c>
      <c r="V14" s="81">
        <v>2137.18</v>
      </c>
      <c r="W14" s="81">
        <v>5144.93</v>
      </c>
      <c r="X14" s="81">
        <v>3561.94</v>
      </c>
      <c r="Y14" s="81">
        <v>1266.42</v>
      </c>
      <c r="Z14" s="81">
        <v>0</v>
      </c>
      <c r="AA14" s="82">
        <v>0</v>
      </c>
      <c r="AB14" s="50">
        <f>SUM(U14:AA14)</f>
        <v>13651.07</v>
      </c>
      <c r="AC14" s="171">
        <f>D14+T14+AB14</f>
        <v>22184.394375</v>
      </c>
      <c r="AD14" s="86">
        <f>P14+Z14</f>
        <v>0</v>
      </c>
      <c r="AE14" s="86">
        <f>R14+AA14</f>
        <v>0</v>
      </c>
      <c r="AF14" s="86"/>
      <c r="AG14" s="87">
        <f>0.6*B14*0.9</f>
        <v>1989.954</v>
      </c>
      <c r="AH14" s="87">
        <f>B14*0.2*0.891</f>
        <v>656.68482</v>
      </c>
      <c r="AI14" s="87">
        <f>0.85*B14*0.867-0.02</f>
        <v>2715.714445</v>
      </c>
      <c r="AJ14" s="87">
        <f>AI14*0.18</f>
        <v>488.8286001</v>
      </c>
      <c r="AK14" s="87">
        <f>0.83*B14*0.8685</f>
        <v>2656.4227605</v>
      </c>
      <c r="AL14" s="87">
        <f>AK14*0.18</f>
        <v>478.15609689</v>
      </c>
      <c r="AM14" s="87">
        <f>1.91*B14*0.8686</f>
        <v>6113.6767125999995</v>
      </c>
      <c r="AN14" s="87">
        <f>AM14*0.18</f>
        <v>1100.461808268</v>
      </c>
      <c r="AO14" s="87"/>
      <c r="AP14" s="87">
        <f>AO14*0.18</f>
        <v>0</v>
      </c>
      <c r="AQ14" s="89"/>
      <c r="AR14" s="89">
        <f>AQ14*0.18</f>
        <v>0</v>
      </c>
      <c r="AS14" s="88"/>
      <c r="AT14" s="88"/>
      <c r="AU14" s="88">
        <f aca="true" t="shared" si="1" ref="AU14:AU25">(AS14+AT14)*0.18</f>
        <v>0</v>
      </c>
      <c r="AV14" s="169"/>
      <c r="AW14" s="170">
        <v>1573</v>
      </c>
      <c r="AX14" s="87">
        <f aca="true" t="shared" si="2" ref="AX14:AX22">AW14*1.12*1.18</f>
        <v>2078.8768</v>
      </c>
      <c r="AY14" s="51"/>
      <c r="AZ14" s="90"/>
      <c r="BA14" s="90">
        <f>AZ14*0.18</f>
        <v>0</v>
      </c>
      <c r="BB14" s="90">
        <f>SUM(AG14:AU14)</f>
        <v>16199.899243357999</v>
      </c>
      <c r="BC14" s="91"/>
      <c r="BD14" s="141">
        <f aca="true" t="shared" si="3" ref="BD14:BD24">AC14+AF14-BB14-BC14</f>
        <v>5984.495131642001</v>
      </c>
      <c r="BE14" s="145">
        <f>AB14-S14</f>
        <v>-7026.570000000003</v>
      </c>
    </row>
    <row r="15" spans="1:57" ht="12.75">
      <c r="A15" s="73" t="s">
        <v>46</v>
      </c>
      <c r="B15" s="177">
        <v>3685.1</v>
      </c>
      <c r="C15" s="48">
        <f>B15*8.65</f>
        <v>31876.115</v>
      </c>
      <c r="D15" s="49">
        <f>C15*0.125</f>
        <v>3984.514375</v>
      </c>
      <c r="E15" s="75">
        <v>2498.46</v>
      </c>
      <c r="F15" s="75">
        <v>525.88</v>
      </c>
      <c r="G15" s="75">
        <v>3373</v>
      </c>
      <c r="H15" s="75">
        <v>709.92</v>
      </c>
      <c r="I15" s="75">
        <v>8120.01</v>
      </c>
      <c r="J15" s="75">
        <v>1709.11</v>
      </c>
      <c r="K15" s="75">
        <v>5621.59</v>
      </c>
      <c r="L15" s="75">
        <v>1183.22</v>
      </c>
      <c r="M15" s="75">
        <v>1998.76</v>
      </c>
      <c r="N15" s="75">
        <v>420.68</v>
      </c>
      <c r="O15" s="82">
        <v>0</v>
      </c>
      <c r="P15" s="82">
        <v>0</v>
      </c>
      <c r="Q15" s="82">
        <v>0</v>
      </c>
      <c r="R15" s="82">
        <v>0</v>
      </c>
      <c r="S15" s="81">
        <f>E15+G15+I15+K15+M15+O15+Q15</f>
        <v>21611.82</v>
      </c>
      <c r="T15" s="97">
        <f>P15+N15+L15+J15+H15+F15+R15</f>
        <v>4548.81</v>
      </c>
      <c r="U15" s="81">
        <v>2293.28</v>
      </c>
      <c r="V15" s="81">
        <v>3096.07</v>
      </c>
      <c r="W15" s="81">
        <v>7453.4</v>
      </c>
      <c r="X15" s="81">
        <v>5160.09</v>
      </c>
      <c r="Y15" s="81">
        <v>1834.73</v>
      </c>
      <c r="Z15" s="81">
        <v>0</v>
      </c>
      <c r="AA15" s="82">
        <v>0</v>
      </c>
      <c r="AB15" s="100">
        <f>SUM(U15:AA15)</f>
        <v>19837.57</v>
      </c>
      <c r="AC15" s="171">
        <f>D15+T15+AB15</f>
        <v>28370.894375</v>
      </c>
      <c r="AD15" s="86">
        <f>P15+Z15</f>
        <v>0</v>
      </c>
      <c r="AE15" s="86">
        <f>R15+AA15</f>
        <v>0</v>
      </c>
      <c r="AF15" s="86"/>
      <c r="AG15" s="87">
        <f>0.6*B15*0.9</f>
        <v>1989.954</v>
      </c>
      <c r="AH15" s="87">
        <f>B15*0.2*0.9153</f>
        <v>674.5944059999999</v>
      </c>
      <c r="AI15" s="87">
        <f>0.85*B15*0.867</f>
        <v>2715.734445</v>
      </c>
      <c r="AJ15" s="87">
        <f>AI15*0.18</f>
        <v>488.83220009999997</v>
      </c>
      <c r="AK15" s="87">
        <f>0.83*B15*0.8684</f>
        <v>2656.1168971999996</v>
      </c>
      <c r="AL15" s="87">
        <f>AK15*0.18</f>
        <v>478.1010414959999</v>
      </c>
      <c r="AM15" s="87">
        <f>(1.91)*B15*0.8684</f>
        <v>6112.269004399999</v>
      </c>
      <c r="AN15" s="87">
        <f>AM15*0.18</f>
        <v>1100.2084207919997</v>
      </c>
      <c r="AO15" s="87"/>
      <c r="AP15" s="87">
        <f>AO15*0.18</f>
        <v>0</v>
      </c>
      <c r="AQ15" s="89"/>
      <c r="AR15" s="89">
        <f>AQ15*0.18</f>
        <v>0</v>
      </c>
      <c r="AS15" s="88">
        <v>7625</v>
      </c>
      <c r="AT15" s="88"/>
      <c r="AU15" s="88">
        <f t="shared" si="1"/>
        <v>1372.5</v>
      </c>
      <c r="AV15" s="169"/>
      <c r="AW15" s="170">
        <v>1204</v>
      </c>
      <c r="AX15" s="87">
        <f t="shared" si="2"/>
        <v>1591.2064</v>
      </c>
      <c r="AY15" s="51"/>
      <c r="AZ15" s="90"/>
      <c r="BA15" s="90">
        <f>AZ15*0.18</f>
        <v>0</v>
      </c>
      <c r="BB15" s="90">
        <f>SUM(AG15:AU15)+AY15</f>
        <v>25213.310414988</v>
      </c>
      <c r="BC15" s="178"/>
      <c r="BD15" s="141">
        <f t="shared" si="3"/>
        <v>3157.5839600120016</v>
      </c>
      <c r="BE15" s="145">
        <f aca="true" t="shared" si="4" ref="BE15:BE24">AB15-S15</f>
        <v>-1774.25</v>
      </c>
    </row>
    <row r="16" spans="1:57" ht="12.75">
      <c r="A16" s="73" t="s">
        <v>47</v>
      </c>
      <c r="B16" s="179">
        <v>3685.1</v>
      </c>
      <c r="C16" s="48">
        <f aca="true" t="shared" si="5" ref="C16:C25">B16*8.65</f>
        <v>31876.115</v>
      </c>
      <c r="D16" s="49">
        <f>C16*0.125</f>
        <v>3984.514375</v>
      </c>
      <c r="E16" s="180">
        <v>2470.01</v>
      </c>
      <c r="F16" s="180">
        <v>543.84</v>
      </c>
      <c r="G16" s="180">
        <v>3334.64</v>
      </c>
      <c r="H16" s="180">
        <v>734.17</v>
      </c>
      <c r="I16" s="180">
        <v>8027.65</v>
      </c>
      <c r="J16" s="180">
        <v>1767.49</v>
      </c>
      <c r="K16" s="180">
        <v>5557.67</v>
      </c>
      <c r="L16" s="180">
        <v>1223.61</v>
      </c>
      <c r="M16" s="180">
        <v>1976.08</v>
      </c>
      <c r="N16" s="180">
        <v>435.05</v>
      </c>
      <c r="O16" s="82">
        <v>0</v>
      </c>
      <c r="P16" s="82">
        <v>0</v>
      </c>
      <c r="Q16" s="82">
        <v>0</v>
      </c>
      <c r="R16" s="82">
        <v>0</v>
      </c>
      <c r="S16" s="81">
        <f aca="true" t="shared" si="6" ref="S16:S25">E16+G16+I16+K16+M16+O16+Q16</f>
        <v>21366.050000000003</v>
      </c>
      <c r="T16" s="97">
        <f aca="true" t="shared" si="7" ref="T16:T25">P16+N16+L16+J16+H16+F16+R16</f>
        <v>4704.16</v>
      </c>
      <c r="U16" s="40">
        <v>2374.59</v>
      </c>
      <c r="V16" s="40">
        <v>3205.88</v>
      </c>
      <c r="W16" s="40">
        <v>7718.21</v>
      </c>
      <c r="X16" s="40">
        <v>5343.66</v>
      </c>
      <c r="Y16" s="40">
        <v>1900.04</v>
      </c>
      <c r="Z16" s="40">
        <v>0</v>
      </c>
      <c r="AA16" s="52">
        <v>0</v>
      </c>
      <c r="AB16" s="50">
        <f aca="true" t="shared" si="8" ref="AB16:AB22">SUM(U16:AA16)</f>
        <v>20542.38</v>
      </c>
      <c r="AC16" s="171">
        <f aca="true" t="shared" si="9" ref="AC16:AC22">D16+T16+AB16</f>
        <v>29231.054375</v>
      </c>
      <c r="AD16" s="86">
        <f aca="true" t="shared" si="10" ref="AD16:AD25">P16+Z16</f>
        <v>0</v>
      </c>
      <c r="AE16" s="86">
        <f aca="true" t="shared" si="11" ref="AE16:AE25">R16+AA16</f>
        <v>0</v>
      </c>
      <c r="AF16" s="86"/>
      <c r="AG16" s="87">
        <f>0.6*B16*0.9</f>
        <v>1989.954</v>
      </c>
      <c r="AH16" s="53">
        <f>B16*0.2*0.9082</f>
        <v>669.361564</v>
      </c>
      <c r="AI16" s="87">
        <f>0.85*B16*0.8675</f>
        <v>2717.3006125</v>
      </c>
      <c r="AJ16" s="87">
        <f aca="true" t="shared" si="12" ref="AJ16:AJ25">AI16*0.18</f>
        <v>489.11411025</v>
      </c>
      <c r="AK16" s="53">
        <f>0.83*B16*0.838</f>
        <v>2563.1344539999996</v>
      </c>
      <c r="AL16" s="87">
        <f aca="true" t="shared" si="13" ref="AL16:AL25">AK16*0.18</f>
        <v>461.3642017199999</v>
      </c>
      <c r="AM16" s="87">
        <f>1.91*B16*0.8381</f>
        <v>5899.001212099999</v>
      </c>
      <c r="AN16" s="87">
        <f aca="true" t="shared" si="14" ref="AN16:AN25">AM16*0.18</f>
        <v>1061.8202181779998</v>
      </c>
      <c r="AO16" s="87"/>
      <c r="AP16" s="87">
        <f aca="true" t="shared" si="15" ref="AP16:AR25">AO16*0.18</f>
        <v>0</v>
      </c>
      <c r="AQ16" s="89"/>
      <c r="AR16" s="89">
        <f>AQ16*0.18</f>
        <v>0</v>
      </c>
      <c r="AS16" s="88">
        <v>2766</v>
      </c>
      <c r="AT16" s="88"/>
      <c r="AU16" s="88">
        <f t="shared" si="1"/>
        <v>497.88</v>
      </c>
      <c r="AV16" s="169"/>
      <c r="AW16" s="170">
        <v>976</v>
      </c>
      <c r="AX16" s="87">
        <f t="shared" si="2"/>
        <v>1289.8816000000002</v>
      </c>
      <c r="AY16" s="51"/>
      <c r="AZ16" s="90"/>
      <c r="BA16" s="90">
        <f>AZ16*0.18</f>
        <v>0</v>
      </c>
      <c r="BB16" s="90">
        <f>SUM(AG16:AU16)</f>
        <v>19114.930372748</v>
      </c>
      <c r="BC16" s="178"/>
      <c r="BD16" s="141">
        <f t="shared" si="3"/>
        <v>10116.124002252</v>
      </c>
      <c r="BE16" s="145">
        <f t="shared" si="4"/>
        <v>-823.6700000000019</v>
      </c>
    </row>
    <row r="17" spans="1:57" ht="12.75">
      <c r="A17" s="73" t="s">
        <v>48</v>
      </c>
      <c r="B17" s="181">
        <v>3685.1</v>
      </c>
      <c r="C17" s="48">
        <f t="shared" si="5"/>
        <v>31876.115</v>
      </c>
      <c r="D17" s="49">
        <f>C17*0.125</f>
        <v>3984.514375</v>
      </c>
      <c r="E17" s="180">
        <v>2527.29</v>
      </c>
      <c r="F17" s="180">
        <v>539.82</v>
      </c>
      <c r="G17" s="180">
        <v>3411.9</v>
      </c>
      <c r="H17" s="180">
        <v>728.75</v>
      </c>
      <c r="I17" s="180">
        <v>8213.7</v>
      </c>
      <c r="J17" s="180">
        <v>1754.42</v>
      </c>
      <c r="K17" s="180">
        <v>5686.45</v>
      </c>
      <c r="L17" s="180">
        <v>1214.59</v>
      </c>
      <c r="M17" s="180">
        <v>2021.84</v>
      </c>
      <c r="N17" s="180">
        <v>431.83</v>
      </c>
      <c r="O17" s="52">
        <v>0</v>
      </c>
      <c r="P17" s="52">
        <v>0</v>
      </c>
      <c r="Q17" s="52">
        <v>0</v>
      </c>
      <c r="R17" s="52">
        <v>0</v>
      </c>
      <c r="S17" s="81">
        <f t="shared" si="6"/>
        <v>21861.18</v>
      </c>
      <c r="T17" s="97">
        <f t="shared" si="7"/>
        <v>4669.41</v>
      </c>
      <c r="U17" s="81">
        <v>2313.68</v>
      </c>
      <c r="V17" s="81">
        <v>3123.53</v>
      </c>
      <c r="W17" s="81">
        <v>7519.58</v>
      </c>
      <c r="X17" s="81">
        <v>5205.92</v>
      </c>
      <c r="Y17" s="81">
        <v>1851</v>
      </c>
      <c r="Z17" s="81">
        <v>0</v>
      </c>
      <c r="AA17" s="81">
        <v>0</v>
      </c>
      <c r="AB17" s="50">
        <f t="shared" si="8"/>
        <v>20013.71</v>
      </c>
      <c r="AC17" s="171">
        <f t="shared" si="9"/>
        <v>28667.634375</v>
      </c>
      <c r="AD17" s="86">
        <f t="shared" si="10"/>
        <v>0</v>
      </c>
      <c r="AE17" s="86">
        <f t="shared" si="11"/>
        <v>0</v>
      </c>
      <c r="AF17" s="86"/>
      <c r="AG17" s="87">
        <f>0.6*B17*0.9</f>
        <v>1989.954</v>
      </c>
      <c r="AH17" s="53">
        <f>B17*0.2*0.9234</f>
        <v>680.564268</v>
      </c>
      <c r="AI17" s="87">
        <f>0.85*B17*0.8934</f>
        <v>2798.428089</v>
      </c>
      <c r="AJ17" s="87">
        <f t="shared" si="12"/>
        <v>503.71705602</v>
      </c>
      <c r="AK17" s="87">
        <f>0.83*B17*0.8498</f>
        <v>2599.2263233999997</v>
      </c>
      <c r="AL17" s="87">
        <f t="shared" si="13"/>
        <v>467.86073821199994</v>
      </c>
      <c r="AM17" s="87">
        <f>(1.91)*B17*0.8498</f>
        <v>5981.352141799999</v>
      </c>
      <c r="AN17" s="87">
        <f t="shared" si="14"/>
        <v>1076.6433855239998</v>
      </c>
      <c r="AO17" s="87"/>
      <c r="AP17" s="87">
        <f t="shared" si="15"/>
        <v>0</v>
      </c>
      <c r="AQ17" s="89"/>
      <c r="AR17" s="89">
        <f t="shared" si="15"/>
        <v>0</v>
      </c>
      <c r="AS17" s="88">
        <v>5497.67</v>
      </c>
      <c r="AT17" s="88"/>
      <c r="AU17" s="88">
        <f t="shared" si="1"/>
        <v>989.5806</v>
      </c>
      <c r="AV17" s="169"/>
      <c r="AW17" s="182">
        <v>853</v>
      </c>
      <c r="AX17" s="87">
        <f t="shared" si="2"/>
        <v>1127.3248</v>
      </c>
      <c r="AY17" s="183"/>
      <c r="AZ17" s="142"/>
      <c r="BA17" s="141">
        <f aca="true" t="shared" si="16" ref="BA17:BA25">AZ17*0.18</f>
        <v>0</v>
      </c>
      <c r="BB17" s="141">
        <f>SUM(AG17:BA17)-AV17-AW17+AX14+AX15+AX16</f>
        <v>28672.286201956</v>
      </c>
      <c r="BC17" s="178"/>
      <c r="BD17" s="141">
        <f t="shared" si="3"/>
        <v>-4.65182695600015</v>
      </c>
      <c r="BE17" s="145">
        <f t="shared" si="4"/>
        <v>-1847.4700000000012</v>
      </c>
    </row>
    <row r="18" spans="1:57" ht="12.75">
      <c r="A18" s="73" t="s">
        <v>49</v>
      </c>
      <c r="B18" s="179">
        <v>3683.7</v>
      </c>
      <c r="C18" s="48">
        <f t="shared" si="5"/>
        <v>31864.005</v>
      </c>
      <c r="D18" s="54">
        <f aca="true" t="shared" si="17" ref="D18:D25">C18-E18-F18-G18-H18-I18-J18-K18-L18-M18-N18</f>
        <v>3144.125000000004</v>
      </c>
      <c r="E18" s="180">
        <v>2692.43</v>
      </c>
      <c r="F18" s="180">
        <v>624.6</v>
      </c>
      <c r="G18" s="180">
        <v>3646.59</v>
      </c>
      <c r="H18" s="180">
        <v>846.62</v>
      </c>
      <c r="I18" s="180">
        <v>8762.26</v>
      </c>
      <c r="J18" s="180">
        <v>2033.29</v>
      </c>
      <c r="K18" s="180">
        <v>6069.79</v>
      </c>
      <c r="L18" s="180">
        <v>1408.74</v>
      </c>
      <c r="M18" s="180">
        <v>2135.95</v>
      </c>
      <c r="N18" s="180">
        <v>499.61</v>
      </c>
      <c r="O18" s="52">
        <v>0</v>
      </c>
      <c r="P18" s="52">
        <v>0</v>
      </c>
      <c r="Q18" s="52">
        <v>0</v>
      </c>
      <c r="R18" s="52">
        <v>0</v>
      </c>
      <c r="S18" s="81">
        <f t="shared" si="6"/>
        <v>23307.02</v>
      </c>
      <c r="T18" s="97">
        <f t="shared" si="7"/>
        <v>5412.860000000001</v>
      </c>
      <c r="U18" s="40">
        <v>2787.27</v>
      </c>
      <c r="V18" s="40">
        <v>3762.87</v>
      </c>
      <c r="W18" s="40">
        <v>9058.43</v>
      </c>
      <c r="X18" s="40">
        <v>6271.13</v>
      </c>
      <c r="Y18" s="40">
        <v>2229.7</v>
      </c>
      <c r="Z18" s="40">
        <v>0</v>
      </c>
      <c r="AA18" s="52">
        <v>0</v>
      </c>
      <c r="AB18" s="50">
        <f t="shared" si="8"/>
        <v>24109.4</v>
      </c>
      <c r="AC18" s="171">
        <f t="shared" si="9"/>
        <v>32666.385000000006</v>
      </c>
      <c r="AD18" s="86">
        <f t="shared" si="10"/>
        <v>0</v>
      </c>
      <c r="AE18" s="86">
        <f t="shared" si="11"/>
        <v>0</v>
      </c>
      <c r="AF18" s="86"/>
      <c r="AG18" s="87">
        <f aca="true" t="shared" si="18" ref="AG18:AG25">0.6*B18</f>
        <v>2210.22</v>
      </c>
      <c r="AH18" s="87">
        <f>B18*0.2*1.01</f>
        <v>744.1074</v>
      </c>
      <c r="AI18" s="87">
        <f>0.85*B18</f>
        <v>3131.145</v>
      </c>
      <c r="AJ18" s="87">
        <f t="shared" si="12"/>
        <v>563.6061</v>
      </c>
      <c r="AK18" s="87">
        <f>0.83*B18</f>
        <v>3057.4709999999995</v>
      </c>
      <c r="AL18" s="87">
        <f t="shared" si="13"/>
        <v>550.3447799999999</v>
      </c>
      <c r="AM18" s="87">
        <f>(1.91)*B18</f>
        <v>7035.866999999999</v>
      </c>
      <c r="AN18" s="87">
        <f t="shared" si="14"/>
        <v>1266.4560599999998</v>
      </c>
      <c r="AO18" s="87"/>
      <c r="AP18" s="87">
        <f t="shared" si="15"/>
        <v>0</v>
      </c>
      <c r="AQ18" s="89"/>
      <c r="AR18" s="89">
        <f t="shared" si="15"/>
        <v>0</v>
      </c>
      <c r="AS18" s="88">
        <v>426.36</v>
      </c>
      <c r="AT18" s="88"/>
      <c r="AU18" s="88">
        <f t="shared" si="1"/>
        <v>76.7448</v>
      </c>
      <c r="AV18" s="169"/>
      <c r="AW18" s="182">
        <v>672</v>
      </c>
      <c r="AX18" s="87">
        <f t="shared" si="2"/>
        <v>888.1152000000001</v>
      </c>
      <c r="AY18" s="51"/>
      <c r="AZ18" s="90"/>
      <c r="BA18" s="90">
        <f t="shared" si="16"/>
        <v>0</v>
      </c>
      <c r="BB18" s="90">
        <f>SUM(AG18:BA18)-AV18-AW18</f>
        <v>19950.43734</v>
      </c>
      <c r="BC18" s="178"/>
      <c r="BD18" s="141">
        <f t="shared" si="3"/>
        <v>12715.947660000005</v>
      </c>
      <c r="BE18" s="145">
        <f>AB18-S18</f>
        <v>802.380000000001</v>
      </c>
    </row>
    <row r="19" spans="1:57" ht="12.75">
      <c r="A19" s="73" t="s">
        <v>50</v>
      </c>
      <c r="B19" s="179">
        <v>3683.7</v>
      </c>
      <c r="C19" s="48">
        <f t="shared" si="5"/>
        <v>31864.005</v>
      </c>
      <c r="D19" s="54">
        <f t="shared" si="17"/>
        <v>3021.5650000000073</v>
      </c>
      <c r="E19" s="180">
        <v>2704.51</v>
      </c>
      <c r="F19" s="180">
        <v>624.6</v>
      </c>
      <c r="G19" s="180">
        <v>3662.91</v>
      </c>
      <c r="H19" s="180">
        <v>846.62</v>
      </c>
      <c r="I19" s="180">
        <v>8801.56</v>
      </c>
      <c r="J19" s="180">
        <v>2033.29</v>
      </c>
      <c r="K19" s="180">
        <v>6096.98</v>
      </c>
      <c r="L19" s="180">
        <v>1408.74</v>
      </c>
      <c r="M19" s="180">
        <v>2163.62</v>
      </c>
      <c r="N19" s="180">
        <v>499.61</v>
      </c>
      <c r="O19" s="52">
        <v>0</v>
      </c>
      <c r="P19" s="52">
        <v>0</v>
      </c>
      <c r="Q19" s="52">
        <v>0</v>
      </c>
      <c r="R19" s="52">
        <v>0</v>
      </c>
      <c r="S19" s="81">
        <f t="shared" si="6"/>
        <v>23429.579999999998</v>
      </c>
      <c r="T19" s="97">
        <f t="shared" si="7"/>
        <v>5412.860000000001</v>
      </c>
      <c r="U19" s="40">
        <v>2473.17</v>
      </c>
      <c r="V19" s="40">
        <v>3347.09</v>
      </c>
      <c r="W19" s="40">
        <v>8046.12</v>
      </c>
      <c r="X19" s="40">
        <v>5572.71</v>
      </c>
      <c r="Y19" s="40">
        <v>1978.53</v>
      </c>
      <c r="Z19" s="40">
        <v>0</v>
      </c>
      <c r="AA19" s="52">
        <v>0</v>
      </c>
      <c r="AB19" s="50">
        <f t="shared" si="8"/>
        <v>21417.62</v>
      </c>
      <c r="AC19" s="171">
        <f t="shared" si="9"/>
        <v>29852.045000000006</v>
      </c>
      <c r="AD19" s="86">
        <f t="shared" si="10"/>
        <v>0</v>
      </c>
      <c r="AE19" s="86">
        <f t="shared" si="11"/>
        <v>0</v>
      </c>
      <c r="AF19" s="86"/>
      <c r="AG19" s="87">
        <f t="shared" si="18"/>
        <v>2210.22</v>
      </c>
      <c r="AH19" s="87">
        <f>B19*0.2*1.01045</f>
        <v>744.438933</v>
      </c>
      <c r="AI19" s="87">
        <f>0.85*B19</f>
        <v>3131.145</v>
      </c>
      <c r="AJ19" s="87">
        <f t="shared" si="12"/>
        <v>563.6061</v>
      </c>
      <c r="AK19" s="87">
        <f>0.83*B19</f>
        <v>3057.4709999999995</v>
      </c>
      <c r="AL19" s="87">
        <f t="shared" si="13"/>
        <v>550.3447799999999</v>
      </c>
      <c r="AM19" s="87">
        <f>(1.91)*B19</f>
        <v>7035.866999999999</v>
      </c>
      <c r="AN19" s="87">
        <f t="shared" si="14"/>
        <v>1266.4560599999998</v>
      </c>
      <c r="AO19" s="87"/>
      <c r="AP19" s="87">
        <f t="shared" si="15"/>
        <v>0</v>
      </c>
      <c r="AQ19" s="89"/>
      <c r="AR19" s="89">
        <f t="shared" si="15"/>
        <v>0</v>
      </c>
      <c r="AS19" s="88">
        <v>53265.31</v>
      </c>
      <c r="AT19" s="88"/>
      <c r="AU19" s="88">
        <f t="shared" si="1"/>
        <v>9587.755799999999</v>
      </c>
      <c r="AV19" s="169"/>
      <c r="AW19" s="182">
        <v>708</v>
      </c>
      <c r="AX19" s="87">
        <f t="shared" si="2"/>
        <v>935.6928</v>
      </c>
      <c r="AY19" s="51"/>
      <c r="AZ19" s="90"/>
      <c r="BA19" s="90">
        <f t="shared" si="16"/>
        <v>0</v>
      </c>
      <c r="BB19" s="90">
        <f>SUM(AG19:BA19)-AV19-AW19</f>
        <v>82348.307473</v>
      </c>
      <c r="BC19" s="178"/>
      <c r="BD19" s="141">
        <f t="shared" si="3"/>
        <v>-52496.26247299999</v>
      </c>
      <c r="BE19" s="145">
        <f t="shared" si="4"/>
        <v>-2011.9599999999991</v>
      </c>
    </row>
    <row r="20" spans="1:57" ht="12.75">
      <c r="A20" s="73" t="s">
        <v>51</v>
      </c>
      <c r="B20" s="177">
        <v>3683.7</v>
      </c>
      <c r="C20" s="48">
        <f t="shared" si="5"/>
        <v>31864.005</v>
      </c>
      <c r="D20" s="54">
        <f t="shared" si="17"/>
        <v>3031.1550000000025</v>
      </c>
      <c r="E20" s="180">
        <v>2703.41</v>
      </c>
      <c r="F20" s="180">
        <v>624.6</v>
      </c>
      <c r="G20" s="180">
        <v>3661.41</v>
      </c>
      <c r="H20" s="180">
        <v>846.62</v>
      </c>
      <c r="I20" s="180">
        <v>8797.95</v>
      </c>
      <c r="J20" s="180">
        <v>2033.29</v>
      </c>
      <c r="K20" s="180">
        <v>6094.49</v>
      </c>
      <c r="L20" s="180">
        <v>1408.74</v>
      </c>
      <c r="M20" s="180">
        <v>2162.73</v>
      </c>
      <c r="N20" s="180">
        <v>499.61</v>
      </c>
      <c r="O20" s="52">
        <v>0</v>
      </c>
      <c r="P20" s="52">
        <v>0</v>
      </c>
      <c r="Q20" s="52">
        <v>0</v>
      </c>
      <c r="R20" s="52">
        <v>0</v>
      </c>
      <c r="S20" s="81">
        <f t="shared" si="6"/>
        <v>23419.99</v>
      </c>
      <c r="T20" s="97">
        <f t="shared" si="7"/>
        <v>5412.860000000001</v>
      </c>
      <c r="U20" s="40">
        <v>2645.65</v>
      </c>
      <c r="V20" s="40">
        <v>3582.15</v>
      </c>
      <c r="W20" s="40">
        <v>8609.06</v>
      </c>
      <c r="X20" s="40">
        <v>5963.25</v>
      </c>
      <c r="Y20" s="40">
        <v>2116.54</v>
      </c>
      <c r="Z20" s="40">
        <v>0</v>
      </c>
      <c r="AA20" s="52">
        <v>0</v>
      </c>
      <c r="AB20" s="50">
        <f t="shared" si="8"/>
        <v>22916.65</v>
      </c>
      <c r="AC20" s="171">
        <f t="shared" si="9"/>
        <v>31360.665000000005</v>
      </c>
      <c r="AD20" s="86">
        <f t="shared" si="10"/>
        <v>0</v>
      </c>
      <c r="AE20" s="86">
        <f t="shared" si="11"/>
        <v>0</v>
      </c>
      <c r="AF20" s="86">
        <f>'[1]Т07-09'!$I$68+'[1]Т07-09'!$I$87</f>
        <v>1116.07586</v>
      </c>
      <c r="AG20" s="87">
        <f t="shared" si="18"/>
        <v>2210.22</v>
      </c>
      <c r="AH20" s="87">
        <f>B20*0.2*0.99426</f>
        <v>732.5111124</v>
      </c>
      <c r="AI20" s="87">
        <f>0.85*B20*0.9857</f>
        <v>3086.3696265</v>
      </c>
      <c r="AJ20" s="87">
        <f t="shared" si="12"/>
        <v>555.54653277</v>
      </c>
      <c r="AK20" s="87">
        <f>0.83*B20*0.9905</f>
        <v>3028.4250254999997</v>
      </c>
      <c r="AL20" s="87">
        <f t="shared" si="13"/>
        <v>545.11650459</v>
      </c>
      <c r="AM20" s="87">
        <f>(1.91)*B20*0.9904</f>
        <v>6968.322676799999</v>
      </c>
      <c r="AN20" s="87">
        <f t="shared" si="14"/>
        <v>1254.2980818239996</v>
      </c>
      <c r="AO20" s="87"/>
      <c r="AP20" s="87">
        <f t="shared" si="15"/>
        <v>0</v>
      </c>
      <c r="AQ20" s="89"/>
      <c r="AR20" s="89">
        <f t="shared" si="15"/>
        <v>0</v>
      </c>
      <c r="AS20" s="88">
        <v>27500.11</v>
      </c>
      <c r="AT20" s="88"/>
      <c r="AU20" s="88">
        <f t="shared" si="1"/>
        <v>4950.0198</v>
      </c>
      <c r="AV20" s="169"/>
      <c r="AW20" s="182">
        <v>624</v>
      </c>
      <c r="AX20" s="87">
        <f t="shared" si="2"/>
        <v>824.6784000000001</v>
      </c>
      <c r="AY20" s="51"/>
      <c r="AZ20" s="90"/>
      <c r="BA20" s="90">
        <f t="shared" si="16"/>
        <v>0</v>
      </c>
      <c r="BB20" s="90">
        <f>SUM(AG20:BA20)-AV20-AW20</f>
        <v>51655.617760384</v>
      </c>
      <c r="BC20" s="178">
        <f>'[2]Т07-09'!$O$68+'[2]Т07-09'!$O$87</f>
        <v>481.2467290200001</v>
      </c>
      <c r="BD20" s="141">
        <f t="shared" si="3"/>
        <v>-19660.12362940399</v>
      </c>
      <c r="BE20" s="145">
        <f t="shared" si="4"/>
        <v>-503.34000000000015</v>
      </c>
    </row>
    <row r="21" spans="1:57" ht="12.75">
      <c r="A21" s="73" t="s">
        <v>52</v>
      </c>
      <c r="B21" s="177">
        <v>3683.7</v>
      </c>
      <c r="C21" s="48">
        <f t="shared" si="5"/>
        <v>31864.005</v>
      </c>
      <c r="D21" s="54">
        <f t="shared" si="17"/>
        <v>3020.955000000001</v>
      </c>
      <c r="E21" s="180">
        <v>2692.59</v>
      </c>
      <c r="F21" s="180">
        <v>636.59</v>
      </c>
      <c r="G21" s="180">
        <v>3646.74</v>
      </c>
      <c r="H21" s="180">
        <v>862.89</v>
      </c>
      <c r="I21" s="180">
        <v>8762.7</v>
      </c>
      <c r="J21" s="180">
        <v>2072.37</v>
      </c>
      <c r="K21" s="180">
        <v>6070.07</v>
      </c>
      <c r="L21" s="180">
        <v>1435.81</v>
      </c>
      <c r="M21" s="180">
        <v>2154.09</v>
      </c>
      <c r="N21" s="180">
        <v>509.2</v>
      </c>
      <c r="O21" s="52">
        <v>0</v>
      </c>
      <c r="P21" s="52">
        <v>0</v>
      </c>
      <c r="Q21" s="40">
        <v>0</v>
      </c>
      <c r="R21" s="40">
        <v>0</v>
      </c>
      <c r="S21" s="81">
        <f t="shared" si="6"/>
        <v>23326.19</v>
      </c>
      <c r="T21" s="97">
        <f t="shared" si="7"/>
        <v>5516.860000000001</v>
      </c>
      <c r="U21" s="40">
        <v>2513.5</v>
      </c>
      <c r="V21" s="40">
        <v>3403.94</v>
      </c>
      <c r="W21" s="40">
        <v>8179.55</v>
      </c>
      <c r="X21" s="40">
        <v>5666.14</v>
      </c>
      <c r="Y21" s="40">
        <v>2010.82</v>
      </c>
      <c r="Z21" s="40">
        <v>0</v>
      </c>
      <c r="AA21" s="52">
        <v>0</v>
      </c>
      <c r="AB21" s="50">
        <f t="shared" si="8"/>
        <v>21773.95</v>
      </c>
      <c r="AC21" s="171">
        <f t="shared" si="9"/>
        <v>30311.765000000003</v>
      </c>
      <c r="AD21" s="86">
        <f t="shared" si="10"/>
        <v>0</v>
      </c>
      <c r="AE21" s="86">
        <f t="shared" si="11"/>
        <v>0</v>
      </c>
      <c r="AF21" s="86">
        <f>'[1]Т07-09'!$I$68+'[1]Т07-09'!$I$87</f>
        <v>1116.07586</v>
      </c>
      <c r="AG21" s="87">
        <f t="shared" si="18"/>
        <v>2210.22</v>
      </c>
      <c r="AH21" s="87">
        <f>B21*0.2*0.99875</f>
        <v>735.819075</v>
      </c>
      <c r="AI21" s="87">
        <f>0.85*B21*0.98526</f>
        <v>3084.9919227</v>
      </c>
      <c r="AJ21" s="87">
        <f t="shared" si="12"/>
        <v>555.298546086</v>
      </c>
      <c r="AK21" s="87">
        <f>0.83*B21*0.99</f>
        <v>3026.8962899999997</v>
      </c>
      <c r="AL21" s="87">
        <f t="shared" si="13"/>
        <v>544.8413321999999</v>
      </c>
      <c r="AM21" s="87">
        <f>(1.91)*B21*0.99</f>
        <v>6965.50833</v>
      </c>
      <c r="AN21" s="87">
        <f t="shared" si="14"/>
        <v>1253.7914993999998</v>
      </c>
      <c r="AO21" s="87"/>
      <c r="AP21" s="87">
        <f t="shared" si="15"/>
        <v>0</v>
      </c>
      <c r="AQ21" s="89"/>
      <c r="AR21" s="89">
        <f t="shared" si="15"/>
        <v>0</v>
      </c>
      <c r="AS21" s="88">
        <v>14381</v>
      </c>
      <c r="AT21" s="88"/>
      <c r="AU21" s="88">
        <f t="shared" si="1"/>
        <v>2588.58</v>
      </c>
      <c r="AV21" s="169"/>
      <c r="AW21" s="182">
        <v>608</v>
      </c>
      <c r="AX21" s="87">
        <f t="shared" si="2"/>
        <v>803.5328</v>
      </c>
      <c r="AY21" s="51"/>
      <c r="AZ21" s="90"/>
      <c r="BA21" s="90">
        <f t="shared" si="16"/>
        <v>0</v>
      </c>
      <c r="BB21" s="90">
        <f>SUM(AG21:BA21)-AV21-AW21</f>
        <v>36150.479795385996</v>
      </c>
      <c r="BC21" s="178">
        <f>'[2]Т08-09'!$O$69+'[2]Т08-09'!$O$88</f>
        <v>481.028066406</v>
      </c>
      <c r="BD21" s="141">
        <f t="shared" si="3"/>
        <v>-5203.667001791992</v>
      </c>
      <c r="BE21" s="145">
        <f t="shared" si="4"/>
        <v>-1552.239999999998</v>
      </c>
    </row>
    <row r="22" spans="1:57" ht="12.75">
      <c r="A22" s="73" t="s">
        <v>53</v>
      </c>
      <c r="B22" s="74">
        <v>3683.7</v>
      </c>
      <c r="C22" s="48">
        <f t="shared" si="5"/>
        <v>31864.005</v>
      </c>
      <c r="D22" s="54">
        <f t="shared" si="17"/>
        <v>3036.525</v>
      </c>
      <c r="E22" s="75">
        <v>2689.74</v>
      </c>
      <c r="F22" s="75">
        <v>637.62</v>
      </c>
      <c r="G22" s="75">
        <v>3642.92</v>
      </c>
      <c r="H22" s="75">
        <v>864.28</v>
      </c>
      <c r="I22" s="75">
        <v>8753.55</v>
      </c>
      <c r="J22" s="75">
        <v>2075.67</v>
      </c>
      <c r="K22" s="75">
        <v>6063.76</v>
      </c>
      <c r="L22" s="75">
        <v>1438.09</v>
      </c>
      <c r="M22" s="75">
        <v>2151.83</v>
      </c>
      <c r="N22" s="75">
        <v>510.02</v>
      </c>
      <c r="O22" s="82">
        <v>0</v>
      </c>
      <c r="P22" s="82">
        <v>0</v>
      </c>
      <c r="Q22" s="82">
        <v>0</v>
      </c>
      <c r="R22" s="82">
        <v>0</v>
      </c>
      <c r="S22" s="81">
        <f t="shared" si="6"/>
        <v>23301.800000000003</v>
      </c>
      <c r="T22" s="97">
        <f t="shared" si="7"/>
        <v>5525.679999999999</v>
      </c>
      <c r="U22" s="81">
        <v>2375.91</v>
      </c>
      <c r="V22" s="81">
        <v>3218.32</v>
      </c>
      <c r="W22" s="81">
        <v>7732.94</v>
      </c>
      <c r="X22" s="81">
        <v>5355.84</v>
      </c>
      <c r="Y22" s="81">
        <v>1900.73</v>
      </c>
      <c r="Z22" s="81">
        <v>0</v>
      </c>
      <c r="AA22" s="82">
        <v>0</v>
      </c>
      <c r="AB22" s="50">
        <f t="shared" si="8"/>
        <v>20583.739999999998</v>
      </c>
      <c r="AC22" s="171">
        <f t="shared" si="9"/>
        <v>29145.945</v>
      </c>
      <c r="AD22" s="86">
        <f t="shared" si="10"/>
        <v>0</v>
      </c>
      <c r="AE22" s="86">
        <f t="shared" si="11"/>
        <v>0</v>
      </c>
      <c r="AF22" s="86">
        <f>'[1]Т07-09'!$I$68+'[1]Т07-09'!$I$87</f>
        <v>1116.07586</v>
      </c>
      <c r="AG22" s="87">
        <f t="shared" si="18"/>
        <v>2210.22</v>
      </c>
      <c r="AH22" s="87">
        <f>B22*0.2*0.9997</f>
        <v>736.5189780000001</v>
      </c>
      <c r="AI22" s="87">
        <f>0.85*B22*0.98509</f>
        <v>3084.45962805</v>
      </c>
      <c r="AJ22" s="87">
        <f t="shared" si="12"/>
        <v>555.202733049</v>
      </c>
      <c r="AK22" s="87">
        <f>0.83*B22*0.98981</f>
        <v>3026.3153705099994</v>
      </c>
      <c r="AL22" s="87">
        <f t="shared" si="13"/>
        <v>544.7367666917999</v>
      </c>
      <c r="AM22" s="87">
        <f>(1.91)*B22*0.9898</f>
        <v>6964.1011566</v>
      </c>
      <c r="AN22" s="87">
        <f t="shared" si="14"/>
        <v>1253.538208188</v>
      </c>
      <c r="AO22" s="87"/>
      <c r="AP22" s="87">
        <f t="shared" si="15"/>
        <v>0</v>
      </c>
      <c r="AQ22" s="89"/>
      <c r="AR22" s="89">
        <f t="shared" si="15"/>
        <v>0</v>
      </c>
      <c r="AS22" s="88"/>
      <c r="AT22" s="88"/>
      <c r="AU22" s="88">
        <f t="shared" si="1"/>
        <v>0</v>
      </c>
      <c r="AV22" s="169"/>
      <c r="AW22" s="182">
        <v>831</v>
      </c>
      <c r="AX22" s="87">
        <f t="shared" si="2"/>
        <v>1098.2496</v>
      </c>
      <c r="AY22" s="87"/>
      <c r="AZ22" s="90"/>
      <c r="BA22" s="90">
        <f t="shared" si="16"/>
        <v>0</v>
      </c>
      <c r="BB22" s="90">
        <f>SUM(AG22:BA22)-AV22-AW22</f>
        <v>19473.3424410888</v>
      </c>
      <c r="BC22" s="178">
        <f>'[2]Т09-09'!$O$69+'[2]Т09-09'!$O$88</f>
        <v>480.9553137774</v>
      </c>
      <c r="BD22" s="141">
        <f t="shared" si="3"/>
        <v>10307.7231051338</v>
      </c>
      <c r="BE22" s="145">
        <f>AB22-S22</f>
        <v>-2718.060000000005</v>
      </c>
    </row>
    <row r="23" spans="1:57" ht="12.75">
      <c r="A23" s="73" t="s">
        <v>41</v>
      </c>
      <c r="B23" s="74">
        <v>3683.7</v>
      </c>
      <c r="C23" s="55">
        <f t="shared" si="5"/>
        <v>31864.005</v>
      </c>
      <c r="D23" s="54">
        <f t="shared" si="17"/>
        <v>3025.6249999999986</v>
      </c>
      <c r="E23" s="98">
        <f>2689.54</f>
        <v>2689.54</v>
      </c>
      <c r="F23" s="81">
        <v>639.07</v>
      </c>
      <c r="G23" s="81">
        <v>3642.67</v>
      </c>
      <c r="H23" s="81">
        <v>866.25</v>
      </c>
      <c r="I23" s="81">
        <v>8752.92</v>
      </c>
      <c r="J23" s="81">
        <v>2080.4</v>
      </c>
      <c r="K23" s="81">
        <v>6063.3</v>
      </c>
      <c r="L23" s="81">
        <v>1441.38</v>
      </c>
      <c r="M23" s="81">
        <v>2151.67</v>
      </c>
      <c r="N23" s="81">
        <v>511.18</v>
      </c>
      <c r="O23" s="82">
        <v>0</v>
      </c>
      <c r="P23" s="82">
        <v>0</v>
      </c>
      <c r="Q23" s="81">
        <v>0</v>
      </c>
      <c r="R23" s="81">
        <v>0</v>
      </c>
      <c r="S23" s="81">
        <f t="shared" si="6"/>
        <v>23300.1</v>
      </c>
      <c r="T23" s="97">
        <f t="shared" si="7"/>
        <v>5538.28</v>
      </c>
      <c r="U23" s="184">
        <f>2735.84+275.46</f>
        <v>3011.3</v>
      </c>
      <c r="V23" s="81">
        <f>3705.08+373.08</f>
        <v>4078.16</v>
      </c>
      <c r="W23" s="81">
        <f>8903.1+896.48</f>
        <v>9799.58</v>
      </c>
      <c r="X23" s="81">
        <f>6167.23+621.01</f>
        <v>6788.24</v>
      </c>
      <c r="Y23" s="81">
        <f>2188.66+220.37</f>
        <v>2409.0299999999997</v>
      </c>
      <c r="Z23" s="82">
        <v>0</v>
      </c>
      <c r="AA23" s="82">
        <v>0</v>
      </c>
      <c r="AB23" s="82">
        <f>SUM(U23:AA23)</f>
        <v>26086.309999999998</v>
      </c>
      <c r="AC23" s="171">
        <f>AB23+T23+D23</f>
        <v>34650.215</v>
      </c>
      <c r="AD23" s="86">
        <f t="shared" si="10"/>
        <v>0</v>
      </c>
      <c r="AE23" s="86">
        <f t="shared" si="11"/>
        <v>0</v>
      </c>
      <c r="AF23" s="86">
        <f>'[3]Т10'!$I$73+'[3]Т10'!$I$95</f>
        <v>1116.07586</v>
      </c>
      <c r="AG23" s="87">
        <f t="shared" si="18"/>
        <v>2210.22</v>
      </c>
      <c r="AH23" s="87">
        <f>B23*0.2</f>
        <v>736.74</v>
      </c>
      <c r="AI23" s="87">
        <f>0.847*B23</f>
        <v>3120.0939</v>
      </c>
      <c r="AJ23" s="87">
        <f t="shared" si="12"/>
        <v>561.616902</v>
      </c>
      <c r="AK23" s="87">
        <f>0.83*B23</f>
        <v>3057.4709999999995</v>
      </c>
      <c r="AL23" s="87">
        <f t="shared" si="13"/>
        <v>550.3447799999999</v>
      </c>
      <c r="AM23" s="87">
        <f>(2.25/1.18)*B23</f>
        <v>7024.004237288135</v>
      </c>
      <c r="AN23" s="87">
        <f t="shared" si="14"/>
        <v>1264.3207627118643</v>
      </c>
      <c r="AO23" s="87"/>
      <c r="AP23" s="87">
        <f t="shared" si="15"/>
        <v>0</v>
      </c>
      <c r="AQ23" s="89">
        <f>4831.19+1044.85+19803</f>
        <v>25679.04</v>
      </c>
      <c r="AR23" s="89">
        <f t="shared" si="15"/>
        <v>4622.2272</v>
      </c>
      <c r="AS23" s="88">
        <v>17605.6</v>
      </c>
      <c r="AT23" s="88"/>
      <c r="AU23" s="88">
        <f t="shared" si="1"/>
        <v>3169.008</v>
      </c>
      <c r="AV23" s="169"/>
      <c r="AW23" s="170">
        <v>824</v>
      </c>
      <c r="AX23" s="87">
        <f>AW23*1.12*1.18</f>
        <v>1088.9984000000002</v>
      </c>
      <c r="AY23" s="51"/>
      <c r="AZ23" s="56"/>
      <c r="BA23" s="90">
        <f t="shared" si="16"/>
        <v>0</v>
      </c>
      <c r="BB23" s="90">
        <f>SUM(AG23:AU23)+AX23+AY23+AZ23+BA23</f>
        <v>70689.685182</v>
      </c>
      <c r="BC23" s="178">
        <f>'[4]Т10'!$O$73+'[4]Т10'!$O$95</f>
        <v>484.700142</v>
      </c>
      <c r="BD23" s="141">
        <f t="shared" si="3"/>
        <v>-35408.09446400001</v>
      </c>
      <c r="BE23" s="145">
        <f>AB23-S23</f>
        <v>2786.209999999999</v>
      </c>
    </row>
    <row r="24" spans="1:57" ht="12.75">
      <c r="A24" s="73" t="s">
        <v>42</v>
      </c>
      <c r="B24" s="177">
        <v>3684.7</v>
      </c>
      <c r="C24" s="55">
        <f t="shared" si="5"/>
        <v>31872.655</v>
      </c>
      <c r="D24" s="54">
        <f t="shared" si="17"/>
        <v>3026.844999999995</v>
      </c>
      <c r="E24" s="75">
        <v>2689.97</v>
      </c>
      <c r="F24" s="75">
        <v>639.5</v>
      </c>
      <c r="G24" s="75">
        <v>3643.26</v>
      </c>
      <c r="H24" s="75">
        <v>866.83</v>
      </c>
      <c r="I24" s="75">
        <v>8754.31</v>
      </c>
      <c r="J24" s="75">
        <v>2081.79</v>
      </c>
      <c r="K24" s="75">
        <v>6064.27</v>
      </c>
      <c r="L24" s="75">
        <v>1442.34</v>
      </c>
      <c r="M24" s="75">
        <v>2152.02</v>
      </c>
      <c r="N24" s="75">
        <v>511.52</v>
      </c>
      <c r="O24" s="82">
        <v>0</v>
      </c>
      <c r="P24" s="82">
        <v>0</v>
      </c>
      <c r="Q24" s="82">
        <v>0</v>
      </c>
      <c r="R24" s="82">
        <v>0</v>
      </c>
      <c r="S24" s="81">
        <f t="shared" si="6"/>
        <v>23303.829999999998</v>
      </c>
      <c r="T24" s="97">
        <f t="shared" si="7"/>
        <v>5541.98</v>
      </c>
      <c r="U24" s="81">
        <v>2556.99</v>
      </c>
      <c r="V24" s="81">
        <v>3462.81</v>
      </c>
      <c r="W24" s="81">
        <v>8320.57</v>
      </c>
      <c r="X24" s="81">
        <v>5764.43</v>
      </c>
      <c r="Y24" s="81">
        <v>2045.39</v>
      </c>
      <c r="Z24" s="81">
        <v>0</v>
      </c>
      <c r="AA24" s="82">
        <v>0</v>
      </c>
      <c r="AB24" s="82">
        <f>SUM(U24:AA24)</f>
        <v>22150.19</v>
      </c>
      <c r="AC24" s="171">
        <f>D24+T24+AB24</f>
        <v>30719.014999999992</v>
      </c>
      <c r="AD24" s="86">
        <f t="shared" si="10"/>
        <v>0</v>
      </c>
      <c r="AE24" s="86">
        <f t="shared" si="11"/>
        <v>0</v>
      </c>
      <c r="AF24" s="86">
        <f>'[3]Т11'!$I$73+'[3]Т11'!$I$95</f>
        <v>1116.07586</v>
      </c>
      <c r="AG24" s="87">
        <f t="shared" si="18"/>
        <v>2210.8199999999997</v>
      </c>
      <c r="AH24" s="87">
        <f>B24*0.2</f>
        <v>736.94</v>
      </c>
      <c r="AI24" s="87">
        <f>0.85*B24</f>
        <v>3131.995</v>
      </c>
      <c r="AJ24" s="87">
        <f t="shared" si="12"/>
        <v>563.7591</v>
      </c>
      <c r="AK24" s="87">
        <f>0.83*B24</f>
        <v>3058.3009999999995</v>
      </c>
      <c r="AL24" s="87">
        <f t="shared" si="13"/>
        <v>550.4941799999999</v>
      </c>
      <c r="AM24" s="87">
        <f>(1.91)*B24</f>
        <v>7037.776999999999</v>
      </c>
      <c r="AN24" s="87">
        <f t="shared" si="14"/>
        <v>1266.7998599999999</v>
      </c>
      <c r="AO24" s="87">
        <v>9937.17</v>
      </c>
      <c r="AP24" s="87">
        <f t="shared" si="15"/>
        <v>1788.6906</v>
      </c>
      <c r="AQ24" s="89"/>
      <c r="AR24" s="89">
        <f t="shared" si="15"/>
        <v>0</v>
      </c>
      <c r="AS24" s="88">
        <v>4873</v>
      </c>
      <c r="AT24" s="88"/>
      <c r="AU24" s="88">
        <f t="shared" si="1"/>
        <v>877.14</v>
      </c>
      <c r="AV24" s="169"/>
      <c r="AW24" s="170">
        <v>997</v>
      </c>
      <c r="AX24" s="87">
        <f>AW24*1.12*1.18</f>
        <v>1317.6352</v>
      </c>
      <c r="AY24" s="51"/>
      <c r="AZ24" s="90"/>
      <c r="BA24" s="90">
        <f t="shared" si="16"/>
        <v>0</v>
      </c>
      <c r="BB24" s="90">
        <f>SUM(AG24:AU24)+AX24+AY24+AZ24+BA24</f>
        <v>37350.52194</v>
      </c>
      <c r="BC24" s="91">
        <f>'[3]Т11'!$O$73+'[3]Т11'!$O$95</f>
        <v>485.39574000000005</v>
      </c>
      <c r="BD24" s="141">
        <f t="shared" si="3"/>
        <v>-6000.826820000006</v>
      </c>
      <c r="BE24" s="145">
        <f t="shared" si="4"/>
        <v>-1153.6399999999994</v>
      </c>
    </row>
    <row r="25" spans="1:57" ht="12.75">
      <c r="A25" s="73" t="s">
        <v>43</v>
      </c>
      <c r="B25" s="74">
        <v>3684.7</v>
      </c>
      <c r="C25" s="55">
        <f t="shared" si="5"/>
        <v>31872.655</v>
      </c>
      <c r="D25" s="54">
        <f t="shared" si="17"/>
        <v>4251.384999999999</v>
      </c>
      <c r="E25" s="75">
        <v>2549.43</v>
      </c>
      <c r="F25" s="75">
        <v>638.73</v>
      </c>
      <c r="G25" s="75">
        <v>3452.77</v>
      </c>
      <c r="H25" s="75">
        <v>865.8</v>
      </c>
      <c r="I25" s="75">
        <v>8296.79</v>
      </c>
      <c r="J25" s="75">
        <v>2079.33</v>
      </c>
      <c r="K25" s="75">
        <v>5747.29</v>
      </c>
      <c r="L25" s="75">
        <v>1440.64</v>
      </c>
      <c r="M25" s="75">
        <v>2039.59</v>
      </c>
      <c r="N25" s="75">
        <v>510.9</v>
      </c>
      <c r="O25" s="82">
        <v>0</v>
      </c>
      <c r="P25" s="82">
        <v>0</v>
      </c>
      <c r="Q25" s="82"/>
      <c r="R25" s="82"/>
      <c r="S25" s="81">
        <f t="shared" si="6"/>
        <v>22085.870000000003</v>
      </c>
      <c r="T25" s="97">
        <f t="shared" si="7"/>
        <v>5535.4</v>
      </c>
      <c r="U25" s="81">
        <v>3441.9</v>
      </c>
      <c r="V25" s="81">
        <v>4660.81</v>
      </c>
      <c r="W25" s="81">
        <v>11200.59</v>
      </c>
      <c r="X25" s="81">
        <v>7758.69</v>
      </c>
      <c r="Y25" s="81">
        <v>2753.09</v>
      </c>
      <c r="Z25" s="81">
        <v>0</v>
      </c>
      <c r="AA25" s="82">
        <v>0</v>
      </c>
      <c r="AB25" s="82">
        <f>SUM(U25:AA25)</f>
        <v>29815.08</v>
      </c>
      <c r="AC25" s="171">
        <f>D25+T25+AB25</f>
        <v>39601.865000000005</v>
      </c>
      <c r="AD25" s="86">
        <f t="shared" si="10"/>
        <v>0</v>
      </c>
      <c r="AE25" s="86">
        <f t="shared" si="11"/>
        <v>0</v>
      </c>
      <c r="AF25" s="86">
        <f>'[3]Т12'!$I$74+'[3]Т12'!$I$96</f>
        <v>1116.07586</v>
      </c>
      <c r="AG25" s="87">
        <f t="shared" si="18"/>
        <v>2210.8199999999997</v>
      </c>
      <c r="AH25" s="87">
        <f>B25*0.2</f>
        <v>736.94</v>
      </c>
      <c r="AI25" s="87">
        <f>0.85*B25</f>
        <v>3131.995</v>
      </c>
      <c r="AJ25" s="87">
        <f t="shared" si="12"/>
        <v>563.7591</v>
      </c>
      <c r="AK25" s="87">
        <f>0.83*B25</f>
        <v>3058.3009999999995</v>
      </c>
      <c r="AL25" s="87">
        <f t="shared" si="13"/>
        <v>550.4941799999999</v>
      </c>
      <c r="AM25" s="87">
        <f>(1.91)*B25</f>
        <v>7037.776999999999</v>
      </c>
      <c r="AN25" s="87">
        <f t="shared" si="14"/>
        <v>1266.7998599999999</v>
      </c>
      <c r="AO25" s="87"/>
      <c r="AP25" s="87">
        <f t="shared" si="15"/>
        <v>0</v>
      </c>
      <c r="AQ25" s="89"/>
      <c r="AR25" s="89">
        <f t="shared" si="15"/>
        <v>0</v>
      </c>
      <c r="AS25" s="88">
        <v>15182</v>
      </c>
      <c r="AT25" s="88">
        <f>2*375</f>
        <v>750</v>
      </c>
      <c r="AU25" s="88">
        <f t="shared" si="1"/>
        <v>2867.7599999999998</v>
      </c>
      <c r="AV25" s="169"/>
      <c r="AW25" s="170">
        <v>1121</v>
      </c>
      <c r="AX25" s="87">
        <f>AW25*1.12*1.18</f>
        <v>1481.5136000000002</v>
      </c>
      <c r="AY25" s="51"/>
      <c r="AZ25" s="90"/>
      <c r="BA25" s="90">
        <f t="shared" si="16"/>
        <v>0</v>
      </c>
      <c r="BB25" s="90">
        <f>SUM(AG25:BA25)-AV25-AW25</f>
        <v>38838.15974</v>
      </c>
      <c r="BC25" s="91">
        <f>'[3]Т12'!$O$74+'[3]Т12'!$O$96</f>
        <v>485.39574000000005</v>
      </c>
      <c r="BD25" s="141">
        <f>AC25+AF25-BB25-BC25</f>
        <v>1394.3853799999997</v>
      </c>
      <c r="BE25" s="145">
        <f>AB25-S25</f>
        <v>7729.209999999999</v>
      </c>
    </row>
    <row r="26" spans="1:57" s="15" customFormat="1" ht="12.75">
      <c r="A26" s="9" t="s">
        <v>5</v>
      </c>
      <c r="B26" s="10"/>
      <c r="C26" s="10">
        <f aca="true" t="shared" si="19" ref="C26:BC26">SUM(C14:C25)</f>
        <v>382433.80000000005</v>
      </c>
      <c r="D26" s="10">
        <f t="shared" si="19"/>
        <v>41496.23750000001</v>
      </c>
      <c r="E26" s="11">
        <f t="shared" si="19"/>
        <v>31297.83</v>
      </c>
      <c r="F26" s="11">
        <f t="shared" si="19"/>
        <v>7200.73</v>
      </c>
      <c r="G26" s="11">
        <f t="shared" si="19"/>
        <v>42346.03999999999</v>
      </c>
      <c r="H26" s="11">
        <f t="shared" si="19"/>
        <v>9748.67</v>
      </c>
      <c r="I26" s="11">
        <f t="shared" si="19"/>
        <v>101812.44</v>
      </c>
      <c r="J26" s="11">
        <f t="shared" si="19"/>
        <v>23429.560000000005</v>
      </c>
      <c r="K26" s="11">
        <f t="shared" si="19"/>
        <v>70514.23999999999</v>
      </c>
      <c r="L26" s="11">
        <f t="shared" si="19"/>
        <v>16229.119999999999</v>
      </c>
      <c r="M26" s="11">
        <f t="shared" si="19"/>
        <v>25020.519999999997</v>
      </c>
      <c r="N26" s="11">
        <f t="shared" si="19"/>
        <v>5759.889999999999</v>
      </c>
      <c r="O26" s="11">
        <f t="shared" si="19"/>
        <v>0</v>
      </c>
      <c r="P26" s="11">
        <f t="shared" si="19"/>
        <v>0</v>
      </c>
      <c r="Q26" s="11">
        <f t="shared" si="19"/>
        <v>0</v>
      </c>
      <c r="R26" s="11">
        <f t="shared" si="19"/>
        <v>0</v>
      </c>
      <c r="S26" s="11">
        <f t="shared" si="19"/>
        <v>270991.07</v>
      </c>
      <c r="T26" s="11">
        <f t="shared" si="19"/>
        <v>62367.97000000001</v>
      </c>
      <c r="U26" s="12">
        <f t="shared" si="19"/>
        <v>30327.840000000004</v>
      </c>
      <c r="V26" s="12">
        <f t="shared" si="19"/>
        <v>41078.81</v>
      </c>
      <c r="W26" s="12">
        <f t="shared" si="19"/>
        <v>98782.95999999999</v>
      </c>
      <c r="X26" s="12">
        <f t="shared" si="19"/>
        <v>68412.04</v>
      </c>
      <c r="Y26" s="12">
        <f t="shared" si="19"/>
        <v>24296.019999999997</v>
      </c>
      <c r="Z26" s="12">
        <f t="shared" si="19"/>
        <v>0</v>
      </c>
      <c r="AA26" s="12">
        <f t="shared" si="19"/>
        <v>0</v>
      </c>
      <c r="AB26" s="12">
        <f t="shared" si="19"/>
        <v>262897.67</v>
      </c>
      <c r="AC26" s="12">
        <f t="shared" si="19"/>
        <v>366761.87750000006</v>
      </c>
      <c r="AD26" s="12">
        <f t="shared" si="19"/>
        <v>0</v>
      </c>
      <c r="AE26" s="45">
        <f t="shared" si="19"/>
        <v>0</v>
      </c>
      <c r="AF26" s="45">
        <f t="shared" si="19"/>
        <v>6696.4551599999995</v>
      </c>
      <c r="AG26" s="13">
        <f t="shared" si="19"/>
        <v>25642.776</v>
      </c>
      <c r="AH26" s="13">
        <f t="shared" si="19"/>
        <v>8585.2205564</v>
      </c>
      <c r="AI26" s="13">
        <f t="shared" si="19"/>
        <v>35849.37266875</v>
      </c>
      <c r="AJ26" s="13">
        <f t="shared" si="19"/>
        <v>6452.887080375</v>
      </c>
      <c r="AK26" s="13">
        <f t="shared" si="19"/>
        <v>34845.55212111</v>
      </c>
      <c r="AL26" s="13">
        <f t="shared" si="19"/>
        <v>6272.199381799799</v>
      </c>
      <c r="AM26" s="13">
        <f t="shared" si="19"/>
        <v>80175.52347158814</v>
      </c>
      <c r="AN26" s="13">
        <f t="shared" si="19"/>
        <v>14431.594224885861</v>
      </c>
      <c r="AO26" s="13">
        <f t="shared" si="19"/>
        <v>9937.17</v>
      </c>
      <c r="AP26" s="13">
        <f t="shared" si="19"/>
        <v>1788.6906</v>
      </c>
      <c r="AQ26" s="13">
        <f>SUM(AQ14:AQ25)</f>
        <v>25679.04</v>
      </c>
      <c r="AR26" s="13">
        <f>SUM(AR14:AR25)</f>
        <v>4622.2272</v>
      </c>
      <c r="AS26" s="13">
        <f>SUM(AS14:AS25)</f>
        <v>149122.05</v>
      </c>
      <c r="AT26" s="13">
        <f>SUM(AT14:AT25)</f>
        <v>750</v>
      </c>
      <c r="AU26" s="13">
        <f>SUM(AU14:AU25)</f>
        <v>26976.969</v>
      </c>
      <c r="AV26" s="13"/>
      <c r="AW26" s="13"/>
      <c r="AX26" s="13">
        <f t="shared" si="19"/>
        <v>14525.7056</v>
      </c>
      <c r="AY26" s="13">
        <f t="shared" si="19"/>
        <v>0</v>
      </c>
      <c r="AZ26" s="13">
        <f t="shared" si="19"/>
        <v>0</v>
      </c>
      <c r="BA26" s="13">
        <f t="shared" si="19"/>
        <v>0</v>
      </c>
      <c r="BB26" s="13">
        <f t="shared" si="19"/>
        <v>445656.9779049088</v>
      </c>
      <c r="BC26" s="13">
        <f t="shared" si="19"/>
        <v>2898.7217312034</v>
      </c>
      <c r="BD26" s="13">
        <f>SUM(BD14:BD25)</f>
        <v>-75097.36697611216</v>
      </c>
      <c r="BE26" s="14">
        <f>SUM(BE14:BE25)</f>
        <v>-8093.400000000009</v>
      </c>
    </row>
    <row r="27" spans="1:57" ht="12.75">
      <c r="A27" s="73"/>
      <c r="B27" s="185"/>
      <c r="C27" s="186"/>
      <c r="D27" s="186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8"/>
      <c r="T27" s="188"/>
      <c r="U27" s="102"/>
      <c r="V27" s="102"/>
      <c r="W27" s="102"/>
      <c r="X27" s="102"/>
      <c r="Y27" s="102"/>
      <c r="Z27" s="102"/>
      <c r="AA27" s="102"/>
      <c r="AB27" s="102"/>
      <c r="AC27" s="46"/>
      <c r="AD27" s="46"/>
      <c r="AE27" s="86"/>
      <c r="AF27" s="86"/>
      <c r="AG27" s="87"/>
      <c r="AH27" s="87"/>
      <c r="AI27" s="87"/>
      <c r="AJ27" s="87"/>
      <c r="AK27" s="87"/>
      <c r="AL27" s="87"/>
      <c r="AM27" s="87"/>
      <c r="AN27" s="87"/>
      <c r="AO27" s="189"/>
      <c r="AP27" s="189"/>
      <c r="AQ27" s="189"/>
      <c r="AR27" s="189"/>
      <c r="AS27" s="189"/>
      <c r="AT27" s="189"/>
      <c r="AU27" s="87"/>
      <c r="AV27" s="87"/>
      <c r="AW27" s="87"/>
      <c r="AX27" s="71"/>
      <c r="AY27" s="189"/>
      <c r="AZ27" s="189"/>
      <c r="BA27" s="87"/>
      <c r="BB27" s="87"/>
      <c r="BC27" s="87"/>
      <c r="BD27" s="87"/>
      <c r="BE27" s="166"/>
    </row>
    <row r="28" spans="1:57" s="15" customFormat="1" ht="13.5" thickBot="1">
      <c r="A28" s="16" t="s">
        <v>54</v>
      </c>
      <c r="B28" s="17"/>
      <c r="C28" s="17">
        <f>C12+C26</f>
        <v>478062.145</v>
      </c>
      <c r="D28" s="17">
        <f>D12+D26</f>
        <v>64514.298902650014</v>
      </c>
      <c r="E28" s="190">
        <f aca="true" t="shared" si="20" ref="E28:BC28">E12+E26</f>
        <v>38504.22</v>
      </c>
      <c r="F28" s="190">
        <f t="shared" si="20"/>
        <v>8789.939999999999</v>
      </c>
      <c r="G28" s="190">
        <f t="shared" si="20"/>
        <v>52074.909999999996</v>
      </c>
      <c r="H28" s="190">
        <f t="shared" si="20"/>
        <v>11894.04</v>
      </c>
      <c r="I28" s="190">
        <f t="shared" si="20"/>
        <v>125371.16</v>
      </c>
      <c r="J28" s="190">
        <f t="shared" si="20"/>
        <v>28594.480000000003</v>
      </c>
      <c r="K28" s="190">
        <f t="shared" si="20"/>
        <v>86728.85999999999</v>
      </c>
      <c r="L28" s="190">
        <f t="shared" si="20"/>
        <v>19804.8</v>
      </c>
      <c r="M28" s="190">
        <f t="shared" si="20"/>
        <v>30785.699999999997</v>
      </c>
      <c r="N28" s="190">
        <f>N12+N26</f>
        <v>7031.179999999999</v>
      </c>
      <c r="O28" s="190">
        <f t="shared" si="20"/>
        <v>0</v>
      </c>
      <c r="P28" s="190">
        <f t="shared" si="20"/>
        <v>0</v>
      </c>
      <c r="Q28" s="190">
        <f t="shared" si="20"/>
        <v>0</v>
      </c>
      <c r="R28" s="190">
        <f t="shared" si="20"/>
        <v>0</v>
      </c>
      <c r="S28" s="190">
        <f t="shared" si="20"/>
        <v>333464.85</v>
      </c>
      <c r="T28" s="190">
        <f t="shared" si="20"/>
        <v>76114.44</v>
      </c>
      <c r="U28" s="191">
        <f t="shared" si="20"/>
        <v>34802.91</v>
      </c>
      <c r="V28" s="191">
        <f t="shared" si="20"/>
        <v>47062.939999999995</v>
      </c>
      <c r="W28" s="191">
        <f t="shared" si="20"/>
        <v>113326.65</v>
      </c>
      <c r="X28" s="191">
        <f t="shared" si="20"/>
        <v>78385.43999999999</v>
      </c>
      <c r="Y28" s="191">
        <f t="shared" si="20"/>
        <v>27842.149999999998</v>
      </c>
      <c r="Z28" s="191">
        <f t="shared" si="20"/>
        <v>0</v>
      </c>
      <c r="AA28" s="191">
        <f t="shared" si="20"/>
        <v>0</v>
      </c>
      <c r="AB28" s="191">
        <f t="shared" si="20"/>
        <v>301420.08999999997</v>
      </c>
      <c r="AC28" s="191">
        <f t="shared" si="20"/>
        <v>442048.82890265004</v>
      </c>
      <c r="AD28" s="191">
        <f t="shared" si="20"/>
        <v>0</v>
      </c>
      <c r="AE28" s="191">
        <f>AE12+AE26</f>
        <v>0</v>
      </c>
      <c r="AF28" s="191">
        <f t="shared" si="20"/>
        <v>6696.4551599999995</v>
      </c>
      <c r="AG28" s="17">
        <f t="shared" si="20"/>
        <v>32275.956000000002</v>
      </c>
      <c r="AH28" s="17">
        <f t="shared" si="20"/>
        <v>10861.5068264</v>
      </c>
      <c r="AI28" s="17">
        <f t="shared" si="20"/>
        <v>45257.118160750004</v>
      </c>
      <c r="AJ28" s="17">
        <f t="shared" si="20"/>
        <v>8146.281268934999</v>
      </c>
      <c r="AK28" s="17">
        <f t="shared" si="20"/>
        <v>45793.21477223</v>
      </c>
      <c r="AL28" s="17">
        <f t="shared" si="20"/>
        <v>8242.778659001398</v>
      </c>
      <c r="AM28" s="17">
        <f t="shared" si="20"/>
        <v>100281.32699431814</v>
      </c>
      <c r="AN28" s="17">
        <f t="shared" si="20"/>
        <v>18050.63885897726</v>
      </c>
      <c r="AO28" s="17">
        <f t="shared" si="20"/>
        <v>9937.17</v>
      </c>
      <c r="AP28" s="17">
        <f t="shared" si="20"/>
        <v>1788.6906</v>
      </c>
      <c r="AQ28" s="17">
        <f t="shared" si="20"/>
        <v>25679.04</v>
      </c>
      <c r="AR28" s="17">
        <f t="shared" si="20"/>
        <v>4622.2272</v>
      </c>
      <c r="AS28" s="17">
        <f t="shared" si="20"/>
        <v>160306.05</v>
      </c>
      <c r="AT28" s="17">
        <f t="shared" si="20"/>
        <v>750</v>
      </c>
      <c r="AU28" s="17">
        <f t="shared" si="20"/>
        <v>28990.089</v>
      </c>
      <c r="AV28" s="17"/>
      <c r="AW28" s="17"/>
      <c r="AX28" s="17">
        <f t="shared" si="20"/>
        <v>14525.7056</v>
      </c>
      <c r="AY28" s="17">
        <f t="shared" si="20"/>
        <v>0</v>
      </c>
      <c r="AZ28" s="17">
        <f t="shared" si="20"/>
        <v>0</v>
      </c>
      <c r="BA28" s="17">
        <f t="shared" si="20"/>
        <v>0</v>
      </c>
      <c r="BB28" s="17">
        <f t="shared" si="20"/>
        <v>515507.7939406118</v>
      </c>
      <c r="BC28" s="17">
        <f t="shared" si="20"/>
        <v>2898.7217312034</v>
      </c>
      <c r="BD28" s="17">
        <f>BD12+BD26</f>
        <v>-69661.23160916514</v>
      </c>
      <c r="BE28" s="192">
        <f>BE12+BE26</f>
        <v>-32044.76000000001</v>
      </c>
    </row>
    <row r="29" spans="1:57" ht="15" customHeight="1">
      <c r="A29" s="1" t="s">
        <v>84</v>
      </c>
      <c r="B29" s="39"/>
      <c r="C29" s="8"/>
      <c r="D29" s="8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  <c r="R29" s="173"/>
      <c r="S29" s="173"/>
      <c r="T29" s="173"/>
      <c r="U29" s="174"/>
      <c r="V29" s="174"/>
      <c r="W29" s="174"/>
      <c r="X29" s="174"/>
      <c r="Y29" s="174"/>
      <c r="Z29" s="174"/>
      <c r="AA29" s="175"/>
      <c r="AB29" s="175"/>
      <c r="AC29" s="44"/>
      <c r="AD29" s="44"/>
      <c r="AE29" s="176"/>
      <c r="AF29" s="176"/>
      <c r="AG29" s="141"/>
      <c r="AH29" s="141"/>
      <c r="AI29" s="141"/>
      <c r="AJ29" s="141"/>
      <c r="AK29" s="141"/>
      <c r="AL29" s="141"/>
      <c r="AM29" s="141"/>
      <c r="AN29" s="141"/>
      <c r="AO29" s="142"/>
      <c r="AP29" s="142"/>
      <c r="AQ29" s="142"/>
      <c r="AR29" s="142"/>
      <c r="AS29" s="142"/>
      <c r="AT29" s="142"/>
      <c r="AU29" s="141"/>
      <c r="AV29" s="141"/>
      <c r="AW29" s="141"/>
      <c r="AX29" s="142"/>
      <c r="AY29" s="142"/>
      <c r="AZ29" s="142"/>
      <c r="BA29" s="141"/>
      <c r="BB29" s="141"/>
      <c r="BC29" s="141"/>
      <c r="BD29" s="141"/>
      <c r="BE29" s="145"/>
    </row>
    <row r="30" spans="1:57" ht="12.75">
      <c r="A30" s="73" t="s">
        <v>45</v>
      </c>
      <c r="B30" s="74">
        <v>3684.7</v>
      </c>
      <c r="C30" s="55">
        <f aca="true" t="shared" si="21" ref="C30:C36">B30*8.65</f>
        <v>31872.655</v>
      </c>
      <c r="D30" s="54">
        <f aca="true" t="shared" si="22" ref="D30:D36">C30-E30-F30-G30-H30-I30-J30-K30-L30-M30-N30</f>
        <v>2981.914999999995</v>
      </c>
      <c r="E30" s="75">
        <v>2695.26</v>
      </c>
      <c r="F30" s="75">
        <v>639.5</v>
      </c>
      <c r="G30" s="75">
        <v>3650.13</v>
      </c>
      <c r="H30" s="75">
        <v>866.83</v>
      </c>
      <c r="I30" s="75">
        <v>8771.22</v>
      </c>
      <c r="J30" s="75">
        <v>2081.79</v>
      </c>
      <c r="K30" s="75">
        <v>6075.89</v>
      </c>
      <c r="L30" s="75">
        <v>1442.34</v>
      </c>
      <c r="M30" s="75">
        <v>2156.26</v>
      </c>
      <c r="N30" s="75">
        <v>511.52</v>
      </c>
      <c r="O30" s="82">
        <v>0</v>
      </c>
      <c r="P30" s="82">
        <v>0</v>
      </c>
      <c r="Q30" s="82"/>
      <c r="R30" s="82"/>
      <c r="S30" s="81">
        <f aca="true" t="shared" si="23" ref="S30:S36">E30+G30+I30+K30+M30+O30+Q30</f>
        <v>23348.760000000002</v>
      </c>
      <c r="T30" s="97">
        <f aca="true" t="shared" si="24" ref="T30:T36">P30+N30+L30+J30+H30+F30+R30</f>
        <v>5541.98</v>
      </c>
      <c r="U30" s="81">
        <v>1333.65</v>
      </c>
      <c r="V30" s="81">
        <v>1806.48</v>
      </c>
      <c r="W30" s="81">
        <v>4340.59</v>
      </c>
      <c r="X30" s="81">
        <v>3006.85</v>
      </c>
      <c r="Y30" s="81">
        <v>1066.98</v>
      </c>
      <c r="Z30" s="81">
        <v>0</v>
      </c>
      <c r="AA30" s="82">
        <v>0</v>
      </c>
      <c r="AB30" s="82">
        <f aca="true" t="shared" si="25" ref="AB30:AB36">SUM(U30:AA30)</f>
        <v>11554.55</v>
      </c>
      <c r="AC30" s="171">
        <f aca="true" t="shared" si="26" ref="AC30:AC36">D30+T30+AB30</f>
        <v>20078.444999999992</v>
      </c>
      <c r="AD30" s="86">
        <f aca="true" t="shared" si="27" ref="AD30:AD36">P30+Z30</f>
        <v>0</v>
      </c>
      <c r="AE30" s="86">
        <f aca="true" t="shared" si="28" ref="AE30:AE36">R30+AA30</f>
        <v>0</v>
      </c>
      <c r="AF30" s="86">
        <f>'[14]Т01-10'!$I$71+'[14]Т01-10'!$I$93</f>
        <v>1116.07586</v>
      </c>
      <c r="AG30" s="87">
        <f aca="true" t="shared" si="29" ref="AG30:AG36">0.6*B30</f>
        <v>2210.8199999999997</v>
      </c>
      <c r="AH30" s="87">
        <f aca="true" t="shared" si="30" ref="AH30:AH36">B30*0.2</f>
        <v>736.94</v>
      </c>
      <c r="AI30" s="87">
        <f aca="true" t="shared" si="31" ref="AI30:AI36">1*B30</f>
        <v>3684.7</v>
      </c>
      <c r="AJ30" s="87">
        <v>0</v>
      </c>
      <c r="AK30" s="87">
        <f aca="true" t="shared" si="32" ref="AK30:AK36">0.98*B30</f>
        <v>3611.006</v>
      </c>
      <c r="AL30" s="87">
        <v>0</v>
      </c>
      <c r="AM30" s="87">
        <f aca="true" t="shared" si="33" ref="AM30:AM36">2.25*B30</f>
        <v>8290.574999999999</v>
      </c>
      <c r="AN30" s="87">
        <v>0</v>
      </c>
      <c r="AO30" s="87"/>
      <c r="AP30" s="87">
        <v>0</v>
      </c>
      <c r="AQ30" s="89"/>
      <c r="AR30" s="89"/>
      <c r="AS30" s="88">
        <v>0</v>
      </c>
      <c r="AT30" s="88"/>
      <c r="AU30" s="88">
        <f>AT30*0</f>
        <v>0</v>
      </c>
      <c r="AV30" s="169"/>
      <c r="AW30" s="170">
        <v>957</v>
      </c>
      <c r="AX30" s="87">
        <f aca="true" t="shared" si="34" ref="AX30:AX38">AW30*1.4</f>
        <v>1339.8</v>
      </c>
      <c r="AY30" s="51"/>
      <c r="AZ30" s="90"/>
      <c r="BA30" s="90">
        <f aca="true" t="shared" si="35" ref="BA30:BA36">AZ30*0.18</f>
        <v>0</v>
      </c>
      <c r="BB30" s="90">
        <f aca="true" t="shared" si="36" ref="BB30:BB36">SUM(AG30:BA30)-AV30-AW30</f>
        <v>19873.840999999997</v>
      </c>
      <c r="BC30" s="91">
        <f>'[14]Т03-10'!$M$72+'[14]Т03-10'!$M$94</f>
        <v>484.821</v>
      </c>
      <c r="BD30" s="141">
        <f>AC30+AF30-BB30-BC30</f>
        <v>835.8588599999965</v>
      </c>
      <c r="BE30" s="145">
        <f>AB30-S30</f>
        <v>-11794.210000000003</v>
      </c>
    </row>
    <row r="31" spans="1:57" ht="12.75">
      <c r="A31" s="73" t="s">
        <v>46</v>
      </c>
      <c r="B31" s="177">
        <v>3684.8</v>
      </c>
      <c r="C31" s="55">
        <f t="shared" si="21"/>
        <v>31873.520000000004</v>
      </c>
      <c r="D31" s="54">
        <f t="shared" si="22"/>
        <v>2930.7000000000016</v>
      </c>
      <c r="E31" s="193">
        <v>2708.62</v>
      </c>
      <c r="F31" s="194">
        <v>632.27</v>
      </c>
      <c r="G31" s="194">
        <v>3667.88</v>
      </c>
      <c r="H31" s="194">
        <v>857.04</v>
      </c>
      <c r="I31" s="194">
        <v>8814.36</v>
      </c>
      <c r="J31" s="194">
        <v>2058.27</v>
      </c>
      <c r="K31" s="194">
        <v>6105.66</v>
      </c>
      <c r="L31" s="194">
        <v>1426.05</v>
      </c>
      <c r="M31" s="194">
        <v>2166.93</v>
      </c>
      <c r="N31" s="194">
        <v>505.74</v>
      </c>
      <c r="O31" s="195">
        <v>0</v>
      </c>
      <c r="P31" s="195">
        <v>0</v>
      </c>
      <c r="Q31" s="195">
        <v>0</v>
      </c>
      <c r="R31" s="195">
        <v>0</v>
      </c>
      <c r="S31" s="81">
        <f t="shared" si="23"/>
        <v>23463.45</v>
      </c>
      <c r="T31" s="97">
        <f t="shared" si="24"/>
        <v>5479.370000000001</v>
      </c>
      <c r="U31" s="81">
        <v>2179.69</v>
      </c>
      <c r="V31" s="81">
        <v>2951.42</v>
      </c>
      <c r="W31" s="81">
        <v>7092.92</v>
      </c>
      <c r="X31" s="81">
        <v>4913.07</v>
      </c>
      <c r="Y31" s="81">
        <v>1743.86</v>
      </c>
      <c r="Z31" s="81">
        <v>0</v>
      </c>
      <c r="AA31" s="82">
        <v>0</v>
      </c>
      <c r="AB31" s="82">
        <f t="shared" si="25"/>
        <v>18880.96</v>
      </c>
      <c r="AC31" s="171">
        <f t="shared" si="26"/>
        <v>27291.030000000002</v>
      </c>
      <c r="AD31" s="86">
        <f t="shared" si="27"/>
        <v>0</v>
      </c>
      <c r="AE31" s="86">
        <f t="shared" si="28"/>
        <v>0</v>
      </c>
      <c r="AF31" s="86">
        <f>'[14]Т01-10'!$I$71+'[14]Т01-10'!$I$93</f>
        <v>1116.07586</v>
      </c>
      <c r="AG31" s="87">
        <f t="shared" si="29"/>
        <v>2210.88</v>
      </c>
      <c r="AH31" s="87">
        <f t="shared" si="30"/>
        <v>736.96</v>
      </c>
      <c r="AI31" s="87">
        <f t="shared" si="31"/>
        <v>3684.8</v>
      </c>
      <c r="AJ31" s="87">
        <v>0</v>
      </c>
      <c r="AK31" s="87">
        <f t="shared" si="32"/>
        <v>3611.1040000000003</v>
      </c>
      <c r="AL31" s="87">
        <v>0</v>
      </c>
      <c r="AM31" s="87">
        <f t="shared" si="33"/>
        <v>8290.800000000001</v>
      </c>
      <c r="AN31" s="87">
        <v>0</v>
      </c>
      <c r="AO31" s="87"/>
      <c r="AP31" s="87"/>
      <c r="AQ31" s="89"/>
      <c r="AR31" s="89"/>
      <c r="AS31" s="88">
        <v>4220</v>
      </c>
      <c r="AT31" s="88"/>
      <c r="AU31" s="88">
        <f>AT31*0.18</f>
        <v>0</v>
      </c>
      <c r="AV31" s="169"/>
      <c r="AW31" s="170">
        <v>966</v>
      </c>
      <c r="AX31" s="87">
        <f t="shared" si="34"/>
        <v>1352.3999999999999</v>
      </c>
      <c r="AY31" s="51"/>
      <c r="AZ31" s="90"/>
      <c r="BA31" s="90">
        <f t="shared" si="35"/>
        <v>0</v>
      </c>
      <c r="BB31" s="90">
        <f t="shared" si="36"/>
        <v>24106.944000000003</v>
      </c>
      <c r="BC31" s="91">
        <f>'[14]Т03-10'!$M$72+'[14]Т03-10'!$M$94</f>
        <v>484.821</v>
      </c>
      <c r="BD31" s="141">
        <f aca="true" t="shared" si="37" ref="BD31:BD41">AC31+AF31-BB31-BC31</f>
        <v>3815.3408600000002</v>
      </c>
      <c r="BE31" s="145">
        <f aca="true" t="shared" si="38" ref="BE31:BE41">AB31-S31</f>
        <v>-4582.490000000002</v>
      </c>
    </row>
    <row r="32" spans="1:57" ht="12.75">
      <c r="A32" s="73" t="s">
        <v>47</v>
      </c>
      <c r="B32" s="74">
        <v>3684.8</v>
      </c>
      <c r="C32" s="55">
        <f t="shared" si="21"/>
        <v>31873.520000000004</v>
      </c>
      <c r="D32" s="54">
        <f t="shared" si="22"/>
        <v>2968.960000000001</v>
      </c>
      <c r="E32" s="75">
        <v>2704.12</v>
      </c>
      <c r="F32" s="75">
        <v>632.27</v>
      </c>
      <c r="G32" s="75">
        <v>3662.04</v>
      </c>
      <c r="H32" s="75">
        <v>857.04</v>
      </c>
      <c r="I32" s="75">
        <v>8799.95</v>
      </c>
      <c r="J32" s="75">
        <v>2058.27</v>
      </c>
      <c r="K32" s="75">
        <v>6095.76</v>
      </c>
      <c r="L32" s="75">
        <v>1426.05</v>
      </c>
      <c r="M32" s="75">
        <v>2163.32</v>
      </c>
      <c r="N32" s="75">
        <v>505.74</v>
      </c>
      <c r="O32" s="82">
        <v>0</v>
      </c>
      <c r="P32" s="82">
        <v>0</v>
      </c>
      <c r="Q32" s="82">
        <v>0</v>
      </c>
      <c r="R32" s="82">
        <v>0</v>
      </c>
      <c r="S32" s="81">
        <f t="shared" si="23"/>
        <v>23425.190000000002</v>
      </c>
      <c r="T32" s="97">
        <f t="shared" si="24"/>
        <v>5479.370000000001</v>
      </c>
      <c r="U32" s="81">
        <v>2441.22</v>
      </c>
      <c r="V32" s="81">
        <v>3305.55</v>
      </c>
      <c r="W32" s="81">
        <v>7943.9</v>
      </c>
      <c r="X32" s="81">
        <v>5502.7</v>
      </c>
      <c r="Y32" s="81">
        <v>1953.18</v>
      </c>
      <c r="Z32" s="81">
        <v>0</v>
      </c>
      <c r="AA32" s="82">
        <v>0</v>
      </c>
      <c r="AB32" s="82">
        <f t="shared" si="25"/>
        <v>21146.55</v>
      </c>
      <c r="AC32" s="171">
        <f t="shared" si="26"/>
        <v>29594.88</v>
      </c>
      <c r="AD32" s="86">
        <f t="shared" si="27"/>
        <v>0</v>
      </c>
      <c r="AE32" s="86">
        <f t="shared" si="28"/>
        <v>0</v>
      </c>
      <c r="AF32" s="86">
        <f>'[14]Т01-10'!$I$71+'[14]Т01-10'!$I$93</f>
        <v>1116.07586</v>
      </c>
      <c r="AG32" s="87">
        <f t="shared" si="29"/>
        <v>2210.88</v>
      </c>
      <c r="AH32" s="87">
        <f t="shared" si="30"/>
        <v>736.96</v>
      </c>
      <c r="AI32" s="87">
        <f t="shared" si="31"/>
        <v>3684.8</v>
      </c>
      <c r="AJ32" s="87">
        <v>0</v>
      </c>
      <c r="AK32" s="87">
        <f t="shared" si="32"/>
        <v>3611.1040000000003</v>
      </c>
      <c r="AL32" s="87">
        <v>0</v>
      </c>
      <c r="AM32" s="87">
        <f t="shared" si="33"/>
        <v>8290.800000000001</v>
      </c>
      <c r="AN32" s="87">
        <v>0</v>
      </c>
      <c r="AO32" s="87"/>
      <c r="AP32" s="87"/>
      <c r="AQ32" s="89">
        <v>6160</v>
      </c>
      <c r="AR32" s="89"/>
      <c r="AS32" s="88">
        <v>2083</v>
      </c>
      <c r="AT32" s="88"/>
      <c r="AU32" s="88">
        <f>AT32*0.18</f>
        <v>0</v>
      </c>
      <c r="AV32" s="169"/>
      <c r="AW32" s="170">
        <v>835</v>
      </c>
      <c r="AX32" s="87">
        <f t="shared" si="34"/>
        <v>1169</v>
      </c>
      <c r="AY32" s="51"/>
      <c r="AZ32" s="90"/>
      <c r="BA32" s="90">
        <f t="shared" si="35"/>
        <v>0</v>
      </c>
      <c r="BB32" s="90">
        <f t="shared" si="36"/>
        <v>27946.544</v>
      </c>
      <c r="BC32" s="91">
        <f>'[14]Т03-10'!$M$72+'[14]Т03-10'!$M$94</f>
        <v>484.821</v>
      </c>
      <c r="BD32" s="141">
        <f t="shared" si="37"/>
        <v>2279.5908600000002</v>
      </c>
      <c r="BE32" s="145">
        <f t="shared" si="38"/>
        <v>-2278.640000000003</v>
      </c>
    </row>
    <row r="33" spans="1:57" ht="12.75">
      <c r="A33" s="73" t="s">
        <v>48</v>
      </c>
      <c r="B33" s="74">
        <v>3684.8</v>
      </c>
      <c r="C33" s="55">
        <f t="shared" si="21"/>
        <v>31873.520000000004</v>
      </c>
      <c r="D33" s="54">
        <f t="shared" si="22"/>
        <v>2969.050000000008</v>
      </c>
      <c r="E33" s="75">
        <v>2701.42</v>
      </c>
      <c r="F33" s="75">
        <v>634.96</v>
      </c>
      <c r="G33" s="75">
        <v>3658.39</v>
      </c>
      <c r="H33" s="75">
        <v>860.69</v>
      </c>
      <c r="I33" s="75">
        <v>8791.12</v>
      </c>
      <c r="J33" s="75">
        <v>2067.06</v>
      </c>
      <c r="K33" s="75">
        <v>6089.64</v>
      </c>
      <c r="L33" s="75">
        <v>1432.13</v>
      </c>
      <c r="M33" s="75">
        <v>2161.16</v>
      </c>
      <c r="N33" s="75">
        <v>507.9</v>
      </c>
      <c r="O33" s="82">
        <v>0</v>
      </c>
      <c r="P33" s="82">
        <v>0</v>
      </c>
      <c r="Q33" s="82"/>
      <c r="R33" s="82"/>
      <c r="S33" s="81">
        <f t="shared" si="23"/>
        <v>23401.73</v>
      </c>
      <c r="T33" s="97">
        <f t="shared" si="24"/>
        <v>5502.740000000001</v>
      </c>
      <c r="U33" s="81">
        <v>2313.68</v>
      </c>
      <c r="V33" s="81">
        <v>3123.53</v>
      </c>
      <c r="W33" s="81">
        <v>7519.58</v>
      </c>
      <c r="X33" s="81">
        <v>5205.92</v>
      </c>
      <c r="Y33" s="81">
        <v>1851</v>
      </c>
      <c r="Z33" s="81">
        <v>0</v>
      </c>
      <c r="AA33" s="82">
        <v>0</v>
      </c>
      <c r="AB33" s="82">
        <f t="shared" si="25"/>
        <v>20013.71</v>
      </c>
      <c r="AC33" s="171">
        <f t="shared" si="26"/>
        <v>28485.500000000007</v>
      </c>
      <c r="AD33" s="86">
        <f t="shared" si="27"/>
        <v>0</v>
      </c>
      <c r="AE33" s="86">
        <f t="shared" si="28"/>
        <v>0</v>
      </c>
      <c r="AF33" s="86">
        <f>'[15]Т04-10'!$I$72+'[15]Т04-10'!$I$94</f>
        <v>1116.07586</v>
      </c>
      <c r="AG33" s="87">
        <f t="shared" si="29"/>
        <v>2210.88</v>
      </c>
      <c r="AH33" s="87">
        <f t="shared" si="30"/>
        <v>736.96</v>
      </c>
      <c r="AI33" s="87">
        <f t="shared" si="31"/>
        <v>3684.8</v>
      </c>
      <c r="AJ33" s="87">
        <v>0</v>
      </c>
      <c r="AK33" s="87">
        <f t="shared" si="32"/>
        <v>3611.1040000000003</v>
      </c>
      <c r="AL33" s="87">
        <v>0</v>
      </c>
      <c r="AM33" s="87">
        <f t="shared" si="33"/>
        <v>8290.800000000001</v>
      </c>
      <c r="AN33" s="87">
        <v>0</v>
      </c>
      <c r="AO33" s="87"/>
      <c r="AP33" s="87"/>
      <c r="AQ33" s="89"/>
      <c r="AR33" s="89"/>
      <c r="AS33" s="88">
        <v>7028</v>
      </c>
      <c r="AT33" s="88"/>
      <c r="AU33" s="88">
        <f>AT33*0</f>
        <v>0</v>
      </c>
      <c r="AV33" s="169"/>
      <c r="AW33" s="170">
        <v>592</v>
      </c>
      <c r="AX33" s="87">
        <f t="shared" si="34"/>
        <v>828.8</v>
      </c>
      <c r="AY33" s="51"/>
      <c r="AZ33" s="90"/>
      <c r="BA33" s="90">
        <f t="shared" si="35"/>
        <v>0</v>
      </c>
      <c r="BB33" s="90">
        <f t="shared" si="36"/>
        <v>26391.344</v>
      </c>
      <c r="BC33" s="91">
        <f>'[15]Т04-10'!$M$72+'[15]Т04-10'!$M$94</f>
        <v>484.821</v>
      </c>
      <c r="BD33" s="141">
        <f t="shared" si="37"/>
        <v>2725.4108600000072</v>
      </c>
      <c r="BE33" s="145">
        <f t="shared" si="38"/>
        <v>-3388.0200000000004</v>
      </c>
    </row>
    <row r="34" spans="1:57" ht="12.75">
      <c r="A34" s="73" t="s">
        <v>49</v>
      </c>
      <c r="B34" s="74">
        <v>3684.8</v>
      </c>
      <c r="C34" s="55">
        <f t="shared" si="21"/>
        <v>31873.520000000004</v>
      </c>
      <c r="D34" s="54">
        <f t="shared" si="22"/>
        <v>2961.4600000000055</v>
      </c>
      <c r="E34" s="75">
        <v>2678.02</v>
      </c>
      <c r="F34" s="75">
        <v>659.27</v>
      </c>
      <c r="G34" s="75">
        <v>3626.53</v>
      </c>
      <c r="H34" s="75">
        <v>893.64</v>
      </c>
      <c r="I34" s="75">
        <v>8714.89</v>
      </c>
      <c r="J34" s="75">
        <v>2146.17</v>
      </c>
      <c r="K34" s="75">
        <v>6036.8</v>
      </c>
      <c r="L34" s="75">
        <v>1486.95</v>
      </c>
      <c r="M34" s="75">
        <v>2142.45</v>
      </c>
      <c r="N34" s="75">
        <v>527.34</v>
      </c>
      <c r="O34" s="82">
        <v>0</v>
      </c>
      <c r="P34" s="82">
        <v>0</v>
      </c>
      <c r="Q34" s="82"/>
      <c r="R34" s="82"/>
      <c r="S34" s="81">
        <f t="shared" si="23"/>
        <v>23198.69</v>
      </c>
      <c r="T34" s="97">
        <f t="shared" si="24"/>
        <v>5713.370000000001</v>
      </c>
      <c r="U34" s="57">
        <v>2903.64</v>
      </c>
      <c r="V34" s="57">
        <v>3382.92</v>
      </c>
      <c r="W34" s="57">
        <v>9450.38</v>
      </c>
      <c r="X34" s="57">
        <v>5630.62</v>
      </c>
      <c r="Y34" s="57">
        <v>2323.08</v>
      </c>
      <c r="Z34" s="57">
        <v>0</v>
      </c>
      <c r="AA34" s="58">
        <v>0</v>
      </c>
      <c r="AB34" s="82">
        <f t="shared" si="25"/>
        <v>23690.64</v>
      </c>
      <c r="AC34" s="171">
        <f t="shared" si="26"/>
        <v>32365.470000000005</v>
      </c>
      <c r="AD34" s="86">
        <f t="shared" si="27"/>
        <v>0</v>
      </c>
      <c r="AE34" s="86">
        <f t="shared" si="28"/>
        <v>0</v>
      </c>
      <c r="AF34" s="86">
        <f>'[15]Т04-10'!$I$72+'[15]Т04-10'!$I$94</f>
        <v>1116.07586</v>
      </c>
      <c r="AG34" s="87">
        <f t="shared" si="29"/>
        <v>2210.88</v>
      </c>
      <c r="AH34" s="87">
        <f t="shared" si="30"/>
        <v>736.96</v>
      </c>
      <c r="AI34" s="87">
        <f t="shared" si="31"/>
        <v>3684.8</v>
      </c>
      <c r="AJ34" s="87">
        <v>0</v>
      </c>
      <c r="AK34" s="87">
        <f t="shared" si="32"/>
        <v>3611.1040000000003</v>
      </c>
      <c r="AL34" s="87">
        <v>0</v>
      </c>
      <c r="AM34" s="87">
        <f t="shared" si="33"/>
        <v>8290.800000000001</v>
      </c>
      <c r="AN34" s="87">
        <v>0</v>
      </c>
      <c r="AO34" s="87"/>
      <c r="AP34" s="87"/>
      <c r="AQ34" s="89"/>
      <c r="AR34" s="89"/>
      <c r="AS34" s="88">
        <v>5398</v>
      </c>
      <c r="AT34" s="88">
        <v>766.27</v>
      </c>
      <c r="AU34" s="88">
        <f>385*0</f>
        <v>0</v>
      </c>
      <c r="AV34" s="169"/>
      <c r="AW34" s="170">
        <v>510</v>
      </c>
      <c r="AX34" s="87">
        <f t="shared" si="34"/>
        <v>714</v>
      </c>
      <c r="AY34" s="51"/>
      <c r="AZ34" s="90"/>
      <c r="BA34" s="90">
        <f t="shared" si="35"/>
        <v>0</v>
      </c>
      <c r="BB34" s="90">
        <f t="shared" si="36"/>
        <v>25412.814000000002</v>
      </c>
      <c r="BC34" s="91">
        <f>'[15]Т04-10'!$M$72+'[15]Т04-10'!$M$94</f>
        <v>484.821</v>
      </c>
      <c r="BD34" s="141">
        <f t="shared" si="37"/>
        <v>7583.910860000004</v>
      </c>
      <c r="BE34" s="145">
        <f t="shared" si="38"/>
        <v>491.9500000000007</v>
      </c>
    </row>
    <row r="35" spans="1:57" ht="12.75">
      <c r="A35" s="73" t="s">
        <v>50</v>
      </c>
      <c r="B35" s="74">
        <v>3684.8</v>
      </c>
      <c r="C35" s="55">
        <f t="shared" si="21"/>
        <v>31873.520000000004</v>
      </c>
      <c r="D35" s="54">
        <f t="shared" si="22"/>
        <v>2961.4600000000055</v>
      </c>
      <c r="E35" s="75">
        <v>2678.02</v>
      </c>
      <c r="F35" s="75">
        <v>659.27</v>
      </c>
      <c r="G35" s="75">
        <v>3626.53</v>
      </c>
      <c r="H35" s="75">
        <v>893.64</v>
      </c>
      <c r="I35" s="75">
        <v>8714.89</v>
      </c>
      <c r="J35" s="75">
        <v>2146.17</v>
      </c>
      <c r="K35" s="75">
        <v>6036.8</v>
      </c>
      <c r="L35" s="75">
        <v>1486.95</v>
      </c>
      <c r="M35" s="75">
        <v>2142.45</v>
      </c>
      <c r="N35" s="75">
        <v>527.34</v>
      </c>
      <c r="O35" s="82">
        <v>0</v>
      </c>
      <c r="P35" s="82">
        <v>0</v>
      </c>
      <c r="Q35" s="82">
        <v>0</v>
      </c>
      <c r="R35" s="82">
        <v>0</v>
      </c>
      <c r="S35" s="81">
        <f t="shared" si="23"/>
        <v>23198.69</v>
      </c>
      <c r="T35" s="97">
        <f t="shared" si="24"/>
        <v>5713.370000000001</v>
      </c>
      <c r="U35" s="81">
        <v>2661.57</v>
      </c>
      <c r="V35" s="81">
        <v>3604.14</v>
      </c>
      <c r="W35" s="81">
        <v>8660.67</v>
      </c>
      <c r="X35" s="81">
        <v>5999.28</v>
      </c>
      <c r="Y35" s="81">
        <v>2129.38</v>
      </c>
      <c r="Z35" s="81">
        <v>0</v>
      </c>
      <c r="AA35" s="82">
        <v>0</v>
      </c>
      <c r="AB35" s="82">
        <f t="shared" si="25"/>
        <v>23055.04</v>
      </c>
      <c r="AC35" s="171">
        <f t="shared" si="26"/>
        <v>31729.870000000006</v>
      </c>
      <c r="AD35" s="86">
        <f t="shared" si="27"/>
        <v>0</v>
      </c>
      <c r="AE35" s="86">
        <f t="shared" si="28"/>
        <v>0</v>
      </c>
      <c r="AF35" s="86">
        <f>'[6]Т06-10'!$I$70+'[6]Т06-10'!$I$92</f>
        <v>1116.07586</v>
      </c>
      <c r="AG35" s="87">
        <f t="shared" si="29"/>
        <v>2210.88</v>
      </c>
      <c r="AH35" s="87">
        <f t="shared" si="30"/>
        <v>736.96</v>
      </c>
      <c r="AI35" s="87">
        <f t="shared" si="31"/>
        <v>3684.8</v>
      </c>
      <c r="AJ35" s="87">
        <v>0</v>
      </c>
      <c r="AK35" s="87">
        <f t="shared" si="32"/>
        <v>3611.1040000000003</v>
      </c>
      <c r="AL35" s="87">
        <v>0</v>
      </c>
      <c r="AM35" s="87">
        <f t="shared" si="33"/>
        <v>8290.800000000001</v>
      </c>
      <c r="AN35" s="87">
        <v>0</v>
      </c>
      <c r="AO35" s="87"/>
      <c r="AP35" s="87"/>
      <c r="AQ35" s="89">
        <v>100</v>
      </c>
      <c r="AR35" s="89"/>
      <c r="AS35" s="88">
        <v>2147</v>
      </c>
      <c r="AT35" s="88"/>
      <c r="AU35" s="88">
        <f>AT35*0</f>
        <v>0</v>
      </c>
      <c r="AV35" s="169"/>
      <c r="AW35" s="170">
        <v>350</v>
      </c>
      <c r="AX35" s="87">
        <f t="shared" si="34"/>
        <v>489.99999999999994</v>
      </c>
      <c r="AY35" s="51"/>
      <c r="AZ35" s="90"/>
      <c r="BA35" s="90">
        <f t="shared" si="35"/>
        <v>0</v>
      </c>
      <c r="BB35" s="90">
        <f t="shared" si="36"/>
        <v>21271.544</v>
      </c>
      <c r="BC35" s="91">
        <f>'[15]Т06-10'!$M$70+'[15]Т06-10'!$M$92</f>
        <v>484.821</v>
      </c>
      <c r="BD35" s="141">
        <f t="shared" si="37"/>
        <v>11089.580860000005</v>
      </c>
      <c r="BE35" s="145">
        <f t="shared" si="38"/>
        <v>-143.64999999999782</v>
      </c>
    </row>
    <row r="36" spans="1:57" ht="12.75">
      <c r="A36" s="73" t="s">
        <v>51</v>
      </c>
      <c r="B36" s="74">
        <v>3684.8</v>
      </c>
      <c r="C36" s="55">
        <f t="shared" si="21"/>
        <v>31873.520000000004</v>
      </c>
      <c r="D36" s="54">
        <f t="shared" si="22"/>
        <v>2905.740000000006</v>
      </c>
      <c r="E36" s="196">
        <v>3343.85</v>
      </c>
      <c r="F36" s="75">
        <v>0</v>
      </c>
      <c r="G36" s="75">
        <v>4528.68</v>
      </c>
      <c r="H36" s="75">
        <v>0</v>
      </c>
      <c r="I36" s="75">
        <v>10882.06</v>
      </c>
      <c r="J36" s="75">
        <v>0</v>
      </c>
      <c r="K36" s="75">
        <v>7538.15</v>
      </c>
      <c r="L36" s="75">
        <v>0</v>
      </c>
      <c r="M36" s="75">
        <v>2675.04</v>
      </c>
      <c r="N36" s="75">
        <v>0</v>
      </c>
      <c r="O36" s="82">
        <v>0</v>
      </c>
      <c r="P36" s="82">
        <v>0</v>
      </c>
      <c r="Q36" s="82"/>
      <c r="R36" s="82"/>
      <c r="S36" s="81">
        <f t="shared" si="23"/>
        <v>28967.78</v>
      </c>
      <c r="T36" s="97">
        <f t="shared" si="24"/>
        <v>0</v>
      </c>
      <c r="U36" s="98">
        <v>2490.6</v>
      </c>
      <c r="V36" s="81">
        <v>3719.89</v>
      </c>
      <c r="W36" s="81">
        <v>8101.31</v>
      </c>
      <c r="X36" s="81">
        <v>6191.79</v>
      </c>
      <c r="Y36" s="81">
        <v>1991.33</v>
      </c>
      <c r="Z36" s="81">
        <v>0</v>
      </c>
      <c r="AA36" s="82">
        <v>0</v>
      </c>
      <c r="AB36" s="82">
        <f t="shared" si="25"/>
        <v>22494.92</v>
      </c>
      <c r="AC36" s="171">
        <f t="shared" si="26"/>
        <v>25400.660000000003</v>
      </c>
      <c r="AD36" s="86">
        <f t="shared" si="27"/>
        <v>0</v>
      </c>
      <c r="AE36" s="86">
        <f t="shared" si="28"/>
        <v>0</v>
      </c>
      <c r="AF36" s="86">
        <f>'[6]Т07-10'!$I$69+'[6]Т07-10'!$I$91</f>
        <v>1116.07586</v>
      </c>
      <c r="AG36" s="87">
        <f t="shared" si="29"/>
        <v>2210.88</v>
      </c>
      <c r="AH36" s="87">
        <f t="shared" si="30"/>
        <v>736.96</v>
      </c>
      <c r="AI36" s="87">
        <f t="shared" si="31"/>
        <v>3684.8</v>
      </c>
      <c r="AJ36" s="87">
        <v>0</v>
      </c>
      <c r="AK36" s="87">
        <f t="shared" si="32"/>
        <v>3611.1040000000003</v>
      </c>
      <c r="AL36" s="87">
        <v>0</v>
      </c>
      <c r="AM36" s="87">
        <f t="shared" si="33"/>
        <v>8290.800000000001</v>
      </c>
      <c r="AN36" s="87">
        <v>0</v>
      </c>
      <c r="AO36" s="87"/>
      <c r="AP36" s="87"/>
      <c r="AQ36" s="89"/>
      <c r="AR36" s="89"/>
      <c r="AS36" s="88"/>
      <c r="AT36" s="88">
        <f>8983.05</f>
        <v>8983.05</v>
      </c>
      <c r="AU36" s="88">
        <f>AT36*0.18-0.01</f>
        <v>1616.9389999999999</v>
      </c>
      <c r="AV36" s="169"/>
      <c r="AW36" s="170">
        <v>296</v>
      </c>
      <c r="AX36" s="87">
        <f t="shared" si="34"/>
        <v>414.4</v>
      </c>
      <c r="AY36" s="51"/>
      <c r="AZ36" s="90"/>
      <c r="BA36" s="90">
        <f t="shared" si="35"/>
        <v>0</v>
      </c>
      <c r="BB36" s="90">
        <f t="shared" si="36"/>
        <v>29548.933</v>
      </c>
      <c r="BC36" s="91">
        <f>'[15]Т06-10'!$M$70+'[15]Т06-10'!$M$92</f>
        <v>484.821</v>
      </c>
      <c r="BD36" s="141">
        <f t="shared" si="37"/>
        <v>-3517.0181399999965</v>
      </c>
      <c r="BE36" s="145">
        <f t="shared" si="38"/>
        <v>-6472.860000000001</v>
      </c>
    </row>
    <row r="37" spans="1:57" ht="12.75">
      <c r="A37" s="73" t="s">
        <v>52</v>
      </c>
      <c r="B37" s="74">
        <v>3684.8</v>
      </c>
      <c r="C37" s="55">
        <f>B37*8.65</f>
        <v>31873.520000000004</v>
      </c>
      <c r="D37" s="54">
        <f>C37-E37-F37-G37-H37-I37-J37-K37-L37-M37-N37</f>
        <v>2928.3800000000056</v>
      </c>
      <c r="E37" s="196">
        <v>3341.19</v>
      </c>
      <c r="F37" s="75">
        <v>0</v>
      </c>
      <c r="G37" s="75">
        <v>4525.23</v>
      </c>
      <c r="H37" s="75">
        <v>0</v>
      </c>
      <c r="I37" s="75">
        <v>10873.52</v>
      </c>
      <c r="J37" s="75">
        <v>0</v>
      </c>
      <c r="K37" s="75">
        <v>7532.29</v>
      </c>
      <c r="L37" s="75">
        <v>0</v>
      </c>
      <c r="M37" s="75">
        <v>2672.91</v>
      </c>
      <c r="N37" s="75">
        <v>0</v>
      </c>
      <c r="O37" s="82">
        <v>0</v>
      </c>
      <c r="P37" s="82">
        <v>0</v>
      </c>
      <c r="Q37" s="82"/>
      <c r="R37" s="82"/>
      <c r="S37" s="81">
        <f>E37+G37+I37+K37+M37+O37+Q37</f>
        <v>28945.140000000003</v>
      </c>
      <c r="T37" s="97">
        <f>P37+N37+L37+J37+H37+F37+R37</f>
        <v>0</v>
      </c>
      <c r="U37" s="57">
        <v>2906.12</v>
      </c>
      <c r="V37" s="57">
        <v>3937.71</v>
      </c>
      <c r="W37" s="57">
        <v>9462.13</v>
      </c>
      <c r="X37" s="57">
        <v>6554.58</v>
      </c>
      <c r="Y37" s="57">
        <v>2326.02</v>
      </c>
      <c r="Z37" s="57">
        <v>0</v>
      </c>
      <c r="AA37" s="58">
        <v>0</v>
      </c>
      <c r="AB37" s="82">
        <f>SUM(U37:AA37)</f>
        <v>25186.56</v>
      </c>
      <c r="AC37" s="171">
        <f>D37+T37+AB37</f>
        <v>28114.940000000006</v>
      </c>
      <c r="AD37" s="86">
        <f>P37+Z37</f>
        <v>0</v>
      </c>
      <c r="AE37" s="86">
        <f>R37+AA37</f>
        <v>0</v>
      </c>
      <c r="AF37" s="86">
        <f>'[6]Т07-10'!$I$69+'[6]Т07-10'!$I$91</f>
        <v>1116.07586</v>
      </c>
      <c r="AG37" s="87">
        <f>0.6*B37</f>
        <v>2210.88</v>
      </c>
      <c r="AH37" s="87">
        <f>B37*0.2</f>
        <v>736.96</v>
      </c>
      <c r="AI37" s="87">
        <f>1*B37</f>
        <v>3684.8</v>
      </c>
      <c r="AJ37" s="87">
        <v>0</v>
      </c>
      <c r="AK37" s="87">
        <f>0.98*B37</f>
        <v>3611.1040000000003</v>
      </c>
      <c r="AL37" s="87">
        <v>0</v>
      </c>
      <c r="AM37" s="87">
        <f>2.25*B37</f>
        <v>8290.800000000001</v>
      </c>
      <c r="AN37" s="87">
        <v>0</v>
      </c>
      <c r="AO37" s="87"/>
      <c r="AP37" s="87"/>
      <c r="AQ37" s="89"/>
      <c r="AR37" s="89"/>
      <c r="AS37" s="88">
        <v>6120</v>
      </c>
      <c r="AT37" s="88">
        <f>47.8</f>
        <v>47.8</v>
      </c>
      <c r="AU37" s="88">
        <f>0*0.18</f>
        <v>0</v>
      </c>
      <c r="AV37" s="169"/>
      <c r="AW37" s="170">
        <v>311</v>
      </c>
      <c r="AX37" s="87">
        <f t="shared" si="34"/>
        <v>435.4</v>
      </c>
      <c r="AY37" s="51"/>
      <c r="AZ37" s="90"/>
      <c r="BA37" s="90">
        <f>AZ37*0.18</f>
        <v>0</v>
      </c>
      <c r="BB37" s="90">
        <f>SUM(AG37:BA37)-AV37-AW37</f>
        <v>25137.744000000002</v>
      </c>
      <c r="BC37" s="91">
        <f>'[15]Т06-10'!$M$70+'[15]Т06-10'!$M$92</f>
        <v>484.821</v>
      </c>
      <c r="BD37" s="141">
        <f t="shared" si="37"/>
        <v>3608.4508600000045</v>
      </c>
      <c r="BE37" s="145">
        <f t="shared" si="38"/>
        <v>-3758.5800000000017</v>
      </c>
    </row>
    <row r="38" spans="1:57" ht="12.75">
      <c r="A38" s="73" t="s">
        <v>53</v>
      </c>
      <c r="B38" s="74">
        <v>3684.8</v>
      </c>
      <c r="C38" s="55">
        <f>B38*8.65</f>
        <v>31873.520000000004</v>
      </c>
      <c r="D38" s="54">
        <f>C38-E38-F38-G38-H38-I38-J38-K38-L38-M38-N38</f>
        <v>2919.4300000000076</v>
      </c>
      <c r="E38" s="75">
        <v>3342.24</v>
      </c>
      <c r="F38" s="75">
        <v>0</v>
      </c>
      <c r="G38" s="75">
        <v>4526.6</v>
      </c>
      <c r="H38" s="75">
        <v>0</v>
      </c>
      <c r="I38" s="75">
        <v>10876.89</v>
      </c>
      <c r="J38" s="75">
        <v>0</v>
      </c>
      <c r="K38" s="75">
        <v>7534.6</v>
      </c>
      <c r="L38" s="75">
        <v>0</v>
      </c>
      <c r="M38" s="75">
        <v>2673.76</v>
      </c>
      <c r="N38" s="75">
        <v>0</v>
      </c>
      <c r="O38" s="82">
        <v>0</v>
      </c>
      <c r="P38" s="82">
        <v>0</v>
      </c>
      <c r="Q38" s="82"/>
      <c r="R38" s="82"/>
      <c r="S38" s="81">
        <f>E38+G38+I38+K38+M38+O38+Q38</f>
        <v>28954.090000000004</v>
      </c>
      <c r="T38" s="97">
        <f>P38+N38+L38+J38+H38+F38+R38</f>
        <v>0</v>
      </c>
      <c r="U38" s="81">
        <v>3071.91</v>
      </c>
      <c r="V38" s="81">
        <v>4231.97</v>
      </c>
      <c r="W38" s="81">
        <v>9993.5</v>
      </c>
      <c r="X38" s="81">
        <v>6922.74</v>
      </c>
      <c r="Y38" s="81">
        <v>2457.51</v>
      </c>
      <c r="Z38" s="81">
        <v>0</v>
      </c>
      <c r="AA38" s="82">
        <v>0</v>
      </c>
      <c r="AB38" s="82">
        <f>SUM(U38:AA38)</f>
        <v>26677.630000000005</v>
      </c>
      <c r="AC38" s="171">
        <f>D38+T38+AB38</f>
        <v>29597.060000000012</v>
      </c>
      <c r="AD38" s="86">
        <f>P38+Z38</f>
        <v>0</v>
      </c>
      <c r="AE38" s="86">
        <f>R38+AA38</f>
        <v>0</v>
      </c>
      <c r="AF38" s="86">
        <f>'[6]Т07-10'!$I$69+'[6]Т07-10'!$I$91</f>
        <v>1116.07586</v>
      </c>
      <c r="AG38" s="87">
        <f>0.6*B38</f>
        <v>2210.88</v>
      </c>
      <c r="AH38" s="87">
        <f>B38*0.2</f>
        <v>736.96</v>
      </c>
      <c r="AI38" s="87">
        <f>1*B38</f>
        <v>3684.8</v>
      </c>
      <c r="AJ38" s="87">
        <v>0</v>
      </c>
      <c r="AK38" s="87">
        <f>0.98*B38</f>
        <v>3611.1040000000003</v>
      </c>
      <c r="AL38" s="87">
        <v>0</v>
      </c>
      <c r="AM38" s="87">
        <f>2.25*B38</f>
        <v>8290.800000000001</v>
      </c>
      <c r="AN38" s="87">
        <v>0</v>
      </c>
      <c r="AO38" s="87">
        <v>11441.52</v>
      </c>
      <c r="AP38" s="87"/>
      <c r="AQ38" s="89"/>
      <c r="AR38" s="89"/>
      <c r="AS38" s="88">
        <v>5321</v>
      </c>
      <c r="AT38" s="88"/>
      <c r="AU38" s="197">
        <f>0*0.18</f>
        <v>0</v>
      </c>
      <c r="AV38" s="169"/>
      <c r="AW38" s="170">
        <v>417</v>
      </c>
      <c r="AX38" s="87">
        <f t="shared" si="34"/>
        <v>583.8</v>
      </c>
      <c r="AY38" s="51"/>
      <c r="AZ38" s="90"/>
      <c r="BA38" s="90">
        <f>AZ38*0.18</f>
        <v>0</v>
      </c>
      <c r="BB38" s="90">
        <f>SUM(AG38:BA38)-AV38-AW38</f>
        <v>35880.864</v>
      </c>
      <c r="BC38" s="91">
        <f>'[15]Т06-10'!$M$70+'[15]Т06-10'!$M$92</f>
        <v>484.821</v>
      </c>
      <c r="BD38" s="141">
        <f t="shared" si="37"/>
        <v>-5652.549139999988</v>
      </c>
      <c r="BE38" s="145">
        <f t="shared" si="38"/>
        <v>-2276.459999999999</v>
      </c>
    </row>
    <row r="39" spans="1:57" ht="12.75">
      <c r="A39" s="73" t="s">
        <v>41</v>
      </c>
      <c r="B39" s="74">
        <v>3684.8</v>
      </c>
      <c r="C39" s="55">
        <f>B39*8.65</f>
        <v>31873.520000000004</v>
      </c>
      <c r="D39" s="54">
        <f>C39-E39-F39-G39-H39-I39-J39-K39-L39-M39-N39</f>
        <v>2893.390000000002</v>
      </c>
      <c r="E39" s="180">
        <v>3345.31</v>
      </c>
      <c r="F39" s="180">
        <v>0</v>
      </c>
      <c r="G39" s="180">
        <v>4530.57</v>
      </c>
      <c r="H39" s="180">
        <v>0</v>
      </c>
      <c r="I39" s="180">
        <v>10886.7</v>
      </c>
      <c r="J39" s="180">
        <v>0</v>
      </c>
      <c r="K39" s="180">
        <v>7541.35</v>
      </c>
      <c r="L39" s="180">
        <v>0</v>
      </c>
      <c r="M39" s="180">
        <v>2676.2</v>
      </c>
      <c r="N39" s="180">
        <v>0</v>
      </c>
      <c r="O39" s="52">
        <v>0</v>
      </c>
      <c r="P39" s="52">
        <v>0</v>
      </c>
      <c r="Q39" s="52"/>
      <c r="R39" s="52"/>
      <c r="S39" s="81">
        <f>E39+G39+I39+K39+M39+O39+Q39</f>
        <v>28980.13</v>
      </c>
      <c r="T39" s="97">
        <f>P39+N39+L39+J39+H39+F39+R39</f>
        <v>0</v>
      </c>
      <c r="U39" s="81">
        <v>3014.56</v>
      </c>
      <c r="V39" s="81">
        <v>4197.87</v>
      </c>
      <c r="W39" s="81">
        <v>10262.75</v>
      </c>
      <c r="X39" s="81">
        <v>7048.97</v>
      </c>
      <c r="Y39" s="81">
        <v>2409.6</v>
      </c>
      <c r="Z39" s="81">
        <v>0</v>
      </c>
      <c r="AA39" s="82">
        <v>0</v>
      </c>
      <c r="AB39" s="82">
        <f>SUM(U39:AA39)</f>
        <v>26933.75</v>
      </c>
      <c r="AC39" s="171">
        <f>D39+T39+AB39</f>
        <v>29827.140000000003</v>
      </c>
      <c r="AD39" s="86">
        <f>P39+Z39</f>
        <v>0</v>
      </c>
      <c r="AE39" s="86">
        <f>R39+AA39</f>
        <v>0</v>
      </c>
      <c r="AF39" s="86">
        <f>'[5]Т10-10'!$I$69+'[5]Т10-10'!$I$91+150</f>
        <v>1266.07586</v>
      </c>
      <c r="AG39" s="87">
        <f>0.6*B39</f>
        <v>2210.88</v>
      </c>
      <c r="AH39" s="87">
        <f>B39*0.2</f>
        <v>736.96</v>
      </c>
      <c r="AI39" s="87">
        <f>1*B39</f>
        <v>3684.8</v>
      </c>
      <c r="AJ39" s="87">
        <v>0</v>
      </c>
      <c r="AK39" s="87">
        <f>0.98*B39</f>
        <v>3611.1040000000003</v>
      </c>
      <c r="AL39" s="87">
        <v>0</v>
      </c>
      <c r="AM39" s="87">
        <f>2.25*B39</f>
        <v>8290.800000000001</v>
      </c>
      <c r="AN39" s="87">
        <v>0</v>
      </c>
      <c r="AO39" s="87"/>
      <c r="AP39" s="87"/>
      <c r="AQ39" s="89"/>
      <c r="AR39" s="89"/>
      <c r="AS39" s="88">
        <v>2067</v>
      </c>
      <c r="AT39" s="88"/>
      <c r="AU39" s="88">
        <f>AT39*0.18</f>
        <v>0</v>
      </c>
      <c r="AV39" s="169"/>
      <c r="AW39" s="170">
        <v>422</v>
      </c>
      <c r="AX39" s="87">
        <f>AW39*1.4</f>
        <v>590.8</v>
      </c>
      <c r="AY39" s="51"/>
      <c r="AZ39" s="90"/>
      <c r="BA39" s="90">
        <f>AZ39*0.18</f>
        <v>0</v>
      </c>
      <c r="BB39" s="90">
        <f>SUM(AG39:BA39)-AV39-AW39</f>
        <v>21192.344</v>
      </c>
      <c r="BC39" s="91">
        <f>'[5]Т10-10'!$M$69+'[5]Т10-10'!$M$91+37.5</f>
        <v>522.321</v>
      </c>
      <c r="BD39" s="141">
        <f t="shared" si="37"/>
        <v>9378.550860000003</v>
      </c>
      <c r="BE39" s="145">
        <f t="shared" si="38"/>
        <v>-2046.380000000001</v>
      </c>
    </row>
    <row r="40" spans="1:57" ht="12.75">
      <c r="A40" s="73" t="s">
        <v>42</v>
      </c>
      <c r="B40" s="74">
        <v>3684.8</v>
      </c>
      <c r="C40" s="55">
        <f>B40*8.65</f>
        <v>31873.520000000004</v>
      </c>
      <c r="D40" s="54">
        <f>C40-E40-F40-G40-H40-I40-J40-K40-L40-M40-N40</f>
        <v>2823.840000000004</v>
      </c>
      <c r="E40" s="75">
        <v>3353.48</v>
      </c>
      <c r="F40" s="75">
        <v>0</v>
      </c>
      <c r="G40" s="75">
        <v>4541.22</v>
      </c>
      <c r="H40" s="75">
        <v>0</v>
      </c>
      <c r="I40" s="75">
        <v>10912.88</v>
      </c>
      <c r="J40" s="75">
        <v>0</v>
      </c>
      <c r="K40" s="75">
        <v>7559.35</v>
      </c>
      <c r="L40" s="75">
        <v>0</v>
      </c>
      <c r="M40" s="75">
        <v>2682.75</v>
      </c>
      <c r="N40" s="75">
        <v>0</v>
      </c>
      <c r="O40" s="82">
        <v>0</v>
      </c>
      <c r="P40" s="82">
        <v>0</v>
      </c>
      <c r="Q40" s="82"/>
      <c r="R40" s="82"/>
      <c r="S40" s="81">
        <f>E40+G40+I40+K40+M40+O40+Q40</f>
        <v>29049.68</v>
      </c>
      <c r="T40" s="97">
        <f>P40+N40+L40+J40+H40+F40+R40</f>
        <v>0</v>
      </c>
      <c r="U40" s="98">
        <v>3723.14</v>
      </c>
      <c r="V40" s="81">
        <v>5017.1</v>
      </c>
      <c r="W40" s="81">
        <v>12117.57</v>
      </c>
      <c r="X40" s="81">
        <v>8394.34</v>
      </c>
      <c r="Y40" s="81">
        <v>2979.59</v>
      </c>
      <c r="Z40" s="81">
        <v>0</v>
      </c>
      <c r="AA40" s="82">
        <v>0</v>
      </c>
      <c r="AB40" s="82">
        <f>SUM(U40:AA40)</f>
        <v>32231.739999999998</v>
      </c>
      <c r="AC40" s="171">
        <f>D40+T40+AB40</f>
        <v>35055.58</v>
      </c>
      <c r="AD40" s="86">
        <f>P40+Z40</f>
        <v>0</v>
      </c>
      <c r="AE40" s="86">
        <f>R40+AA40</f>
        <v>0</v>
      </c>
      <c r="AF40" s="86">
        <f>'[6]Т11'!$I$69+'[6]Т11'!$I$91+150</f>
        <v>782.70066</v>
      </c>
      <c r="AG40" s="87">
        <f>0.6*B40</f>
        <v>2210.88</v>
      </c>
      <c r="AH40" s="87">
        <f>B40*0.2</f>
        <v>736.96</v>
      </c>
      <c r="AI40" s="87">
        <f>1*B40</f>
        <v>3684.8</v>
      </c>
      <c r="AJ40" s="87">
        <v>0</v>
      </c>
      <c r="AK40" s="87">
        <f>0.98*B40</f>
        <v>3611.1040000000003</v>
      </c>
      <c r="AL40" s="87">
        <v>0</v>
      </c>
      <c r="AM40" s="87">
        <f>2.25*B40</f>
        <v>8290.800000000001</v>
      </c>
      <c r="AN40" s="87">
        <v>0</v>
      </c>
      <c r="AO40" s="87"/>
      <c r="AP40" s="87"/>
      <c r="AQ40" s="89"/>
      <c r="AR40" s="89"/>
      <c r="AS40" s="88">
        <v>1818</v>
      </c>
      <c r="AT40" s="88"/>
      <c r="AU40" s="88">
        <f>AT40*0.18</f>
        <v>0</v>
      </c>
      <c r="AV40" s="169"/>
      <c r="AW40" s="170">
        <v>568</v>
      </c>
      <c r="AX40" s="87">
        <f>AW40*1.4</f>
        <v>795.1999999999999</v>
      </c>
      <c r="AY40" s="51"/>
      <c r="AZ40" s="90"/>
      <c r="BA40" s="90">
        <v>0</v>
      </c>
      <c r="BB40" s="90">
        <f>SUM(AG40:BA40)-AV40-AW40</f>
        <v>21147.744000000002</v>
      </c>
      <c r="BC40" s="91">
        <f>'[6]Т10-10'!$M$69+'[6]Т10-10'!$M$91+37.5</f>
        <v>522.321</v>
      </c>
      <c r="BD40" s="141">
        <f t="shared" si="37"/>
        <v>14168.215660000002</v>
      </c>
      <c r="BE40" s="145">
        <f t="shared" si="38"/>
        <v>3182.0599999999977</v>
      </c>
    </row>
    <row r="41" spans="1:57" ht="12.75">
      <c r="A41" s="73" t="s">
        <v>43</v>
      </c>
      <c r="B41" s="74">
        <v>3684.8</v>
      </c>
      <c r="C41" s="55">
        <f>B41*8.65</f>
        <v>31873.520000000004</v>
      </c>
      <c r="D41" s="54">
        <f>C41-E41-F41-G41-H41-I41-J41-K41-L41-M41-N41</f>
        <v>2807.970000000004</v>
      </c>
      <c r="E41" s="75">
        <v>3355.35</v>
      </c>
      <c r="F41" s="75">
        <v>0</v>
      </c>
      <c r="G41" s="75">
        <v>4543.63</v>
      </c>
      <c r="H41" s="75">
        <v>0</v>
      </c>
      <c r="I41" s="75">
        <v>10918.86</v>
      </c>
      <c r="J41" s="75">
        <v>0</v>
      </c>
      <c r="K41" s="75">
        <v>7563.47</v>
      </c>
      <c r="L41" s="75">
        <v>0</v>
      </c>
      <c r="M41" s="75">
        <v>2684.24</v>
      </c>
      <c r="N41" s="75">
        <v>0</v>
      </c>
      <c r="O41" s="82">
        <v>0</v>
      </c>
      <c r="P41" s="82">
        <v>0</v>
      </c>
      <c r="Q41" s="82"/>
      <c r="R41" s="82"/>
      <c r="S41" s="81">
        <f>E41+G41+I41+K41+M41+O41+Q41</f>
        <v>29065.550000000003</v>
      </c>
      <c r="T41" s="97">
        <f>P41+N41+L41+J41+H41+F41+R41</f>
        <v>0</v>
      </c>
      <c r="U41" s="81">
        <v>3872.93</v>
      </c>
      <c r="V41" s="81">
        <v>5237.14</v>
      </c>
      <c r="W41" s="81">
        <v>17197.66</v>
      </c>
      <c r="X41" s="81">
        <v>8730.46</v>
      </c>
      <c r="Y41" s="81">
        <v>3098.71</v>
      </c>
      <c r="Z41" s="81">
        <v>0</v>
      </c>
      <c r="AA41" s="82">
        <v>0</v>
      </c>
      <c r="AB41" s="82">
        <f>SUM(U41:AA41)</f>
        <v>38136.9</v>
      </c>
      <c r="AC41" s="171">
        <f>D41+T41+AB41</f>
        <v>40944.87</v>
      </c>
      <c r="AD41" s="86">
        <f>P41+Z41</f>
        <v>0</v>
      </c>
      <c r="AE41" s="86">
        <f>R41+AA41</f>
        <v>0</v>
      </c>
      <c r="AF41" s="86">
        <f>'[6]Т11'!$I$69+'[6]Т11'!$I$91+150</f>
        <v>782.70066</v>
      </c>
      <c r="AG41" s="87">
        <f>0.6*B41</f>
        <v>2210.88</v>
      </c>
      <c r="AH41" s="87">
        <f>B41*0.2</f>
        <v>736.96</v>
      </c>
      <c r="AI41" s="87">
        <f>1*B41</f>
        <v>3684.8</v>
      </c>
      <c r="AJ41" s="87">
        <v>0</v>
      </c>
      <c r="AK41" s="87">
        <f>0.98*B41</f>
        <v>3611.1040000000003</v>
      </c>
      <c r="AL41" s="87">
        <v>0</v>
      </c>
      <c r="AM41" s="87">
        <f>2.25*B41</f>
        <v>8290.800000000001</v>
      </c>
      <c r="AN41" s="87">
        <v>0</v>
      </c>
      <c r="AO41" s="87"/>
      <c r="AP41" s="87"/>
      <c r="AQ41" s="89"/>
      <c r="AR41" s="89"/>
      <c r="AS41" s="88">
        <v>3885</v>
      </c>
      <c r="AT41" s="88">
        <f>12000+567.81+927.12+4849.52+615.85</f>
        <v>18960.3</v>
      </c>
      <c r="AU41" s="88">
        <f>(567.81+927.12+4849.52+615.85)*0.18</f>
        <v>1252.854</v>
      </c>
      <c r="AV41" s="169"/>
      <c r="AW41" s="170">
        <v>974</v>
      </c>
      <c r="AX41" s="87">
        <f>AW41*1.4+10249.4</f>
        <v>11613</v>
      </c>
      <c r="AY41" s="51"/>
      <c r="AZ41" s="90"/>
      <c r="BA41" s="90">
        <v>0</v>
      </c>
      <c r="BB41" s="90">
        <f>SUM(AG41:BA41)-AV41-AW41</f>
        <v>54245.698</v>
      </c>
      <c r="BC41" s="91">
        <f>'[6]Т10-10'!$M$69+'[6]Т10-10'!$M$91+37.5</f>
        <v>522.321</v>
      </c>
      <c r="BD41" s="141">
        <f t="shared" si="37"/>
        <v>-13040.448339999992</v>
      </c>
      <c r="BE41" s="145">
        <f t="shared" si="38"/>
        <v>9071.349999999999</v>
      </c>
    </row>
    <row r="42" spans="1:57" s="15" customFormat="1" ht="12.75">
      <c r="A42" s="9" t="s">
        <v>5</v>
      </c>
      <c r="B42" s="10"/>
      <c r="C42" s="10">
        <f aca="true" t="shared" si="39" ref="C42:AU42">SUM(C30:C41)</f>
        <v>382481.3750000001</v>
      </c>
      <c r="D42" s="10">
        <f t="shared" si="39"/>
        <v>35052.29500000004</v>
      </c>
      <c r="E42" s="11">
        <f t="shared" si="39"/>
        <v>36246.88</v>
      </c>
      <c r="F42" s="11">
        <f t="shared" si="39"/>
        <v>3857.54</v>
      </c>
      <c r="G42" s="11">
        <f t="shared" si="39"/>
        <v>49087.42999999999</v>
      </c>
      <c r="H42" s="11">
        <f t="shared" si="39"/>
        <v>5228.88</v>
      </c>
      <c r="I42" s="11">
        <f t="shared" si="39"/>
        <v>117957.34</v>
      </c>
      <c r="J42" s="11">
        <f t="shared" si="39"/>
        <v>12557.73</v>
      </c>
      <c r="K42" s="11">
        <f t="shared" si="39"/>
        <v>81709.76000000001</v>
      </c>
      <c r="L42" s="11">
        <f t="shared" si="39"/>
        <v>8700.47</v>
      </c>
      <c r="M42" s="11">
        <f t="shared" si="39"/>
        <v>28997.47</v>
      </c>
      <c r="N42" s="11">
        <f t="shared" si="39"/>
        <v>3085.5800000000004</v>
      </c>
      <c r="O42" s="11">
        <f t="shared" si="39"/>
        <v>0</v>
      </c>
      <c r="P42" s="11">
        <f t="shared" si="39"/>
        <v>0</v>
      </c>
      <c r="Q42" s="11">
        <f t="shared" si="39"/>
        <v>0</v>
      </c>
      <c r="R42" s="11">
        <f t="shared" si="39"/>
        <v>0</v>
      </c>
      <c r="S42" s="11">
        <f t="shared" si="39"/>
        <v>313998.88</v>
      </c>
      <c r="T42" s="11">
        <f t="shared" si="39"/>
        <v>33430.200000000004</v>
      </c>
      <c r="U42" s="12">
        <f t="shared" si="39"/>
        <v>32912.71</v>
      </c>
      <c r="V42" s="12">
        <f t="shared" si="39"/>
        <v>44515.72</v>
      </c>
      <c r="W42" s="12">
        <f t="shared" si="39"/>
        <v>112142.95999999999</v>
      </c>
      <c r="X42" s="12">
        <f t="shared" si="39"/>
        <v>74101.32</v>
      </c>
      <c r="Y42" s="12">
        <f t="shared" si="39"/>
        <v>26330.239999999998</v>
      </c>
      <c r="Z42" s="12">
        <f t="shared" si="39"/>
        <v>0</v>
      </c>
      <c r="AA42" s="12">
        <f t="shared" si="39"/>
        <v>0</v>
      </c>
      <c r="AB42" s="12">
        <f t="shared" si="39"/>
        <v>290002.95</v>
      </c>
      <c r="AC42" s="12">
        <f t="shared" si="39"/>
        <v>358485.44500000007</v>
      </c>
      <c r="AD42" s="12">
        <f t="shared" si="39"/>
        <v>0</v>
      </c>
      <c r="AE42" s="45">
        <f t="shared" si="39"/>
        <v>0</v>
      </c>
      <c r="AF42" s="45">
        <f t="shared" si="39"/>
        <v>12876.159920000002</v>
      </c>
      <c r="AG42" s="13">
        <f t="shared" si="39"/>
        <v>26530.500000000007</v>
      </c>
      <c r="AH42" s="13">
        <f t="shared" si="39"/>
        <v>8843.5</v>
      </c>
      <c r="AI42" s="13">
        <f t="shared" si="39"/>
        <v>44217.50000000001</v>
      </c>
      <c r="AJ42" s="13">
        <f t="shared" si="39"/>
        <v>0</v>
      </c>
      <c r="AK42" s="13">
        <f t="shared" si="39"/>
        <v>43333.149999999994</v>
      </c>
      <c r="AL42" s="13">
        <f t="shared" si="39"/>
        <v>0</v>
      </c>
      <c r="AM42" s="13">
        <f t="shared" si="39"/>
        <v>99489.37500000003</v>
      </c>
      <c r="AN42" s="13">
        <f t="shared" si="39"/>
        <v>0</v>
      </c>
      <c r="AO42" s="13">
        <f t="shared" si="39"/>
        <v>11441.52</v>
      </c>
      <c r="AP42" s="13">
        <f t="shared" si="39"/>
        <v>0</v>
      </c>
      <c r="AQ42" s="13">
        <f t="shared" si="39"/>
        <v>6260</v>
      </c>
      <c r="AR42" s="13">
        <f t="shared" si="39"/>
        <v>0</v>
      </c>
      <c r="AS42" s="13">
        <f t="shared" si="39"/>
        <v>40087</v>
      </c>
      <c r="AT42" s="13">
        <f t="shared" si="39"/>
        <v>28757.42</v>
      </c>
      <c r="AU42" s="13">
        <f t="shared" si="39"/>
        <v>2869.7929999999997</v>
      </c>
      <c r="AV42" s="13"/>
      <c r="AW42" s="13"/>
      <c r="AX42" s="13">
        <f aca="true" t="shared" si="40" ref="AX42:BE42">SUM(AX30:AX41)</f>
        <v>20326.6</v>
      </c>
      <c r="AY42" s="13">
        <f t="shared" si="40"/>
        <v>0</v>
      </c>
      <c r="AZ42" s="13">
        <f t="shared" si="40"/>
        <v>0</v>
      </c>
      <c r="BA42" s="13">
        <f t="shared" si="40"/>
        <v>0</v>
      </c>
      <c r="BB42" s="13">
        <f t="shared" si="40"/>
        <v>332156.35799999995</v>
      </c>
      <c r="BC42" s="13">
        <f t="shared" si="40"/>
        <v>5930.352</v>
      </c>
      <c r="BD42" s="13">
        <f t="shared" si="40"/>
        <v>33274.89492000005</v>
      </c>
      <c r="BE42" s="14">
        <f t="shared" si="40"/>
        <v>-23995.930000000015</v>
      </c>
    </row>
    <row r="43" spans="1:57" ht="12.75">
      <c r="A43" s="73"/>
      <c r="B43" s="185"/>
      <c r="C43" s="186"/>
      <c r="D43" s="186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8"/>
      <c r="T43" s="188"/>
      <c r="U43" s="102"/>
      <c r="V43" s="102"/>
      <c r="W43" s="102"/>
      <c r="X43" s="102"/>
      <c r="Y43" s="102"/>
      <c r="Z43" s="102"/>
      <c r="AA43" s="102"/>
      <c r="AB43" s="102"/>
      <c r="AC43" s="46"/>
      <c r="AD43" s="46"/>
      <c r="AE43" s="86"/>
      <c r="AF43" s="86"/>
      <c r="AG43" s="87"/>
      <c r="AH43" s="87"/>
      <c r="AI43" s="87"/>
      <c r="AJ43" s="87"/>
      <c r="AK43" s="87"/>
      <c r="AL43" s="87"/>
      <c r="AM43" s="87"/>
      <c r="AN43" s="87"/>
      <c r="AO43" s="189"/>
      <c r="AP43" s="189"/>
      <c r="AQ43" s="189"/>
      <c r="AR43" s="189"/>
      <c r="AS43" s="189"/>
      <c r="AT43" s="189"/>
      <c r="AU43" s="87"/>
      <c r="AV43" s="87"/>
      <c r="AW43" s="87"/>
      <c r="AX43" s="71"/>
      <c r="AY43" s="189"/>
      <c r="AZ43" s="189"/>
      <c r="BA43" s="87"/>
      <c r="BB43" s="87"/>
      <c r="BC43" s="87"/>
      <c r="BD43" s="87"/>
      <c r="BE43" s="166"/>
    </row>
    <row r="44" spans="1:57" s="15" customFormat="1" ht="13.5" thickBot="1">
      <c r="A44" s="16" t="s">
        <v>54</v>
      </c>
      <c r="B44" s="17"/>
      <c r="C44" s="17">
        <f aca="true" t="shared" si="41" ref="C44:AU44">C28+C42</f>
        <v>860543.5200000001</v>
      </c>
      <c r="D44" s="17">
        <f t="shared" si="41"/>
        <v>99566.59390265006</v>
      </c>
      <c r="E44" s="190">
        <f t="shared" si="41"/>
        <v>74751.1</v>
      </c>
      <c r="F44" s="190">
        <f t="shared" si="41"/>
        <v>12647.48</v>
      </c>
      <c r="G44" s="190">
        <f t="shared" si="41"/>
        <v>101162.34</v>
      </c>
      <c r="H44" s="190">
        <f t="shared" si="41"/>
        <v>17122.920000000002</v>
      </c>
      <c r="I44" s="190">
        <f t="shared" si="41"/>
        <v>243328.5</v>
      </c>
      <c r="J44" s="190">
        <f t="shared" si="41"/>
        <v>41152.21000000001</v>
      </c>
      <c r="K44" s="190">
        <f t="shared" si="41"/>
        <v>168438.62</v>
      </c>
      <c r="L44" s="190">
        <f t="shared" si="41"/>
        <v>28505.269999999997</v>
      </c>
      <c r="M44" s="190">
        <f t="shared" si="41"/>
        <v>59783.17</v>
      </c>
      <c r="N44" s="190">
        <f t="shared" si="41"/>
        <v>10116.76</v>
      </c>
      <c r="O44" s="190">
        <f t="shared" si="41"/>
        <v>0</v>
      </c>
      <c r="P44" s="190">
        <f t="shared" si="41"/>
        <v>0</v>
      </c>
      <c r="Q44" s="190">
        <f t="shared" si="41"/>
        <v>0</v>
      </c>
      <c r="R44" s="190">
        <f t="shared" si="41"/>
        <v>0</v>
      </c>
      <c r="S44" s="190">
        <f t="shared" si="41"/>
        <v>647463.73</v>
      </c>
      <c r="T44" s="190">
        <f t="shared" si="41"/>
        <v>109544.64000000001</v>
      </c>
      <c r="U44" s="191">
        <f t="shared" si="41"/>
        <v>67715.62</v>
      </c>
      <c r="V44" s="191">
        <f t="shared" si="41"/>
        <v>91578.66</v>
      </c>
      <c r="W44" s="191">
        <f t="shared" si="41"/>
        <v>225469.61</v>
      </c>
      <c r="X44" s="191">
        <f t="shared" si="41"/>
        <v>152486.76</v>
      </c>
      <c r="Y44" s="191">
        <f t="shared" si="41"/>
        <v>54172.39</v>
      </c>
      <c r="Z44" s="191">
        <f t="shared" si="41"/>
        <v>0</v>
      </c>
      <c r="AA44" s="191">
        <f t="shared" si="41"/>
        <v>0</v>
      </c>
      <c r="AB44" s="191">
        <f t="shared" si="41"/>
        <v>591423.04</v>
      </c>
      <c r="AC44" s="191">
        <f t="shared" si="41"/>
        <v>800534.2739026501</v>
      </c>
      <c r="AD44" s="191">
        <f t="shared" si="41"/>
        <v>0</v>
      </c>
      <c r="AE44" s="191">
        <f t="shared" si="41"/>
        <v>0</v>
      </c>
      <c r="AF44" s="191">
        <f t="shared" si="41"/>
        <v>19572.615080000003</v>
      </c>
      <c r="AG44" s="17">
        <f t="shared" si="41"/>
        <v>58806.456000000006</v>
      </c>
      <c r="AH44" s="17">
        <f t="shared" si="41"/>
        <v>19705.0068264</v>
      </c>
      <c r="AI44" s="17">
        <f t="shared" si="41"/>
        <v>89474.61816075002</v>
      </c>
      <c r="AJ44" s="17">
        <f t="shared" si="41"/>
        <v>8146.281268934999</v>
      </c>
      <c r="AK44" s="17">
        <f t="shared" si="41"/>
        <v>89126.36477223</v>
      </c>
      <c r="AL44" s="17">
        <f t="shared" si="41"/>
        <v>8242.778659001398</v>
      </c>
      <c r="AM44" s="17">
        <f t="shared" si="41"/>
        <v>199770.70199431817</v>
      </c>
      <c r="AN44" s="17">
        <f t="shared" si="41"/>
        <v>18050.63885897726</v>
      </c>
      <c r="AO44" s="17">
        <f t="shared" si="41"/>
        <v>21378.690000000002</v>
      </c>
      <c r="AP44" s="17">
        <f t="shared" si="41"/>
        <v>1788.6906</v>
      </c>
      <c r="AQ44" s="17">
        <f t="shared" si="41"/>
        <v>31939.04</v>
      </c>
      <c r="AR44" s="17">
        <f t="shared" si="41"/>
        <v>4622.2272</v>
      </c>
      <c r="AS44" s="17">
        <f t="shared" si="41"/>
        <v>200393.05</v>
      </c>
      <c r="AT44" s="17">
        <f t="shared" si="41"/>
        <v>29507.42</v>
      </c>
      <c r="AU44" s="17">
        <f t="shared" si="41"/>
        <v>31859.881999999998</v>
      </c>
      <c r="AV44" s="17"/>
      <c r="AW44" s="17"/>
      <c r="AX44" s="17">
        <f aca="true" t="shared" si="42" ref="AX44:BE44">AX28+AX42</f>
        <v>34852.3056</v>
      </c>
      <c r="AY44" s="17">
        <f t="shared" si="42"/>
        <v>0</v>
      </c>
      <c r="AZ44" s="17">
        <f t="shared" si="42"/>
        <v>0</v>
      </c>
      <c r="BA44" s="17">
        <f t="shared" si="42"/>
        <v>0</v>
      </c>
      <c r="BB44" s="17">
        <f t="shared" si="42"/>
        <v>847664.1519406118</v>
      </c>
      <c r="BC44" s="17">
        <f t="shared" si="42"/>
        <v>8829.0737312034</v>
      </c>
      <c r="BD44" s="17">
        <f t="shared" si="42"/>
        <v>-36386.336689165095</v>
      </c>
      <c r="BE44" s="192">
        <f t="shared" si="42"/>
        <v>-56040.690000000024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  <mergeCell ref="AB5:AB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B5:BB6"/>
    <mergeCell ref="AT5:AT6"/>
    <mergeCell ref="AU5:AU6"/>
    <mergeCell ref="AV5:AX5"/>
    <mergeCell ref="AY5:AY6"/>
    <mergeCell ref="AZ5:AZ6"/>
    <mergeCell ref="BA5:B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I4" sqref="I4"/>
    </sheetView>
  </sheetViews>
  <sheetFormatPr defaultColWidth="9.00390625" defaultRowHeight="12.75"/>
  <cols>
    <col min="1" max="1" width="10.00390625" style="62" customWidth="1"/>
    <col min="2" max="3" width="9.875" style="62" customWidth="1"/>
    <col min="4" max="4" width="10.125" style="62" customWidth="1"/>
    <col min="5" max="5" width="10.125" style="62" bestFit="1" customWidth="1"/>
    <col min="6" max="6" width="9.875" style="62" customWidth="1"/>
    <col min="7" max="7" width="10.00390625" style="62" customWidth="1"/>
    <col min="8" max="8" width="10.125" style="62" customWidth="1"/>
    <col min="9" max="10" width="9.25390625" style="62" customWidth="1"/>
    <col min="11" max="11" width="9.875" style="62" customWidth="1"/>
    <col min="12" max="12" width="10.875" style="62" customWidth="1"/>
    <col min="13" max="13" width="10.125" style="62" customWidth="1"/>
    <col min="14" max="14" width="9.375" style="62" customWidth="1"/>
    <col min="15" max="15" width="10.375" style="62" customWidth="1"/>
    <col min="16" max="16" width="9.125" style="62" customWidth="1"/>
    <col min="17" max="17" width="10.75390625" style="62" customWidth="1"/>
    <col min="18" max="18" width="10.25390625" style="62" customWidth="1"/>
    <col min="19" max="16384" width="9.125" style="62" customWidth="1"/>
  </cols>
  <sheetData>
    <row r="1" spans="2:8" ht="20.25" customHeight="1">
      <c r="B1" s="334" t="s">
        <v>55</v>
      </c>
      <c r="C1" s="334"/>
      <c r="D1" s="334"/>
      <c r="E1" s="334"/>
      <c r="F1" s="334"/>
      <c r="G1" s="334"/>
      <c r="H1" s="334"/>
    </row>
    <row r="2" spans="2:8" ht="21" customHeight="1">
      <c r="B2" s="334" t="s">
        <v>56</v>
      </c>
      <c r="C2" s="334"/>
      <c r="D2" s="334"/>
      <c r="E2" s="334"/>
      <c r="F2" s="334"/>
      <c r="G2" s="334"/>
      <c r="H2" s="334"/>
    </row>
    <row r="5" spans="1:17" ht="12.75">
      <c r="A5" s="335" t="s">
        <v>119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ht="12.75">
      <c r="A6" s="336" t="s">
        <v>120</v>
      </c>
      <c r="B6" s="336"/>
      <c r="C6" s="336"/>
      <c r="D6" s="336"/>
      <c r="E6" s="336"/>
      <c r="F6" s="336"/>
      <c r="G6" s="336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6" ht="13.5" thickBot="1">
      <c r="A7" s="337" t="s">
        <v>57</v>
      </c>
      <c r="B7" s="337"/>
      <c r="C7" s="337"/>
      <c r="D7" s="337"/>
      <c r="E7" s="337">
        <v>8.65</v>
      </c>
      <c r="F7" s="337"/>
    </row>
    <row r="8" spans="1:18" ht="12.75" customHeight="1">
      <c r="A8" s="288" t="s">
        <v>58</v>
      </c>
      <c r="B8" s="309" t="s">
        <v>1</v>
      </c>
      <c r="C8" s="312" t="s">
        <v>59</v>
      </c>
      <c r="D8" s="323" t="s">
        <v>3</v>
      </c>
      <c r="E8" s="326" t="s">
        <v>60</v>
      </c>
      <c r="F8" s="327"/>
      <c r="G8" s="330" t="s">
        <v>111</v>
      </c>
      <c r="H8" s="331"/>
      <c r="I8" s="298" t="str">
        <f>'[12]Лист1'!AF3</f>
        <v>Доходы по нежил.помещениям</v>
      </c>
      <c r="J8" s="301" t="s">
        <v>10</v>
      </c>
      <c r="K8" s="264"/>
      <c r="L8" s="264"/>
      <c r="M8" s="264"/>
      <c r="N8" s="264"/>
      <c r="O8" s="302"/>
      <c r="P8" s="265" t="s">
        <v>85</v>
      </c>
      <c r="Q8" s="305" t="s">
        <v>61</v>
      </c>
      <c r="R8" s="305" t="s">
        <v>12</v>
      </c>
    </row>
    <row r="9" spans="1:18" ht="12.75">
      <c r="A9" s="289"/>
      <c r="B9" s="310"/>
      <c r="C9" s="313"/>
      <c r="D9" s="324"/>
      <c r="E9" s="328"/>
      <c r="F9" s="329"/>
      <c r="G9" s="332"/>
      <c r="H9" s="333"/>
      <c r="I9" s="299"/>
      <c r="J9" s="303"/>
      <c r="K9" s="247"/>
      <c r="L9" s="247"/>
      <c r="M9" s="247"/>
      <c r="N9" s="247"/>
      <c r="O9" s="304"/>
      <c r="P9" s="266"/>
      <c r="Q9" s="306"/>
      <c r="R9" s="306"/>
    </row>
    <row r="10" spans="1:18" ht="26.25" customHeight="1">
      <c r="A10" s="289"/>
      <c r="B10" s="310"/>
      <c r="C10" s="313"/>
      <c r="D10" s="324"/>
      <c r="E10" s="315" t="s">
        <v>62</v>
      </c>
      <c r="F10" s="316"/>
      <c r="G10" s="129" t="s">
        <v>63</v>
      </c>
      <c r="H10" s="317" t="s">
        <v>7</v>
      </c>
      <c r="I10" s="299"/>
      <c r="J10" s="319" t="s">
        <v>64</v>
      </c>
      <c r="K10" s="321" t="s">
        <v>32</v>
      </c>
      <c r="L10" s="321" t="s">
        <v>65</v>
      </c>
      <c r="M10" s="321" t="s">
        <v>37</v>
      </c>
      <c r="N10" s="321" t="s">
        <v>66</v>
      </c>
      <c r="O10" s="317" t="s">
        <v>39</v>
      </c>
      <c r="P10" s="266"/>
      <c r="Q10" s="306"/>
      <c r="R10" s="306"/>
    </row>
    <row r="11" spans="1:18" ht="66.75" customHeight="1" thickBot="1">
      <c r="A11" s="308"/>
      <c r="B11" s="311"/>
      <c r="C11" s="314"/>
      <c r="D11" s="325"/>
      <c r="E11" s="130" t="s">
        <v>67</v>
      </c>
      <c r="F11" s="131" t="s">
        <v>21</v>
      </c>
      <c r="G11" s="132" t="s">
        <v>114</v>
      </c>
      <c r="H11" s="318"/>
      <c r="I11" s="300"/>
      <c r="J11" s="320"/>
      <c r="K11" s="322"/>
      <c r="L11" s="322"/>
      <c r="M11" s="322"/>
      <c r="N11" s="322"/>
      <c r="O11" s="318"/>
      <c r="P11" s="267"/>
      <c r="Q11" s="307"/>
      <c r="R11" s="307"/>
    </row>
    <row r="12" spans="1:18" ht="13.5" thickBot="1">
      <c r="A12" s="20">
        <v>1</v>
      </c>
      <c r="B12" s="21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1">
        <v>8</v>
      </c>
      <c r="I12" s="20">
        <v>9</v>
      </c>
      <c r="J12" s="21">
        <v>10</v>
      </c>
      <c r="K12" s="20">
        <v>11</v>
      </c>
      <c r="L12" s="21">
        <v>12</v>
      </c>
      <c r="M12" s="20">
        <v>13</v>
      </c>
      <c r="N12" s="21">
        <v>14</v>
      </c>
      <c r="O12" s="20">
        <v>15</v>
      </c>
      <c r="P12" s="21">
        <v>16</v>
      </c>
      <c r="Q12" s="20">
        <v>17</v>
      </c>
      <c r="R12" s="198">
        <v>18</v>
      </c>
    </row>
    <row r="13" spans="1:18" ht="12.75">
      <c r="A13" s="4" t="s">
        <v>40</v>
      </c>
      <c r="B13" s="5"/>
      <c r="C13" s="19"/>
      <c r="D13" s="4"/>
      <c r="E13" s="5"/>
      <c r="F13" s="6"/>
      <c r="G13" s="4"/>
      <c r="H13" s="6"/>
      <c r="I13" s="199"/>
      <c r="J13" s="4"/>
      <c r="K13" s="5"/>
      <c r="L13" s="5"/>
      <c r="M13" s="5"/>
      <c r="N13" s="5"/>
      <c r="O13" s="6"/>
      <c r="P13" s="43"/>
      <c r="Q13" s="23"/>
      <c r="R13" s="200"/>
    </row>
    <row r="14" spans="1:18" ht="12.75">
      <c r="A14" s="73" t="s">
        <v>41</v>
      </c>
      <c r="B14" s="147">
        <f>'[12]Лист1'!B9</f>
        <v>3685.1</v>
      </c>
      <c r="C14" s="24">
        <f>B14*8.65</f>
        <v>31876.115</v>
      </c>
      <c r="D14" s="148">
        <f>'[12]Лист1'!D9</f>
        <v>7678.318581200001</v>
      </c>
      <c r="E14" s="141">
        <f>'[12]Лист1'!S9</f>
        <v>21856.78</v>
      </c>
      <c r="F14" s="145">
        <f>'[12]Лист1'!T9</f>
        <v>4718.040000000001</v>
      </c>
      <c r="G14" s="149">
        <f>'[12]Лист1'!AB9</f>
        <v>396.48</v>
      </c>
      <c r="H14" s="145">
        <f>'[12]Лист1'!AC9</f>
        <v>12792.838581200001</v>
      </c>
      <c r="I14" s="201">
        <f>'[12]Лист1'!AD9</f>
        <v>0</v>
      </c>
      <c r="J14" s="149">
        <f>'[12]Лист1'!AG9</f>
        <v>2211.06</v>
      </c>
      <c r="K14" s="141">
        <f>'[12]Лист1'!AI9+'[12]Лист1'!AJ9</f>
        <v>3703.9706523999994</v>
      </c>
      <c r="L14" s="141">
        <f>'[12]Лист1'!AH9+'[12]Лист1'!AK9+'[12]Лист1'!AL9+'[12]Лист1'!AM9+'[12]Лист1'!AN9+'[12]Лист1'!AO9+'[12]Лист1'!AP9</f>
        <v>13006.166512809996</v>
      </c>
      <c r="M14" s="142">
        <f>'[12]Лист1'!AS9+'[12]Лист1'!AU9</f>
        <v>0</v>
      </c>
      <c r="N14" s="142">
        <f>'[12]Лист1'!AX9</f>
        <v>0</v>
      </c>
      <c r="O14" s="145">
        <f>'[12]Лист1'!BB9</f>
        <v>18921.197165209996</v>
      </c>
      <c r="P14" s="202">
        <f>'[12]Лист1'!BC9</f>
        <v>0</v>
      </c>
      <c r="Q14" s="146">
        <f>'[12]Лист1'!BD9</f>
        <v>-6128.358584009995</v>
      </c>
      <c r="R14" s="146">
        <f>'[12]Лист1'!BE9</f>
        <v>-21460.3</v>
      </c>
    </row>
    <row r="15" spans="1:18" ht="12.75">
      <c r="A15" s="73" t="s">
        <v>42</v>
      </c>
      <c r="B15" s="147">
        <f>'[12]Лист1'!B10</f>
        <v>3685.1</v>
      </c>
      <c r="C15" s="24">
        <f aca="true" t="shared" si="0" ref="C15:C30">B15*8.65</f>
        <v>31876.115</v>
      </c>
      <c r="D15" s="148">
        <f>'[12]Лист1'!D10</f>
        <v>7678.318581200001</v>
      </c>
      <c r="E15" s="141">
        <f>'[12]Лист1'!S10</f>
        <v>19911.07</v>
      </c>
      <c r="F15" s="145">
        <f>'[12]Лист1'!T10</f>
        <v>4479.62</v>
      </c>
      <c r="G15" s="149">
        <f>'[12]Лист1'!AB10</f>
        <v>14589.93</v>
      </c>
      <c r="H15" s="145">
        <f>'[12]Лист1'!AC10</f>
        <v>26747.8685812</v>
      </c>
      <c r="I15" s="201">
        <f>'[12]Лист1'!AD10</f>
        <v>0</v>
      </c>
      <c r="J15" s="149">
        <f>'[12]Лист1'!AG10</f>
        <v>2211.06</v>
      </c>
      <c r="K15" s="141">
        <f>'[12]Лист1'!AI10+'[12]Лист1'!AJ10</f>
        <v>3703.9706523999994</v>
      </c>
      <c r="L15" s="141">
        <f>'[12]Лист1'!AH10+'[12]Лист1'!AK10+'[12]Лист1'!AL10+'[12]Лист1'!AM10+'[12]Лист1'!AN10+'[12]Лист1'!AO10+'[12]Лист1'!AP10</f>
        <v>12966.912827609998</v>
      </c>
      <c r="M15" s="142">
        <f>'[12]Лист1'!AS10+'[12]Лист1'!AU10</f>
        <v>11981.72</v>
      </c>
      <c r="N15" s="142">
        <f>'[12]Лист1'!AX10</f>
        <v>0</v>
      </c>
      <c r="O15" s="145">
        <f>'[12]Лист1'!BB10</f>
        <v>30863.66348001</v>
      </c>
      <c r="P15" s="202">
        <f>'[12]Лист1'!BC10</f>
        <v>0</v>
      </c>
      <c r="Q15" s="146">
        <f>'[12]Лист1'!BD10</f>
        <v>-4115.79489881</v>
      </c>
      <c r="R15" s="146">
        <f>'[12]Лист1'!BE10</f>
        <v>-5321.139999999999</v>
      </c>
    </row>
    <row r="16" spans="1:20" ht="13.5" thickBot="1">
      <c r="A16" s="203" t="s">
        <v>43</v>
      </c>
      <c r="B16" s="147">
        <f>'[12]Лист1'!B11</f>
        <v>3685.1</v>
      </c>
      <c r="C16" s="25">
        <f t="shared" si="0"/>
        <v>31876.115</v>
      </c>
      <c r="D16" s="148">
        <f>'[12]Лист1'!D11</f>
        <v>7661.42424025</v>
      </c>
      <c r="E16" s="141">
        <f>'[12]Лист1'!S11</f>
        <v>20705.93</v>
      </c>
      <c r="F16" s="145">
        <f>'[12]Лист1'!T11</f>
        <v>4548.81</v>
      </c>
      <c r="G16" s="149">
        <f>'[12]Лист1'!AB11</f>
        <v>23536.01</v>
      </c>
      <c r="H16" s="145">
        <f>'[12]Лист1'!AC11</f>
        <v>35746.24424025</v>
      </c>
      <c r="I16" s="201">
        <f>'[12]Лист1'!AD11</f>
        <v>0</v>
      </c>
      <c r="J16" s="149">
        <f>'[12]Лист1'!AG11</f>
        <v>2211.06</v>
      </c>
      <c r="K16" s="141">
        <f>'[12]Лист1'!AI11+'[12]Лист1'!AJ11</f>
        <v>3693.1983757599996</v>
      </c>
      <c r="L16" s="141">
        <f>'[12]Лист1'!AH11+'[12]Лист1'!AK11+'[12]Лист1'!AL11+'[12]Лист1'!AM11+'[12]Лист1'!AN11+'[12]Лист1'!AO11+'[12]Лист1'!AP11</f>
        <v>12946.297014722999</v>
      </c>
      <c r="M16" s="142">
        <f>'[12]Лист1'!AS11+'[12]Лист1'!AU11</f>
        <v>1215.4</v>
      </c>
      <c r="N16" s="142">
        <f>'[12]Лист1'!AX11</f>
        <v>0</v>
      </c>
      <c r="O16" s="145">
        <f>'[12]Лист1'!BB11</f>
        <v>20065.955390483003</v>
      </c>
      <c r="P16" s="202">
        <f>'[12]Лист1'!BC11</f>
        <v>0</v>
      </c>
      <c r="Q16" s="146">
        <f>'[12]Лист1'!BD11</f>
        <v>15680.288849767</v>
      </c>
      <c r="R16" s="146">
        <f>'[12]Лист1'!BE11</f>
        <v>2830.079999999998</v>
      </c>
      <c r="S16" s="61"/>
      <c r="T16" s="61"/>
    </row>
    <row r="17" spans="1:20" s="15" customFormat="1" ht="13.5" thickBot="1">
      <c r="A17" s="26" t="s">
        <v>5</v>
      </c>
      <c r="B17" s="27"/>
      <c r="C17" s="28">
        <f>SUM(C14:C16)</f>
        <v>95628.345</v>
      </c>
      <c r="D17" s="29">
        <f aca="true" t="shared" si="1" ref="D17:R17">SUM(D14:D16)</f>
        <v>23018.061402650004</v>
      </c>
      <c r="E17" s="28">
        <f t="shared" si="1"/>
        <v>62473.78</v>
      </c>
      <c r="F17" s="42">
        <f t="shared" si="1"/>
        <v>13746.470000000001</v>
      </c>
      <c r="G17" s="29">
        <f t="shared" si="1"/>
        <v>38522.42</v>
      </c>
      <c r="H17" s="42">
        <f t="shared" si="1"/>
        <v>75286.95140265001</v>
      </c>
      <c r="I17" s="42">
        <f t="shared" si="1"/>
        <v>0</v>
      </c>
      <c r="J17" s="29">
        <f t="shared" si="1"/>
        <v>6633.18</v>
      </c>
      <c r="K17" s="28">
        <f t="shared" si="1"/>
        <v>11101.139680559998</v>
      </c>
      <c r="L17" s="28">
        <f t="shared" si="1"/>
        <v>38919.376355142995</v>
      </c>
      <c r="M17" s="28">
        <f t="shared" si="1"/>
        <v>13197.119999999999</v>
      </c>
      <c r="N17" s="28">
        <f t="shared" si="1"/>
        <v>0</v>
      </c>
      <c r="O17" s="42">
        <f t="shared" si="1"/>
        <v>69850.816035703</v>
      </c>
      <c r="P17" s="42">
        <f t="shared" si="1"/>
        <v>0</v>
      </c>
      <c r="Q17" s="30">
        <f t="shared" si="1"/>
        <v>5436.1353669470045</v>
      </c>
      <c r="R17" s="30">
        <f t="shared" si="1"/>
        <v>-23951.36</v>
      </c>
      <c r="S17" s="31"/>
      <c r="T17" s="32"/>
    </row>
    <row r="18" spans="1:20" ht="12.75">
      <c r="A18" s="4" t="s">
        <v>44</v>
      </c>
      <c r="B18" s="136"/>
      <c r="C18" s="33"/>
      <c r="D18" s="137"/>
      <c r="E18" s="138"/>
      <c r="F18" s="139"/>
      <c r="G18" s="140"/>
      <c r="H18" s="139"/>
      <c r="I18" s="163"/>
      <c r="J18" s="140"/>
      <c r="K18" s="141"/>
      <c r="L18" s="141"/>
      <c r="M18" s="142"/>
      <c r="N18" s="143"/>
      <c r="O18" s="145"/>
      <c r="P18" s="202"/>
      <c r="Q18" s="146"/>
      <c r="R18" s="146"/>
      <c r="S18" s="61"/>
      <c r="T18" s="61"/>
    </row>
    <row r="19" spans="1:20" ht="12.75" customHeight="1">
      <c r="A19" s="73" t="s">
        <v>45</v>
      </c>
      <c r="B19" s="147">
        <f>'[12]Лист1'!B14</f>
        <v>3685.1</v>
      </c>
      <c r="C19" s="24">
        <f t="shared" si="0"/>
        <v>31876.115</v>
      </c>
      <c r="D19" s="148">
        <f>'[12]Лист1'!D14</f>
        <v>3984.514375</v>
      </c>
      <c r="E19" s="141">
        <f>'[12]Лист1'!S14</f>
        <v>20677.640000000003</v>
      </c>
      <c r="F19" s="145">
        <f>'[12]Лист1'!T14</f>
        <v>4548.81</v>
      </c>
      <c r="G19" s="149">
        <f>'[12]Лист1'!AB14</f>
        <v>13651.07</v>
      </c>
      <c r="H19" s="145">
        <f>'[12]Лист1'!AC14</f>
        <v>22184.394375</v>
      </c>
      <c r="I19" s="201">
        <f>'[12]Лист1'!AF14</f>
        <v>0</v>
      </c>
      <c r="J19" s="149">
        <f>'[12]Лист1'!AG14</f>
        <v>1989.954</v>
      </c>
      <c r="K19" s="141">
        <f>'[12]Лист1'!AI14+'[12]Лист1'!AJ14</f>
        <v>3204.5430451</v>
      </c>
      <c r="L19" s="141">
        <f>'[12]Лист1'!AH14+'[12]Лист1'!AK14+'[12]Лист1'!AL14+'[12]Лист1'!AM14+'[12]Лист1'!AN14+'[12]Лист1'!AO14+'[12]Лист1'!AP14+'[12]Лист1'!AQ14+'[12]Лист1'!AR14</f>
        <v>11005.402198257998</v>
      </c>
      <c r="M19" s="142">
        <f>'[12]Лист1'!AS14+'[12]Лист1'!AT14+'[12]Лист1'!AU14+'[12]Лист1'!AZ14+'[12]Лист1'!BA14</f>
        <v>0</v>
      </c>
      <c r="N19" s="142">
        <f>'[12]Лист1'!AX14</f>
        <v>2078.8768</v>
      </c>
      <c r="O19" s="145">
        <f>'[12]Лист1'!BB14</f>
        <v>16199.899243357999</v>
      </c>
      <c r="P19" s="202">
        <f>'[12]Лист1'!BC14</f>
        <v>0</v>
      </c>
      <c r="Q19" s="146">
        <f>'[12]Лист1'!BD14</f>
        <v>5984.495131642001</v>
      </c>
      <c r="R19" s="146">
        <f>'[12]Лист1'!BE14</f>
        <v>-7026.570000000003</v>
      </c>
      <c r="S19" s="61"/>
      <c r="T19" s="61"/>
    </row>
    <row r="20" spans="1:20" ht="12.75">
      <c r="A20" s="73" t="s">
        <v>46</v>
      </c>
      <c r="B20" s="147">
        <f>'[12]Лист1'!B15</f>
        <v>3685.1</v>
      </c>
      <c r="C20" s="24">
        <f t="shared" si="0"/>
        <v>31876.115</v>
      </c>
      <c r="D20" s="148">
        <f>'[12]Лист1'!D15</f>
        <v>3984.514375</v>
      </c>
      <c r="E20" s="141">
        <f>'[12]Лист1'!S15</f>
        <v>21611.82</v>
      </c>
      <c r="F20" s="145">
        <f>'[12]Лист1'!T15</f>
        <v>4548.81</v>
      </c>
      <c r="G20" s="149">
        <f>'[12]Лист1'!AB15</f>
        <v>19837.57</v>
      </c>
      <c r="H20" s="145">
        <f>'[12]Лист1'!AC15</f>
        <v>28370.894375</v>
      </c>
      <c r="I20" s="201">
        <f>'[12]Лист1'!AF15</f>
        <v>0</v>
      </c>
      <c r="J20" s="149">
        <f>'[12]Лист1'!AG15</f>
        <v>1989.954</v>
      </c>
      <c r="K20" s="141">
        <f>'[12]Лист1'!AI15+'[12]Лист1'!AJ15</f>
        <v>3204.5666451</v>
      </c>
      <c r="L20" s="141">
        <f>'[12]Лист1'!AH15+'[12]Лист1'!AK15+'[12]Лист1'!AL15+'[12]Лист1'!AM15+'[12]Лист1'!AN15+'[12]Лист1'!AO15+'[12]Лист1'!AP15+'[12]Лист1'!AQ15+'[12]Лист1'!AR15</f>
        <v>11021.289769887999</v>
      </c>
      <c r="M20" s="142">
        <f>'[12]Лист1'!AS15+'[12]Лист1'!AT15+'[12]Лист1'!AU15+'[12]Лист1'!AZ15+'[12]Лист1'!BA15</f>
        <v>8997.5</v>
      </c>
      <c r="N20" s="142">
        <f>'[12]Лист1'!AX15</f>
        <v>1591.2064</v>
      </c>
      <c r="O20" s="145">
        <f>'[12]Лист1'!BB15</f>
        <v>25213.310414988</v>
      </c>
      <c r="P20" s="202">
        <f>'[12]Лист1'!BC15</f>
        <v>0</v>
      </c>
      <c r="Q20" s="146">
        <f>'[12]Лист1'!BD15</f>
        <v>3157.5839600120016</v>
      </c>
      <c r="R20" s="146">
        <f>'[12]Лист1'!BE15</f>
        <v>-1774.25</v>
      </c>
      <c r="S20" s="61"/>
      <c r="T20" s="61"/>
    </row>
    <row r="21" spans="1:20" ht="12.75">
      <c r="A21" s="73" t="s">
        <v>47</v>
      </c>
      <c r="B21" s="147">
        <f>'[12]Лист1'!B16</f>
        <v>3685.1</v>
      </c>
      <c r="C21" s="24">
        <f t="shared" si="0"/>
        <v>31876.115</v>
      </c>
      <c r="D21" s="148">
        <f>'[12]Лист1'!D16</f>
        <v>3984.514375</v>
      </c>
      <c r="E21" s="141">
        <f>'[12]Лист1'!S16</f>
        <v>21366.050000000003</v>
      </c>
      <c r="F21" s="145">
        <f>'[12]Лист1'!T16</f>
        <v>4704.16</v>
      </c>
      <c r="G21" s="149">
        <f>'[12]Лист1'!AB16</f>
        <v>20542.38</v>
      </c>
      <c r="H21" s="145">
        <f>'[12]Лист1'!AC16</f>
        <v>29231.054375</v>
      </c>
      <c r="I21" s="201">
        <f>'[12]Лист1'!AF16</f>
        <v>0</v>
      </c>
      <c r="J21" s="149">
        <f>'[12]Лист1'!AG16</f>
        <v>1989.954</v>
      </c>
      <c r="K21" s="141">
        <f>'[12]Лист1'!AI16+'[12]Лист1'!AJ16</f>
        <v>3206.4147227500002</v>
      </c>
      <c r="L21" s="141">
        <f>'[12]Лист1'!AH16+'[12]Лист1'!AK16+'[12]Лист1'!AL16+'[12]Лист1'!AM16+'[12]Лист1'!AN16+'[12]Лист1'!AO16+'[12]Лист1'!AP16+'[12]Лист1'!AQ16+'[12]Лист1'!AR16</f>
        <v>10654.681649997998</v>
      </c>
      <c r="M21" s="142">
        <f>'[12]Лист1'!AS16+'[12]Лист1'!AT16+'[12]Лист1'!AU16+'[12]Лист1'!AZ16+'[12]Лист1'!BA16</f>
        <v>3263.88</v>
      </c>
      <c r="N21" s="142">
        <f>'[12]Лист1'!AX16</f>
        <v>1289.8816000000002</v>
      </c>
      <c r="O21" s="145">
        <f>'[12]Лист1'!BB16</f>
        <v>19114.930372748</v>
      </c>
      <c r="P21" s="202">
        <f>'[12]Лист1'!BC16</f>
        <v>0</v>
      </c>
      <c r="Q21" s="146">
        <f>'[12]Лист1'!BD16</f>
        <v>10116.124002252</v>
      </c>
      <c r="R21" s="146">
        <f>'[12]Лист1'!BE16</f>
        <v>-823.6700000000019</v>
      </c>
      <c r="S21" s="61"/>
      <c r="T21" s="61"/>
    </row>
    <row r="22" spans="1:20" ht="12.75">
      <c r="A22" s="73" t="s">
        <v>48</v>
      </c>
      <c r="B22" s="147">
        <f>'[12]Лист1'!B17</f>
        <v>3685.1</v>
      </c>
      <c r="C22" s="24">
        <f t="shared" si="0"/>
        <v>31876.115</v>
      </c>
      <c r="D22" s="148">
        <f>'[12]Лист1'!D17</f>
        <v>3984.514375</v>
      </c>
      <c r="E22" s="141">
        <f>'[12]Лист1'!S17</f>
        <v>21861.18</v>
      </c>
      <c r="F22" s="145">
        <f>'[12]Лист1'!T17</f>
        <v>4669.41</v>
      </c>
      <c r="G22" s="149">
        <f>'[12]Лист1'!AB17</f>
        <v>20013.71</v>
      </c>
      <c r="H22" s="145">
        <f>'[12]Лист1'!AC17</f>
        <v>28667.634375</v>
      </c>
      <c r="I22" s="201">
        <f>'[12]Лист1'!AF17</f>
        <v>0</v>
      </c>
      <c r="J22" s="149">
        <f>'[12]Лист1'!AG17</f>
        <v>1989.954</v>
      </c>
      <c r="K22" s="141">
        <f>'[12]Лист1'!AI17+'[12]Лист1'!AJ17</f>
        <v>3302.14514502</v>
      </c>
      <c r="L22" s="141">
        <f>'[12]Лист1'!AH17+'[12]Лист1'!AK17+'[12]Лист1'!AL17+'[12]Лист1'!AM17+'[12]Лист1'!AN17+'[12]Лист1'!AO17+'[12]Лист1'!AP17+'[12]Лист1'!AQ17+'[12]Лист1'!AR17</f>
        <v>10805.646856935999</v>
      </c>
      <c r="M22" s="142">
        <f>'[12]Лист1'!AS17+'[12]Лист1'!AT17+'[12]Лист1'!AU17+'[12]Лист1'!AZ17+'[12]Лист1'!BA17</f>
        <v>6487.2506</v>
      </c>
      <c r="N22" s="142">
        <f>'[12]Лист1'!AX17</f>
        <v>1127.3248</v>
      </c>
      <c r="O22" s="145">
        <f>'[12]Лист1'!BB17</f>
        <v>28672.286201956</v>
      </c>
      <c r="P22" s="202">
        <f>'[12]Лист1'!BC17</f>
        <v>0</v>
      </c>
      <c r="Q22" s="146">
        <f>'[12]Лист1'!BD17</f>
        <v>-4.65182695600015</v>
      </c>
      <c r="R22" s="146">
        <f>'[12]Лист1'!BE17</f>
        <v>-1847.4700000000012</v>
      </c>
      <c r="S22" s="61"/>
      <c r="T22" s="61"/>
    </row>
    <row r="23" spans="1:20" ht="12.75">
      <c r="A23" s="73" t="s">
        <v>49</v>
      </c>
      <c r="B23" s="147">
        <f>'[12]Лист1'!B18</f>
        <v>3683.7</v>
      </c>
      <c r="C23" s="24">
        <f t="shared" si="0"/>
        <v>31864.005</v>
      </c>
      <c r="D23" s="148">
        <f>'[12]Лист1'!D18</f>
        <v>3144.125000000004</v>
      </c>
      <c r="E23" s="141">
        <f>'[12]Лист1'!S18</f>
        <v>23307.02</v>
      </c>
      <c r="F23" s="145">
        <f>'[12]Лист1'!T18</f>
        <v>5412.860000000001</v>
      </c>
      <c r="G23" s="149">
        <f>'[12]Лист1'!AB18</f>
        <v>24109.4</v>
      </c>
      <c r="H23" s="145">
        <f>'[12]Лист1'!AC18</f>
        <v>32666.385000000006</v>
      </c>
      <c r="I23" s="201">
        <f>'[12]Лист1'!AF18</f>
        <v>0</v>
      </c>
      <c r="J23" s="149">
        <f>'[12]Лист1'!AG18</f>
        <v>2210.22</v>
      </c>
      <c r="K23" s="141">
        <f>'[12]Лист1'!AI18+'[12]Лист1'!AJ18</f>
        <v>3694.7511</v>
      </c>
      <c r="L23" s="141">
        <f>'[12]Лист1'!AH18+'[12]Лист1'!AK18+'[12]Лист1'!AL18+'[12]Лист1'!AM18+'[12]Лист1'!AN18+'[12]Лист1'!AO18+'[12]Лист1'!AP18+'[12]Лист1'!AQ18+'[12]Лист1'!AR18</f>
        <v>12654.24624</v>
      </c>
      <c r="M23" s="142">
        <f>'[12]Лист1'!AS18+'[12]Лист1'!AT18+'[12]Лист1'!AU18+'[12]Лист1'!AZ18+'[12]Лист1'!BA18</f>
        <v>503.1048</v>
      </c>
      <c r="N23" s="142">
        <f>'[12]Лист1'!AX18</f>
        <v>888.1152000000001</v>
      </c>
      <c r="O23" s="145">
        <f>'[12]Лист1'!BB18</f>
        <v>19950.43734</v>
      </c>
      <c r="P23" s="202">
        <f>'[12]Лист1'!BC18</f>
        <v>0</v>
      </c>
      <c r="Q23" s="146">
        <f>'[12]Лист1'!BD18</f>
        <v>12715.947660000005</v>
      </c>
      <c r="R23" s="146">
        <f>'[12]Лист1'!BE18</f>
        <v>802.380000000001</v>
      </c>
      <c r="S23" s="61"/>
      <c r="T23" s="61"/>
    </row>
    <row r="24" spans="1:20" ht="12.75">
      <c r="A24" s="73" t="s">
        <v>50</v>
      </c>
      <c r="B24" s="147">
        <f>'[12]Лист1'!B19</f>
        <v>3683.7</v>
      </c>
      <c r="C24" s="24">
        <f t="shared" si="0"/>
        <v>31864.005</v>
      </c>
      <c r="D24" s="148">
        <f>'[12]Лист1'!D19</f>
        <v>3021.5650000000073</v>
      </c>
      <c r="E24" s="141">
        <f>'[12]Лист1'!S19</f>
        <v>23429.579999999998</v>
      </c>
      <c r="F24" s="145">
        <f>'[12]Лист1'!T19</f>
        <v>5412.860000000001</v>
      </c>
      <c r="G24" s="149">
        <f>'[12]Лист1'!AB19</f>
        <v>21417.62</v>
      </c>
      <c r="H24" s="145">
        <f>'[12]Лист1'!AC19</f>
        <v>29852.045000000006</v>
      </c>
      <c r="I24" s="201">
        <f>'[12]Лист1'!AF19</f>
        <v>0</v>
      </c>
      <c r="J24" s="149">
        <f>'[12]Лист1'!AG19</f>
        <v>2210.22</v>
      </c>
      <c r="K24" s="141">
        <f>'[12]Лист1'!AI19+'[12]Лист1'!AJ19</f>
        <v>3694.7511</v>
      </c>
      <c r="L24" s="141">
        <f>'[12]Лист1'!AH19+'[12]Лист1'!AK19+'[12]Лист1'!AL19+'[12]Лист1'!AM19+'[12]Лист1'!AN19+'[12]Лист1'!AO19+'[12]Лист1'!AP19+'[12]Лист1'!AQ19+'[12]Лист1'!AR19</f>
        <v>12654.577772999999</v>
      </c>
      <c r="M24" s="142">
        <f>'[12]Лист1'!AS19+'[12]Лист1'!AT19+'[12]Лист1'!AU19+'[12]Лист1'!AZ19+'[12]Лист1'!BA19</f>
        <v>62853.0658</v>
      </c>
      <c r="N24" s="142">
        <f>'[12]Лист1'!AX19</f>
        <v>935.6928</v>
      </c>
      <c r="O24" s="145">
        <f>'[12]Лист1'!BB19</f>
        <v>82348.307473</v>
      </c>
      <c r="P24" s="202">
        <f>'[12]Лист1'!BC19</f>
        <v>0</v>
      </c>
      <c r="Q24" s="146">
        <f>'[12]Лист1'!BD19</f>
        <v>-52496.26247299999</v>
      </c>
      <c r="R24" s="146">
        <f>'[12]Лист1'!BE19</f>
        <v>-2011.9599999999991</v>
      </c>
      <c r="S24" s="61"/>
      <c r="T24" s="61"/>
    </row>
    <row r="25" spans="1:20" ht="12.75">
      <c r="A25" s="73" t="s">
        <v>51</v>
      </c>
      <c r="B25" s="147">
        <f>'[12]Лист1'!B20</f>
        <v>3683.7</v>
      </c>
      <c r="C25" s="24">
        <f t="shared" si="0"/>
        <v>31864.005</v>
      </c>
      <c r="D25" s="148">
        <f>'[12]Лист1'!D20</f>
        <v>3031.1550000000025</v>
      </c>
      <c r="E25" s="141">
        <f>'[12]Лист1'!S20</f>
        <v>23419.99</v>
      </c>
      <c r="F25" s="145">
        <f>'[12]Лист1'!T20</f>
        <v>5412.860000000001</v>
      </c>
      <c r="G25" s="149">
        <f>'[12]Лист1'!AB20</f>
        <v>22916.65</v>
      </c>
      <c r="H25" s="145">
        <f>'[12]Лист1'!AC20</f>
        <v>31360.665000000005</v>
      </c>
      <c r="I25" s="201">
        <f>'[12]Лист1'!AF20</f>
        <v>1116.07586</v>
      </c>
      <c r="J25" s="149">
        <f>'[12]Лист1'!AG20</f>
        <v>2210.22</v>
      </c>
      <c r="K25" s="141">
        <f>'[12]Лист1'!AI20+'[12]Лист1'!AJ20</f>
        <v>3641.9161592699998</v>
      </c>
      <c r="L25" s="141">
        <f>'[12]Лист1'!AH20+'[12]Лист1'!AK20+'[12]Лист1'!AL20+'[12]Лист1'!AM20+'[12]Лист1'!AN20+'[12]Лист1'!AO20+'[12]Лист1'!AP20+'[12]Лист1'!AQ20+'[12]Лист1'!AR20</f>
        <v>12528.673401113998</v>
      </c>
      <c r="M25" s="142">
        <f>'[12]Лист1'!AS20+'[12]Лист1'!AT20+'[12]Лист1'!AU20+'[12]Лист1'!AZ20+'[12]Лист1'!BA20</f>
        <v>32450.129800000002</v>
      </c>
      <c r="N25" s="142">
        <f>'[12]Лист1'!AX20</f>
        <v>824.6784000000001</v>
      </c>
      <c r="O25" s="145">
        <f>'[12]Лист1'!BB20</f>
        <v>51655.617760384</v>
      </c>
      <c r="P25" s="202">
        <f>'[12]Лист1'!BC20</f>
        <v>481.2467290200001</v>
      </c>
      <c r="Q25" s="146">
        <f>'[12]Лист1'!BD20</f>
        <v>-19660.12362940399</v>
      </c>
      <c r="R25" s="146">
        <f>'[12]Лист1'!BE20</f>
        <v>-503.34000000000015</v>
      </c>
      <c r="S25" s="61"/>
      <c r="T25" s="61"/>
    </row>
    <row r="26" spans="1:20" ht="12.75">
      <c r="A26" s="73" t="s">
        <v>52</v>
      </c>
      <c r="B26" s="147">
        <f>'[12]Лист1'!B21</f>
        <v>3683.7</v>
      </c>
      <c r="C26" s="24">
        <f t="shared" si="0"/>
        <v>31864.005</v>
      </c>
      <c r="D26" s="148">
        <f>'[12]Лист1'!D21</f>
        <v>3020.955000000001</v>
      </c>
      <c r="E26" s="141">
        <f>'[12]Лист1'!S21</f>
        <v>23326.19</v>
      </c>
      <c r="F26" s="145">
        <f>'[12]Лист1'!T21</f>
        <v>5516.860000000001</v>
      </c>
      <c r="G26" s="149">
        <f>'[12]Лист1'!AB21</f>
        <v>21773.95</v>
      </c>
      <c r="H26" s="145">
        <f>'[12]Лист1'!AC21</f>
        <v>30311.765000000003</v>
      </c>
      <c r="I26" s="201">
        <f>'[12]Лист1'!AF21</f>
        <v>1116.07586</v>
      </c>
      <c r="J26" s="149">
        <f>'[12]Лист1'!AG21</f>
        <v>2210.22</v>
      </c>
      <c r="K26" s="141">
        <f>'[12]Лист1'!AI21+'[12]Лист1'!AJ21</f>
        <v>3640.290468786</v>
      </c>
      <c r="L26" s="141">
        <f>'[12]Лист1'!AH21+'[12]Лист1'!AK21+'[12]Лист1'!AL21+'[12]Лист1'!AM21+'[12]Лист1'!AN21+'[12]Лист1'!AO21+'[12]Лист1'!AP21+'[12]Лист1'!AQ21+'[12]Лист1'!AR21</f>
        <v>12526.856526599999</v>
      </c>
      <c r="M26" s="142">
        <f>'[12]Лист1'!AS21+'[12]Лист1'!AT21+'[12]Лист1'!AU21+'[12]Лист1'!AZ21+'[12]Лист1'!BA21</f>
        <v>16969.58</v>
      </c>
      <c r="N26" s="142">
        <f>'[12]Лист1'!AX21</f>
        <v>803.5328</v>
      </c>
      <c r="O26" s="145">
        <f>'[12]Лист1'!BB21</f>
        <v>36150.479795385996</v>
      </c>
      <c r="P26" s="202">
        <f>'[12]Лист1'!BC21</f>
        <v>481.028066406</v>
      </c>
      <c r="Q26" s="146">
        <f>'[12]Лист1'!BD21</f>
        <v>-5203.667001791992</v>
      </c>
      <c r="R26" s="146">
        <f>'[12]Лист1'!BE21</f>
        <v>-1552.239999999998</v>
      </c>
      <c r="S26" s="61"/>
      <c r="T26" s="61"/>
    </row>
    <row r="27" spans="1:20" ht="12.75">
      <c r="A27" s="73" t="s">
        <v>53</v>
      </c>
      <c r="B27" s="147">
        <f>'[12]Лист1'!B22</f>
        <v>3683.7</v>
      </c>
      <c r="C27" s="24">
        <f t="shared" si="0"/>
        <v>31864.005</v>
      </c>
      <c r="D27" s="148">
        <f>'[12]Лист1'!D22</f>
        <v>3036.525</v>
      </c>
      <c r="E27" s="141">
        <f>'[12]Лист1'!S22</f>
        <v>23301.800000000003</v>
      </c>
      <c r="F27" s="145">
        <f>'[12]Лист1'!T22</f>
        <v>5525.679999999999</v>
      </c>
      <c r="G27" s="149">
        <f>'[12]Лист1'!AB22</f>
        <v>20583.739999999998</v>
      </c>
      <c r="H27" s="145">
        <f>'[12]Лист1'!AC22</f>
        <v>29145.945</v>
      </c>
      <c r="I27" s="201">
        <f>'[12]Лист1'!AF22</f>
        <v>1116.07586</v>
      </c>
      <c r="J27" s="149">
        <f>'[12]Лист1'!AG22</f>
        <v>2210.22</v>
      </c>
      <c r="K27" s="141">
        <f>'[12]Лист1'!AI22+'[12]Лист1'!AJ22</f>
        <v>3639.662361099</v>
      </c>
      <c r="L27" s="141">
        <f>'[12]Лист1'!AH22+'[12]Лист1'!AK22+'[12]Лист1'!AL22+'[12]Лист1'!AM22+'[12]Лист1'!AN22+'[12]Лист1'!AO22+'[12]Лист1'!AP22+'[12]Лист1'!AQ22+'[12]Лист1'!AR22</f>
        <v>12525.210479989799</v>
      </c>
      <c r="M27" s="142">
        <f>'[12]Лист1'!AS22+'[12]Лист1'!AT22+'[12]Лист1'!AU22+'[12]Лист1'!AZ22+'[12]Лист1'!BA22</f>
        <v>0</v>
      </c>
      <c r="N27" s="142">
        <f>'[12]Лист1'!AX22</f>
        <v>1098.2496</v>
      </c>
      <c r="O27" s="145">
        <f>'[12]Лист1'!BB22</f>
        <v>19473.3424410888</v>
      </c>
      <c r="P27" s="202">
        <f>'[12]Лист1'!BC22</f>
        <v>480.9553137774</v>
      </c>
      <c r="Q27" s="146">
        <f>'[12]Лист1'!BD22</f>
        <v>10307.7231051338</v>
      </c>
      <c r="R27" s="146">
        <f>'[12]Лист1'!BE22</f>
        <v>-2718.060000000005</v>
      </c>
      <c r="S27" s="61"/>
      <c r="T27" s="61"/>
    </row>
    <row r="28" spans="1:20" ht="12.75">
      <c r="A28" s="73" t="s">
        <v>41</v>
      </c>
      <c r="B28" s="147">
        <f>'[12]Лист1'!B23</f>
        <v>3683.7</v>
      </c>
      <c r="C28" s="24">
        <f>B28*8.65</f>
        <v>31864.005</v>
      </c>
      <c r="D28" s="148">
        <f>'[12]Лист1'!D23</f>
        <v>3025.6249999999986</v>
      </c>
      <c r="E28" s="141">
        <f>'[12]Лист1'!S23</f>
        <v>23300.1</v>
      </c>
      <c r="F28" s="145">
        <f>'[12]Лист1'!T23</f>
        <v>5538.28</v>
      </c>
      <c r="G28" s="149">
        <f>'[12]Лист1'!AB23</f>
        <v>26086.309999999998</v>
      </c>
      <c r="H28" s="145">
        <f>'[12]Лист1'!AC23</f>
        <v>34650.215</v>
      </c>
      <c r="I28" s="201">
        <f>'[12]Лист1'!AF23</f>
        <v>1116.07586</v>
      </c>
      <c r="J28" s="149">
        <f>'[12]Лист1'!AG23</f>
        <v>2210.22</v>
      </c>
      <c r="K28" s="141">
        <f>'[12]Лист1'!AI23+'[12]Лист1'!AJ23</f>
        <v>3681.7108019999996</v>
      </c>
      <c r="L28" s="141">
        <f>'[12]Лист1'!AH23+'[12]Лист1'!AK23+'[12]Лист1'!AL23+'[12]Лист1'!AM23+'[12]Лист1'!AN23+'[12]Лист1'!AO23+'[12]Лист1'!AP23+'[12]Лист1'!AQ23+'[12]Лист1'!AR23</f>
        <v>42934.14798</v>
      </c>
      <c r="M28" s="142">
        <f>'[12]Лист1'!AS23+'[12]Лист1'!AT23+'[12]Лист1'!AU23+'[12]Лист1'!AZ23+'[12]Лист1'!BA23</f>
        <v>20774.608</v>
      </c>
      <c r="N28" s="142">
        <f>'[12]Лист1'!AX23</f>
        <v>1088.9984000000002</v>
      </c>
      <c r="O28" s="145">
        <f>'[12]Лист1'!BB23</f>
        <v>70689.685182</v>
      </c>
      <c r="P28" s="202">
        <f>'[12]Лист1'!BC23</f>
        <v>484.700142</v>
      </c>
      <c r="Q28" s="146">
        <f>'[12]Лист1'!BD23</f>
        <v>-35408.09446400001</v>
      </c>
      <c r="R28" s="146">
        <f>'[12]Лист1'!BE23</f>
        <v>2786.209999999999</v>
      </c>
      <c r="S28" s="61"/>
      <c r="T28" s="61"/>
    </row>
    <row r="29" spans="1:20" ht="12.75">
      <c r="A29" s="73" t="s">
        <v>42</v>
      </c>
      <c r="B29" s="147">
        <f>'[12]Лист1'!B24</f>
        <v>3684.7</v>
      </c>
      <c r="C29" s="24">
        <f t="shared" si="0"/>
        <v>31872.655</v>
      </c>
      <c r="D29" s="148">
        <f>'[12]Лист1'!D24</f>
        <v>3026.844999999995</v>
      </c>
      <c r="E29" s="141">
        <f>'[12]Лист1'!S24</f>
        <v>23303.829999999998</v>
      </c>
      <c r="F29" s="145">
        <f>'[12]Лист1'!T24</f>
        <v>5541.98</v>
      </c>
      <c r="G29" s="149">
        <f>'[12]Лист1'!AB24</f>
        <v>22150.19</v>
      </c>
      <c r="H29" s="145">
        <f>'[12]Лист1'!AC24</f>
        <v>30719.014999999992</v>
      </c>
      <c r="I29" s="201">
        <f>'[12]Лист1'!AF24</f>
        <v>1116.07586</v>
      </c>
      <c r="J29" s="149">
        <f>'[12]Лист1'!AG24</f>
        <v>2210.8199999999997</v>
      </c>
      <c r="K29" s="141">
        <f>'[12]Лист1'!AI24+'[12]Лист1'!AJ24</f>
        <v>3695.7541</v>
      </c>
      <c r="L29" s="141">
        <f>'[12]Лист1'!AH24+'[12]Лист1'!AK24+'[12]Лист1'!AL24+'[12]Лист1'!AM24+'[12]Лист1'!AN24+'[12]Лист1'!AO24+'[12]Лист1'!AP24+'[12]Лист1'!AQ24+'[12]Лист1'!AR24</f>
        <v>24376.172639999997</v>
      </c>
      <c r="M29" s="142">
        <f>'[12]Лист1'!AS24+'[12]Лист1'!AT24+'[12]Лист1'!AU24+'[12]Лист1'!AZ24+'[12]Лист1'!BA24</f>
        <v>5750.14</v>
      </c>
      <c r="N29" s="142">
        <f>'[12]Лист1'!AX24</f>
        <v>1317.6352</v>
      </c>
      <c r="O29" s="145">
        <f>'[12]Лист1'!BB24</f>
        <v>37350.52194</v>
      </c>
      <c r="P29" s="202">
        <f>'[12]Лист1'!BC24</f>
        <v>485.39574000000005</v>
      </c>
      <c r="Q29" s="146">
        <f>'[12]Лист1'!BD24</f>
        <v>-6000.826820000006</v>
      </c>
      <c r="R29" s="146">
        <f>'[12]Лист1'!BE24</f>
        <v>-1153.6399999999994</v>
      </c>
      <c r="S29" s="61"/>
      <c r="T29" s="61"/>
    </row>
    <row r="30" spans="1:20" ht="13.5" thickBot="1">
      <c r="A30" s="203" t="s">
        <v>43</v>
      </c>
      <c r="B30" s="147">
        <f>'[12]Лист1'!B25</f>
        <v>3684.7</v>
      </c>
      <c r="C30" s="25">
        <f t="shared" si="0"/>
        <v>31872.655</v>
      </c>
      <c r="D30" s="148">
        <f>'[12]Лист1'!D25</f>
        <v>4251.384999999999</v>
      </c>
      <c r="E30" s="141">
        <f>'[12]Лист1'!S25</f>
        <v>22085.870000000003</v>
      </c>
      <c r="F30" s="145">
        <f>'[12]Лист1'!T25</f>
        <v>5535.4</v>
      </c>
      <c r="G30" s="149">
        <f>'[12]Лист1'!AB25</f>
        <v>29815.08</v>
      </c>
      <c r="H30" s="145">
        <f>'[12]Лист1'!AC25</f>
        <v>39601.865000000005</v>
      </c>
      <c r="I30" s="201">
        <f>'[12]Лист1'!AF25</f>
        <v>1116.07586</v>
      </c>
      <c r="J30" s="149">
        <f>'[12]Лист1'!AG25</f>
        <v>2210.8199999999997</v>
      </c>
      <c r="K30" s="141">
        <f>'[12]Лист1'!AI25+'[12]Лист1'!AJ25</f>
        <v>3695.7541</v>
      </c>
      <c r="L30" s="141">
        <f>'[12]Лист1'!AH25+'[12]Лист1'!AK25+'[12]Лист1'!AL25+'[12]Лист1'!AM25+'[12]Лист1'!AN25+'[12]Лист1'!AO25+'[12]Лист1'!AP25+'[12]Лист1'!AQ25+'[12]Лист1'!AR25</f>
        <v>12650.312039999997</v>
      </c>
      <c r="M30" s="142">
        <f>'[12]Лист1'!AS25+'[12]Лист1'!AT25+'[12]Лист1'!AU25+'[12]Лист1'!AZ25+'[12]Лист1'!BA25</f>
        <v>18799.76</v>
      </c>
      <c r="N30" s="142">
        <f>'[12]Лист1'!AX25</f>
        <v>1481.5136000000002</v>
      </c>
      <c r="O30" s="145">
        <f>'[12]Лист1'!BB25</f>
        <v>38838.15974</v>
      </c>
      <c r="P30" s="202">
        <f>'[12]Лист1'!BC25</f>
        <v>485.39574000000005</v>
      </c>
      <c r="Q30" s="146">
        <f>'[12]Лист1'!BD25</f>
        <v>1394.3853799999997</v>
      </c>
      <c r="R30" s="146">
        <f>'[12]Лист1'!BE25</f>
        <v>7729.209999999999</v>
      </c>
      <c r="S30" s="61"/>
      <c r="T30" s="61"/>
    </row>
    <row r="31" spans="1:20" s="15" customFormat="1" ht="13.5" thickBot="1">
      <c r="A31" s="26" t="s">
        <v>5</v>
      </c>
      <c r="B31" s="27"/>
      <c r="C31" s="28">
        <f aca="true" t="shared" si="2" ref="C31:R31">SUM(C19:C30)</f>
        <v>382433.80000000005</v>
      </c>
      <c r="D31" s="29">
        <f t="shared" si="2"/>
        <v>41496.23750000001</v>
      </c>
      <c r="E31" s="28">
        <f t="shared" si="2"/>
        <v>270991.07</v>
      </c>
      <c r="F31" s="42">
        <f t="shared" si="2"/>
        <v>62367.97000000001</v>
      </c>
      <c r="G31" s="29">
        <f t="shared" si="2"/>
        <v>262897.67</v>
      </c>
      <c r="H31" s="42">
        <f t="shared" si="2"/>
        <v>366761.87750000006</v>
      </c>
      <c r="I31" s="42">
        <f t="shared" si="2"/>
        <v>6696.4551599999995</v>
      </c>
      <c r="J31" s="29">
        <f t="shared" si="2"/>
        <v>25642.776</v>
      </c>
      <c r="K31" s="28">
        <f t="shared" si="2"/>
        <v>42302.259749125</v>
      </c>
      <c r="L31" s="28">
        <f t="shared" si="2"/>
        <v>186337.21755578378</v>
      </c>
      <c r="M31" s="28">
        <f>SUM(M19:M30)</f>
        <v>176849.01900000003</v>
      </c>
      <c r="N31" s="28">
        <f t="shared" si="2"/>
        <v>14525.7056</v>
      </c>
      <c r="O31" s="42">
        <f t="shared" si="2"/>
        <v>445656.9779049088</v>
      </c>
      <c r="P31" s="42">
        <f t="shared" si="2"/>
        <v>2898.7217312034</v>
      </c>
      <c r="Q31" s="30">
        <f>SUM(Q19:Q30)</f>
        <v>-75097.36697611216</v>
      </c>
      <c r="R31" s="30">
        <f t="shared" si="2"/>
        <v>-8093.400000000009</v>
      </c>
      <c r="S31" s="32"/>
      <c r="T31" s="32"/>
    </row>
    <row r="32" spans="1:20" ht="13.5" thickBot="1">
      <c r="A32" s="295" t="s">
        <v>115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133"/>
      <c r="S32" s="61"/>
      <c r="T32" s="61"/>
    </row>
    <row r="33" spans="1:20" s="15" customFormat="1" ht="13.5" thickBot="1">
      <c r="A33" s="34" t="s">
        <v>54</v>
      </c>
      <c r="B33" s="35"/>
      <c r="C33" s="135">
        <f>C17+C31</f>
        <v>478062.145</v>
      </c>
      <c r="D33" s="204">
        <f aca="true" t="shared" si="3" ref="D33:R33">D17+D31</f>
        <v>64514.298902650014</v>
      </c>
      <c r="E33" s="35">
        <f t="shared" si="3"/>
        <v>333464.85</v>
      </c>
      <c r="F33" s="135">
        <f t="shared" si="3"/>
        <v>76114.44</v>
      </c>
      <c r="G33" s="204">
        <f t="shared" si="3"/>
        <v>301420.08999999997</v>
      </c>
      <c r="H33" s="135">
        <f t="shared" si="3"/>
        <v>442048.82890265004</v>
      </c>
      <c r="I33" s="135">
        <f t="shared" si="3"/>
        <v>6696.4551599999995</v>
      </c>
      <c r="J33" s="204">
        <f t="shared" si="3"/>
        <v>32275.956000000002</v>
      </c>
      <c r="K33" s="35">
        <f t="shared" si="3"/>
        <v>53403.399429685</v>
      </c>
      <c r="L33" s="35">
        <f t="shared" si="3"/>
        <v>225256.59391092678</v>
      </c>
      <c r="M33" s="35">
        <f t="shared" si="3"/>
        <v>190046.13900000002</v>
      </c>
      <c r="N33" s="35">
        <f t="shared" si="3"/>
        <v>14525.7056</v>
      </c>
      <c r="O33" s="36">
        <f t="shared" si="3"/>
        <v>515507.7939406118</v>
      </c>
      <c r="P33" s="36">
        <f>P17+P31</f>
        <v>2898.7217312034</v>
      </c>
      <c r="Q33" s="205">
        <f>Q17+Q31</f>
        <v>-69661.23160916514</v>
      </c>
      <c r="R33" s="205">
        <f t="shared" si="3"/>
        <v>-32044.76000000001</v>
      </c>
      <c r="S33" s="37"/>
      <c r="T33" s="32"/>
    </row>
    <row r="34" spans="1:20" ht="12.75">
      <c r="A34" s="4" t="s">
        <v>84</v>
      </c>
      <c r="B34" s="136"/>
      <c r="C34" s="33"/>
      <c r="D34" s="137"/>
      <c r="E34" s="138"/>
      <c r="F34" s="139"/>
      <c r="G34" s="140"/>
      <c r="H34" s="139"/>
      <c r="I34" s="163"/>
      <c r="J34" s="140"/>
      <c r="K34" s="141"/>
      <c r="L34" s="141"/>
      <c r="M34" s="142"/>
      <c r="N34" s="143"/>
      <c r="O34" s="145"/>
      <c r="P34" s="202"/>
      <c r="Q34" s="146"/>
      <c r="R34" s="146"/>
      <c r="S34" s="61"/>
      <c r="T34" s="61"/>
    </row>
    <row r="35" spans="1:20" ht="12.75" customHeight="1">
      <c r="A35" s="73" t="s">
        <v>45</v>
      </c>
      <c r="B35" s="147">
        <f>'[12]Лист1'!B30</f>
        <v>3684.7</v>
      </c>
      <c r="C35" s="24">
        <f>B35*8.65</f>
        <v>31872.655</v>
      </c>
      <c r="D35" s="148">
        <f>'[12]Лист1'!D30</f>
        <v>2981.914999999995</v>
      </c>
      <c r="E35" s="141">
        <f>'[12]Лист1'!S30</f>
        <v>23348.760000000002</v>
      </c>
      <c r="F35" s="145">
        <f>'[12]Лист1'!T30</f>
        <v>5541.98</v>
      </c>
      <c r="G35" s="149">
        <f>'[12]Лист1'!AB30</f>
        <v>11554.55</v>
      </c>
      <c r="H35" s="145">
        <f>'[12]Лист1'!AC30</f>
        <v>20078.444999999992</v>
      </c>
      <c r="I35" s="201">
        <f>'[12]Лист1'!AF30</f>
        <v>1116.07586</v>
      </c>
      <c r="J35" s="149">
        <f>'[12]Лист1'!AG30</f>
        <v>2210.8199999999997</v>
      </c>
      <c r="K35" s="141">
        <f>'[12]Лист1'!AI30+'[12]Лист1'!AJ30</f>
        <v>3684.7</v>
      </c>
      <c r="L35" s="141">
        <f>'[12]Лист1'!AH30+'[12]Лист1'!AK30+'[12]Лист1'!AL30+'[12]Лист1'!AM30+'[12]Лист1'!AN30+'[12]Лист1'!AO30+'[12]Лист1'!AP30+'[12]Лист1'!AQ30+'[12]Лист1'!AR30</f>
        <v>12638.520999999999</v>
      </c>
      <c r="M35" s="142">
        <f>'[12]Лист1'!AS30+'[12]Лист1'!AT30+'[12]Лист1'!AU30+'[12]Лист1'!AZ30+'[12]Лист1'!BA30</f>
        <v>0</v>
      </c>
      <c r="N35" s="142">
        <f>'Лист1 (2)'!AX30</f>
        <v>1339.8</v>
      </c>
      <c r="O35" s="145">
        <f>J35+K35+L35+M35+N35</f>
        <v>19873.840999999997</v>
      </c>
      <c r="P35" s="202">
        <f>'Лист1 (2)'!BC30</f>
        <v>484.821</v>
      </c>
      <c r="Q35" s="146">
        <f>'Лист1 (2)'!BD30</f>
        <v>835.8588599999965</v>
      </c>
      <c r="R35" s="146">
        <f>'Лист1 (2)'!BE30</f>
        <v>-11794.210000000003</v>
      </c>
      <c r="S35" s="61"/>
      <c r="T35" s="61"/>
    </row>
    <row r="36" spans="1:20" ht="12.75">
      <c r="A36" s="73" t="s">
        <v>46</v>
      </c>
      <c r="B36" s="147">
        <f>'[12]Лист1'!B31</f>
        <v>3684.8</v>
      </c>
      <c r="C36" s="24">
        <f aca="true" t="shared" si="4" ref="C36:C46">B36*8.65</f>
        <v>31873.520000000004</v>
      </c>
      <c r="D36" s="148">
        <f>'[12]Лист1'!D31</f>
        <v>2930.7000000000016</v>
      </c>
      <c r="E36" s="141">
        <f>'[12]Лист1'!S31</f>
        <v>23463.45</v>
      </c>
      <c r="F36" s="145">
        <f>'[12]Лист1'!T31</f>
        <v>5479.370000000001</v>
      </c>
      <c r="G36" s="149">
        <f>'[12]Лист1'!AB31</f>
        <v>18880.96</v>
      </c>
      <c r="H36" s="145">
        <f>'[12]Лист1'!AC31</f>
        <v>27291.030000000002</v>
      </c>
      <c r="I36" s="201">
        <f>'[12]Лист1'!AF31</f>
        <v>1116.07586</v>
      </c>
      <c r="J36" s="149">
        <f>'[12]Лист1'!AG31</f>
        <v>2210.88</v>
      </c>
      <c r="K36" s="141">
        <f>'[12]Лист1'!AI31+'[12]Лист1'!AJ31</f>
        <v>3684.8</v>
      </c>
      <c r="L36" s="141">
        <f>'[12]Лист1'!AH31+'[12]Лист1'!AK31+'[12]Лист1'!AL31+'[12]Лист1'!AM31+'[12]Лист1'!AN31+'[12]Лист1'!AO31+'[12]Лист1'!AP31+'[12]Лист1'!AQ31+'[12]Лист1'!AR31</f>
        <v>12638.864000000001</v>
      </c>
      <c r="M36" s="142">
        <f>'[12]Лист1'!AS31+'[12]Лист1'!AT31+'[12]Лист1'!AU31+'[12]Лист1'!AZ31+'[12]Лист1'!BA31</f>
        <v>4220</v>
      </c>
      <c r="N36" s="142">
        <f>'Лист1 (2)'!AX31</f>
        <v>1352.3999999999999</v>
      </c>
      <c r="O36" s="145">
        <f aca="true" t="shared" si="5" ref="O36:O46">J36+K36+L36+M36+N36</f>
        <v>24106.944000000003</v>
      </c>
      <c r="P36" s="202">
        <f>'Лист1 (2)'!BC31</f>
        <v>484.821</v>
      </c>
      <c r="Q36" s="146">
        <f>'Лист1 (2)'!BD31</f>
        <v>3815.3408600000002</v>
      </c>
      <c r="R36" s="146">
        <f>'Лист1 (2)'!BE31</f>
        <v>-4582.490000000002</v>
      </c>
      <c r="S36" s="61"/>
      <c r="T36" s="61"/>
    </row>
    <row r="37" spans="1:20" ht="12.75">
      <c r="A37" s="73" t="s">
        <v>47</v>
      </c>
      <c r="B37" s="147">
        <f>'[12]Лист1'!B32</f>
        <v>3684.8</v>
      </c>
      <c r="C37" s="24">
        <f t="shared" si="4"/>
        <v>31873.520000000004</v>
      </c>
      <c r="D37" s="148">
        <f>'[12]Лист1'!D32</f>
        <v>2968.960000000001</v>
      </c>
      <c r="E37" s="141">
        <f>'[12]Лист1'!S32</f>
        <v>23425.190000000002</v>
      </c>
      <c r="F37" s="145">
        <f>'[12]Лист1'!T32</f>
        <v>5479.370000000001</v>
      </c>
      <c r="G37" s="149">
        <f>'[12]Лист1'!AB32</f>
        <v>21146.55</v>
      </c>
      <c r="H37" s="145">
        <f>'[12]Лист1'!AC32</f>
        <v>29594.88</v>
      </c>
      <c r="I37" s="201">
        <f>'[12]Лист1'!AF32</f>
        <v>1116.07586</v>
      </c>
      <c r="J37" s="149">
        <f>'[12]Лист1'!AG32</f>
        <v>2210.88</v>
      </c>
      <c r="K37" s="141">
        <f>'[12]Лист1'!AI32+'[12]Лист1'!AJ32</f>
        <v>3684.8</v>
      </c>
      <c r="L37" s="141">
        <f>'[12]Лист1'!AH32+'[12]Лист1'!AK32+'[12]Лист1'!AL32+'[12]Лист1'!AM32+'[12]Лист1'!AN32+'[12]Лист1'!AO32+'[12]Лист1'!AP32+'[12]Лист1'!AQ32+'[12]Лист1'!AR32</f>
        <v>18798.864</v>
      </c>
      <c r="M37" s="142">
        <f>'[12]Лист1'!AS32+'[12]Лист1'!AT32+'[12]Лист1'!AU32+'[12]Лист1'!AZ32+'[12]Лист1'!BA32</f>
        <v>2083</v>
      </c>
      <c r="N37" s="142">
        <f>'Лист1 (2)'!AX32</f>
        <v>1169</v>
      </c>
      <c r="O37" s="145">
        <f t="shared" si="5"/>
        <v>27946.544</v>
      </c>
      <c r="P37" s="202">
        <f>'Лист1 (2)'!BC32</f>
        <v>484.821</v>
      </c>
      <c r="Q37" s="146">
        <f>'Лист1 (2)'!BD32</f>
        <v>2279.5908600000002</v>
      </c>
      <c r="R37" s="146">
        <f>'Лист1 (2)'!BE32</f>
        <v>-2278.640000000003</v>
      </c>
      <c r="S37" s="61"/>
      <c r="T37" s="61"/>
    </row>
    <row r="38" spans="1:20" ht="12.75">
      <c r="A38" s="73" t="s">
        <v>48</v>
      </c>
      <c r="B38" s="147">
        <f>'[12]Лист1'!B33</f>
        <v>3684.8</v>
      </c>
      <c r="C38" s="24">
        <f t="shared" si="4"/>
        <v>31873.520000000004</v>
      </c>
      <c r="D38" s="148">
        <f>'[12]Лист1'!D33</f>
        <v>2969.050000000008</v>
      </c>
      <c r="E38" s="141">
        <f>'[12]Лист1'!S33</f>
        <v>23401.73</v>
      </c>
      <c r="F38" s="145">
        <f>'[12]Лист1'!T33</f>
        <v>5502.740000000001</v>
      </c>
      <c r="G38" s="149">
        <f>'[12]Лист1'!AB33</f>
        <v>20013.71</v>
      </c>
      <c r="H38" s="145">
        <f>'[12]Лист1'!AC33</f>
        <v>28485.500000000007</v>
      </c>
      <c r="I38" s="201">
        <f>'[12]Лист1'!AF33</f>
        <v>1116.07586</v>
      </c>
      <c r="J38" s="149">
        <f>'[12]Лист1'!AG33</f>
        <v>2210.88</v>
      </c>
      <c r="K38" s="141">
        <f>'[12]Лист1'!AI33+'[12]Лист1'!AJ33</f>
        <v>3684.8</v>
      </c>
      <c r="L38" s="141">
        <f>'[12]Лист1'!AH33+'[12]Лист1'!AK33+'[12]Лист1'!AL33+'[12]Лист1'!AM33+'[12]Лист1'!AN33+'[12]Лист1'!AO33+'[12]Лист1'!AP33+'[12]Лист1'!AQ33+'[12]Лист1'!AR33</f>
        <v>12638.864000000001</v>
      </c>
      <c r="M38" s="142">
        <f>'[12]Лист1'!AS33+'[12]Лист1'!AT33+'[12]Лист1'!AU33+'[12]Лист1'!AZ33+'[12]Лист1'!BA33</f>
        <v>7028</v>
      </c>
      <c r="N38" s="142">
        <f>'Лист1 (2)'!AX33</f>
        <v>828.8</v>
      </c>
      <c r="O38" s="145">
        <f t="shared" si="5"/>
        <v>26391.344</v>
      </c>
      <c r="P38" s="202">
        <f>'Лист1 (2)'!BC33</f>
        <v>484.821</v>
      </c>
      <c r="Q38" s="146">
        <f>'Лист1 (2)'!BD33</f>
        <v>2725.4108600000072</v>
      </c>
      <c r="R38" s="146">
        <f>'Лист1 (2)'!BE33</f>
        <v>-3388.0200000000004</v>
      </c>
      <c r="S38" s="61"/>
      <c r="T38" s="61"/>
    </row>
    <row r="39" spans="1:20" ht="12.75">
      <c r="A39" s="73" t="s">
        <v>49</v>
      </c>
      <c r="B39" s="147">
        <f>'[12]Лист1'!B34</f>
        <v>3684.8</v>
      </c>
      <c r="C39" s="24">
        <f t="shared" si="4"/>
        <v>31873.520000000004</v>
      </c>
      <c r="D39" s="148">
        <f>'[12]Лист1'!D34</f>
        <v>2961.4600000000055</v>
      </c>
      <c r="E39" s="141">
        <f>'[12]Лист1'!S34</f>
        <v>23198.69</v>
      </c>
      <c r="F39" s="145">
        <f>'[12]Лист1'!T34</f>
        <v>5713.370000000001</v>
      </c>
      <c r="G39" s="149">
        <f>'[12]Лист1'!AB34</f>
        <v>23690.64</v>
      </c>
      <c r="H39" s="145">
        <f>'[12]Лист1'!AC34</f>
        <v>32365.470000000005</v>
      </c>
      <c r="I39" s="201">
        <f>'[12]Лист1'!AF34</f>
        <v>1116.07586</v>
      </c>
      <c r="J39" s="149">
        <f>'[12]Лист1'!AG34</f>
        <v>2210.88</v>
      </c>
      <c r="K39" s="141">
        <f>'[12]Лист1'!AI34+'[12]Лист1'!AJ34</f>
        <v>3684.8</v>
      </c>
      <c r="L39" s="141">
        <f>'[12]Лист1'!AH34+'[12]Лист1'!AK34+'[12]Лист1'!AL34+'[12]Лист1'!AM34+'[12]Лист1'!AN34+'[12]Лист1'!AO34+'[12]Лист1'!AP34+'[12]Лист1'!AQ34+'[12]Лист1'!AR34</f>
        <v>12638.864000000001</v>
      </c>
      <c r="M39" s="142">
        <f>'[12]Лист1'!AS34+'[12]Лист1'!AT34+'[12]Лист1'!AU34+'[12]Лист1'!AZ34+'[12]Лист1'!BA34</f>
        <v>6302.198600000001</v>
      </c>
      <c r="N39" s="142">
        <f>'Лист1 (2)'!AX34</f>
        <v>714</v>
      </c>
      <c r="O39" s="145">
        <f t="shared" si="5"/>
        <v>25550.7426</v>
      </c>
      <c r="P39" s="202">
        <f>'Лист1 (2)'!BC34</f>
        <v>484.821</v>
      </c>
      <c r="Q39" s="146">
        <f>'Лист1 (2)'!BD34</f>
        <v>7583.910860000004</v>
      </c>
      <c r="R39" s="146">
        <f>'Лист1 (2)'!BE34</f>
        <v>491.9500000000007</v>
      </c>
      <c r="S39" s="61"/>
      <c r="T39" s="61"/>
    </row>
    <row r="40" spans="1:20" ht="12.75">
      <c r="A40" s="73" t="s">
        <v>50</v>
      </c>
      <c r="B40" s="147">
        <f>'[12]Лист1'!B35</f>
        <v>3684.8</v>
      </c>
      <c r="C40" s="24">
        <f t="shared" si="4"/>
        <v>31873.520000000004</v>
      </c>
      <c r="D40" s="148">
        <f>'[12]Лист1'!D35</f>
        <v>2961.4600000000055</v>
      </c>
      <c r="E40" s="141">
        <f>'[12]Лист1'!S35</f>
        <v>23198.69</v>
      </c>
      <c r="F40" s="145">
        <f>'[12]Лист1'!T35</f>
        <v>5713.370000000001</v>
      </c>
      <c r="G40" s="149">
        <f>'[12]Лист1'!AB35</f>
        <v>23055.04</v>
      </c>
      <c r="H40" s="145">
        <f>'[12]Лист1'!AC35</f>
        <v>31729.870000000006</v>
      </c>
      <c r="I40" s="201">
        <f>'[12]Лист1'!AF35</f>
        <v>1116.07586</v>
      </c>
      <c r="J40" s="149">
        <f>'[12]Лист1'!AG35</f>
        <v>2210.88</v>
      </c>
      <c r="K40" s="141">
        <f>'[12]Лист1'!AI35+'[12]Лист1'!AJ35</f>
        <v>3684.8</v>
      </c>
      <c r="L40" s="141">
        <f>'[12]Лист1'!AH35+'[12]Лист1'!AK35+'[12]Лист1'!AL35+'[12]Лист1'!AM35+'[12]Лист1'!AN35+'[12]Лист1'!AO35+'[12]Лист1'!AP35+'[12]Лист1'!AQ35+'[12]Лист1'!AR35</f>
        <v>12738.864000000001</v>
      </c>
      <c r="M40" s="142">
        <f>'[12]Лист1'!AS35+'[12]Лист1'!AT35+'[12]Лист1'!AU35+'[12]Лист1'!AZ35+'[12]Лист1'!BA35</f>
        <v>2147</v>
      </c>
      <c r="N40" s="142">
        <f>'Лист1 (2)'!AX35</f>
        <v>489.99999999999994</v>
      </c>
      <c r="O40" s="145">
        <f t="shared" si="5"/>
        <v>21271.544</v>
      </c>
      <c r="P40" s="202">
        <f>'Лист1 (2)'!BC35</f>
        <v>484.821</v>
      </c>
      <c r="Q40" s="146">
        <f>'Лист1 (2)'!BD35</f>
        <v>11089.580860000005</v>
      </c>
      <c r="R40" s="146">
        <f>'Лист1 (2)'!BE35</f>
        <v>-143.64999999999782</v>
      </c>
      <c r="S40" s="61"/>
      <c r="T40" s="61"/>
    </row>
    <row r="41" spans="1:20" ht="12.75">
      <c r="A41" s="73" t="s">
        <v>51</v>
      </c>
      <c r="B41" s="147">
        <f>'[12]Лист1'!B36</f>
        <v>3684.8</v>
      </c>
      <c r="C41" s="24">
        <f t="shared" si="4"/>
        <v>31873.520000000004</v>
      </c>
      <c r="D41" s="148">
        <f>'[12]Лист1'!D36</f>
        <v>2905.740000000006</v>
      </c>
      <c r="E41" s="141">
        <f>'[12]Лист1'!S36</f>
        <v>28967.78</v>
      </c>
      <c r="F41" s="145">
        <f>'[12]Лист1'!T36</f>
        <v>0</v>
      </c>
      <c r="G41" s="149">
        <f>'[12]Лист1'!AB36</f>
        <v>22494.92</v>
      </c>
      <c r="H41" s="145">
        <f>'[12]Лист1'!AC36</f>
        <v>25400.660000000003</v>
      </c>
      <c r="I41" s="201">
        <f>'[12]Лист1'!AF36</f>
        <v>1116.07586</v>
      </c>
      <c r="J41" s="149">
        <f>'[12]Лист1'!AG36</f>
        <v>2210.88</v>
      </c>
      <c r="K41" s="141">
        <f>'[12]Лист1'!AI36+'[12]Лист1'!AJ36</f>
        <v>3684.8</v>
      </c>
      <c r="L41" s="141">
        <f>'[12]Лист1'!AH36+'[12]Лист1'!AK36+'[12]Лист1'!AL36+'[12]Лист1'!AM36+'[12]Лист1'!AN36+'[12]Лист1'!AO36+'[12]Лист1'!AP36+'[12]Лист1'!AQ36+'[12]Лист1'!AR36</f>
        <v>12638.864000000001</v>
      </c>
      <c r="M41" s="142">
        <f>'[12]Лист1'!AS36+'[12]Лист1'!AT36+'[12]Лист1'!AU36+'[12]Лист1'!AZ36+'[12]Лист1'!BA36</f>
        <v>10599.989</v>
      </c>
      <c r="N41" s="142">
        <f>'Лист1 (2)'!AX36</f>
        <v>414.4</v>
      </c>
      <c r="O41" s="145">
        <f t="shared" si="5"/>
        <v>29548.933000000005</v>
      </c>
      <c r="P41" s="202">
        <f>'Лист1 (2)'!BC36</f>
        <v>484.821</v>
      </c>
      <c r="Q41" s="146">
        <f>'Лист1 (2)'!BD36</f>
        <v>-3517.0181399999965</v>
      </c>
      <c r="R41" s="146">
        <f>'Лист1 (2)'!BE36</f>
        <v>-6472.860000000001</v>
      </c>
      <c r="S41" s="61"/>
      <c r="T41" s="61"/>
    </row>
    <row r="42" spans="1:20" ht="12.75">
      <c r="A42" s="73" t="s">
        <v>52</v>
      </c>
      <c r="B42" s="147">
        <f>'[12]Лист1'!B37</f>
        <v>3684.8</v>
      </c>
      <c r="C42" s="24">
        <f t="shared" si="4"/>
        <v>31873.520000000004</v>
      </c>
      <c r="D42" s="148">
        <f>'[12]Лист1'!D37</f>
        <v>2928.3800000000056</v>
      </c>
      <c r="E42" s="141">
        <f>'[12]Лист1'!S37</f>
        <v>28945.140000000003</v>
      </c>
      <c r="F42" s="145">
        <f>'[12]Лист1'!T37</f>
        <v>0</v>
      </c>
      <c r="G42" s="149">
        <f>'[12]Лист1'!AB37</f>
        <v>25186.56</v>
      </c>
      <c r="H42" s="145">
        <f>'[12]Лист1'!AC37</f>
        <v>28114.940000000006</v>
      </c>
      <c r="I42" s="201">
        <f>'[12]Лист1'!AF37</f>
        <v>1116.07586</v>
      </c>
      <c r="J42" s="149">
        <f>'[12]Лист1'!AG37</f>
        <v>2210.88</v>
      </c>
      <c r="K42" s="141">
        <f>'[12]Лист1'!AI37+'[12]Лист1'!AJ37</f>
        <v>3684.8</v>
      </c>
      <c r="L42" s="141">
        <f>'[12]Лист1'!AH37+'[12]Лист1'!AK37+'[12]Лист1'!AL37+'[12]Лист1'!AM37+'[12]Лист1'!AN37+'[12]Лист1'!AO37+'[12]Лист1'!AP37+'[12]Лист1'!AQ37+'[12]Лист1'!AR37</f>
        <v>12638.864000000001</v>
      </c>
      <c r="M42" s="142">
        <f>'[12]Лист1'!AS37+'[12]Лист1'!AT37+'[12]Лист1'!AU37+'[12]Лист1'!AZ37+'[12]Лист1'!BA37</f>
        <v>6176.404</v>
      </c>
      <c r="N42" s="142">
        <f>'Лист1 (2)'!AX37</f>
        <v>435.4</v>
      </c>
      <c r="O42" s="145">
        <f t="shared" si="5"/>
        <v>25146.348000000005</v>
      </c>
      <c r="P42" s="202">
        <f>'Лист1 (2)'!BC37</f>
        <v>484.821</v>
      </c>
      <c r="Q42" s="146">
        <f>'Лист1 (2)'!BD37</f>
        <v>3608.4508600000045</v>
      </c>
      <c r="R42" s="146">
        <f>'Лист1 (2)'!BE37</f>
        <v>-3758.5800000000017</v>
      </c>
      <c r="S42" s="61"/>
      <c r="T42" s="61"/>
    </row>
    <row r="43" spans="1:20" ht="12.75">
      <c r="A43" s="73" t="s">
        <v>53</v>
      </c>
      <c r="B43" s="147">
        <f>'[12]Лист1'!B38</f>
        <v>3684.8</v>
      </c>
      <c r="C43" s="24">
        <f t="shared" si="4"/>
        <v>31873.520000000004</v>
      </c>
      <c r="D43" s="148">
        <f>'[12]Лист1'!D38</f>
        <v>2919.4300000000076</v>
      </c>
      <c r="E43" s="141">
        <f>'[12]Лист1'!S38</f>
        <v>28954.090000000004</v>
      </c>
      <c r="F43" s="145">
        <f>'[12]Лист1'!T38</f>
        <v>0</v>
      </c>
      <c r="G43" s="149">
        <f>'[12]Лист1'!AB38</f>
        <v>26677.630000000005</v>
      </c>
      <c r="H43" s="145">
        <f>'[12]Лист1'!AC38</f>
        <v>29597.060000000012</v>
      </c>
      <c r="I43" s="201">
        <f>'[12]Лист1'!AF38</f>
        <v>1116.07586</v>
      </c>
      <c r="J43" s="149">
        <f>'[12]Лист1'!AG38</f>
        <v>2210.88</v>
      </c>
      <c r="K43" s="141">
        <f>'[12]Лист1'!AI38+'[12]Лист1'!AJ38</f>
        <v>3684.8</v>
      </c>
      <c r="L43" s="141">
        <f>'[12]Лист1'!AH38+'[12]Лист1'!AK38+'[12]Лист1'!AL38+'[12]Лист1'!AM38+'[12]Лист1'!AN38+'[12]Лист1'!AO38+'[12]Лист1'!AP38+'[12]Лист1'!AQ38+'[12]Лист1'!AR38</f>
        <v>24080.384000000002</v>
      </c>
      <c r="M43" s="142">
        <f>'[12]Лист1'!AS38+'[12]Лист1'!AT38+'[12]Лист1'!AU38+'[12]Лист1'!AZ38+'[12]Лист1'!BA38</f>
        <v>5321</v>
      </c>
      <c r="N43" s="142">
        <f>'Лист1 (2)'!AX38</f>
        <v>583.8</v>
      </c>
      <c r="O43" s="145">
        <f t="shared" si="5"/>
        <v>35880.864</v>
      </c>
      <c r="P43" s="202">
        <f>'Лист1 (2)'!BC38</f>
        <v>484.821</v>
      </c>
      <c r="Q43" s="146">
        <f>'Лист1 (2)'!BD38</f>
        <v>-5652.549139999988</v>
      </c>
      <c r="R43" s="146">
        <f>'Лист1 (2)'!BE38</f>
        <v>-2276.459999999999</v>
      </c>
      <c r="S43" s="61"/>
      <c r="T43" s="61"/>
    </row>
    <row r="44" spans="1:20" ht="12.75">
      <c r="A44" s="73" t="s">
        <v>41</v>
      </c>
      <c r="B44" s="147">
        <f>'[12]Лист1'!B39</f>
        <v>3684.8</v>
      </c>
      <c r="C44" s="24">
        <f t="shared" si="4"/>
        <v>31873.520000000004</v>
      </c>
      <c r="D44" s="148">
        <f>'[12]Лист1'!D39</f>
        <v>2893.390000000002</v>
      </c>
      <c r="E44" s="141">
        <f>'[12]Лист1'!S39</f>
        <v>28980.13</v>
      </c>
      <c r="F44" s="145">
        <f>'[12]Лист1'!T39</f>
        <v>0</v>
      </c>
      <c r="G44" s="149">
        <f>'[12]Лист1'!AB39</f>
        <v>26933.75</v>
      </c>
      <c r="H44" s="145">
        <f>'[12]Лист1'!AC39</f>
        <v>29827.140000000003</v>
      </c>
      <c r="I44" s="201">
        <f>'[12]Лист1'!AF39</f>
        <v>1266.07586</v>
      </c>
      <c r="J44" s="149">
        <f>'[12]Лист1'!AG39</f>
        <v>2210.88</v>
      </c>
      <c r="K44" s="141">
        <f>'[12]Лист1'!AI39+'[12]Лист1'!AJ39</f>
        <v>3684.8</v>
      </c>
      <c r="L44" s="141">
        <f>'[12]Лист1'!AH39+'[12]Лист1'!AK39+'[12]Лист1'!AL39+'[12]Лист1'!AM39+'[12]Лист1'!AN39+'[12]Лист1'!AO39+'[12]Лист1'!AP39+'[12]Лист1'!AQ39+'[12]Лист1'!AR39</f>
        <v>12638.864000000001</v>
      </c>
      <c r="M44" s="142">
        <f>'[12]Лист1'!AS39+'[12]Лист1'!AT39+'[12]Лист1'!AU39+'[12]Лист1'!AZ39+'[12]Лист1'!BA39</f>
        <v>2067</v>
      </c>
      <c r="N44" s="142">
        <f>'Лист1 (2)'!AX39</f>
        <v>590.8</v>
      </c>
      <c r="O44" s="145">
        <f t="shared" si="5"/>
        <v>21192.344</v>
      </c>
      <c r="P44" s="202">
        <f>'Лист1 (2)'!BC39</f>
        <v>522.321</v>
      </c>
      <c r="Q44" s="146">
        <f>'Лист1 (2)'!BD39</f>
        <v>9378.550860000003</v>
      </c>
      <c r="R44" s="146">
        <f>'Лист1 (2)'!BE39</f>
        <v>-2046.380000000001</v>
      </c>
      <c r="S44" s="61"/>
      <c r="T44" s="61"/>
    </row>
    <row r="45" spans="1:20" ht="12.75">
      <c r="A45" s="73" t="s">
        <v>42</v>
      </c>
      <c r="B45" s="147">
        <f>'[12]Лист1'!B40</f>
        <v>3684.8</v>
      </c>
      <c r="C45" s="24">
        <f t="shared" si="4"/>
        <v>31873.520000000004</v>
      </c>
      <c r="D45" s="148">
        <f>'[12]Лист1'!D40</f>
        <v>2823.840000000004</v>
      </c>
      <c r="E45" s="141">
        <f>'[12]Лист1'!S40</f>
        <v>29049.68</v>
      </c>
      <c r="F45" s="145">
        <f>'[12]Лист1'!T40</f>
        <v>0</v>
      </c>
      <c r="G45" s="149">
        <f>'[12]Лист1'!AB40</f>
        <v>32231.739999999998</v>
      </c>
      <c r="H45" s="145">
        <f>'[12]Лист1'!AC40</f>
        <v>35055.58</v>
      </c>
      <c r="I45" s="201">
        <f>'[12]Лист1'!AF40</f>
        <v>782.70066</v>
      </c>
      <c r="J45" s="149">
        <f>'[12]Лист1'!AG40</f>
        <v>2210.88</v>
      </c>
      <c r="K45" s="141">
        <f>'[12]Лист1'!AI40+'[12]Лист1'!AJ40</f>
        <v>3684.8</v>
      </c>
      <c r="L45" s="141">
        <f>'[12]Лист1'!AH40+'[12]Лист1'!AK40+'[12]Лист1'!AL40+'[12]Лист1'!AM40+'[12]Лист1'!AN40+'[12]Лист1'!AO40+'[12]Лист1'!AP40+'[12]Лист1'!AQ40+'[12]Лист1'!AR40</f>
        <v>12638.864000000001</v>
      </c>
      <c r="M45" s="142">
        <f>'[12]Лист1'!AS40+'[12]Лист1'!AT40+'[12]Лист1'!AU40+'[12]Лист1'!AZ40+'[12]Лист1'!BA40</f>
        <v>1818</v>
      </c>
      <c r="N45" s="142">
        <f>'Лист1 (2)'!AX40</f>
        <v>795.1999999999999</v>
      </c>
      <c r="O45" s="145">
        <f t="shared" si="5"/>
        <v>21147.744000000002</v>
      </c>
      <c r="P45" s="202">
        <f>'Лист1 (2)'!BC40</f>
        <v>522.321</v>
      </c>
      <c r="Q45" s="146">
        <f>'Лист1 (2)'!BD40</f>
        <v>14168.215660000002</v>
      </c>
      <c r="R45" s="146">
        <f>'Лист1 (2)'!BE40</f>
        <v>3182.0599999999977</v>
      </c>
      <c r="S45" s="61"/>
      <c r="T45" s="61"/>
    </row>
    <row r="46" spans="1:20" ht="13.5" thickBot="1">
      <c r="A46" s="203" t="s">
        <v>43</v>
      </c>
      <c r="B46" s="147">
        <f>'[12]Лист1'!B41</f>
        <v>3684.8</v>
      </c>
      <c r="C46" s="24">
        <f t="shared" si="4"/>
        <v>31873.520000000004</v>
      </c>
      <c r="D46" s="148">
        <f>'[12]Лист1'!D41</f>
        <v>2807.970000000004</v>
      </c>
      <c r="E46" s="141">
        <f>'[12]Лист1'!S41</f>
        <v>29065.550000000003</v>
      </c>
      <c r="F46" s="145">
        <f>'[12]Лист1'!T41</f>
        <v>0</v>
      </c>
      <c r="G46" s="149">
        <f>'[12]Лист1'!AB41</f>
        <v>38136.9</v>
      </c>
      <c r="H46" s="145">
        <f>'[12]Лист1'!AC41</f>
        <v>40944.87</v>
      </c>
      <c r="I46" s="201">
        <f>'[12]Лист1'!AF41</f>
        <v>782.70066</v>
      </c>
      <c r="J46" s="149">
        <f>'[12]Лист1'!AG41</f>
        <v>2210.88</v>
      </c>
      <c r="K46" s="141">
        <f>'[12]Лист1'!AI41+'[12]Лист1'!AJ41</f>
        <v>3684.8</v>
      </c>
      <c r="L46" s="141">
        <f>'[12]Лист1'!AH41+'[12]Лист1'!AK41+'[12]Лист1'!AL41+'[12]Лист1'!AM41+'[12]Лист1'!AN41+'[12]Лист1'!AO41+'[12]Лист1'!AP41+'[12]Лист1'!AQ41+'[12]Лист1'!AR41</f>
        <v>12638.864000000001</v>
      </c>
      <c r="M46" s="142">
        <f>'[12]Лист1'!AS41+'[12]Лист1'!AT41+'[12]Лист1'!AU41+'[12]Лист1'!AZ41+'[12]Лист1'!BA41</f>
        <v>24098.154</v>
      </c>
      <c r="N46" s="142">
        <f>'Лист1 (2)'!AX41</f>
        <v>11613</v>
      </c>
      <c r="O46" s="145">
        <f t="shared" si="5"/>
        <v>54245.698000000004</v>
      </c>
      <c r="P46" s="202">
        <f>'Лист1 (2)'!BC41</f>
        <v>522.321</v>
      </c>
      <c r="Q46" s="146">
        <f>'Лист1 (2)'!BD41</f>
        <v>-13040.448339999992</v>
      </c>
      <c r="R46" s="146">
        <f>'Лист1 (2)'!BE41</f>
        <v>9071.349999999999</v>
      </c>
      <c r="S46" s="61"/>
      <c r="T46" s="61"/>
    </row>
    <row r="47" spans="1:20" s="15" customFormat="1" ht="13.5" thickBot="1">
      <c r="A47" s="26" t="s">
        <v>5</v>
      </c>
      <c r="B47" s="27"/>
      <c r="C47" s="28">
        <f aca="true" t="shared" si="6" ref="C47:R47">SUM(C35:C46)</f>
        <v>382481.3750000001</v>
      </c>
      <c r="D47" s="29">
        <f t="shared" si="6"/>
        <v>35052.29500000004</v>
      </c>
      <c r="E47" s="28">
        <f t="shared" si="6"/>
        <v>313998.88</v>
      </c>
      <c r="F47" s="42">
        <f t="shared" si="6"/>
        <v>33430.200000000004</v>
      </c>
      <c r="G47" s="29">
        <f t="shared" si="6"/>
        <v>290002.95</v>
      </c>
      <c r="H47" s="42">
        <f t="shared" si="6"/>
        <v>358485.44500000007</v>
      </c>
      <c r="I47" s="42">
        <f t="shared" si="6"/>
        <v>12876.159920000002</v>
      </c>
      <c r="J47" s="29">
        <f t="shared" si="6"/>
        <v>26530.500000000007</v>
      </c>
      <c r="K47" s="28">
        <f t="shared" si="6"/>
        <v>44217.50000000001</v>
      </c>
      <c r="L47" s="28">
        <f t="shared" si="6"/>
        <v>169367.545</v>
      </c>
      <c r="M47" s="28">
        <f t="shared" si="6"/>
        <v>71860.7456</v>
      </c>
      <c r="N47" s="28">
        <f t="shared" si="6"/>
        <v>20326.6</v>
      </c>
      <c r="O47" s="42">
        <f t="shared" si="6"/>
        <v>332302.89060000004</v>
      </c>
      <c r="P47" s="42">
        <f t="shared" si="6"/>
        <v>5930.352</v>
      </c>
      <c r="Q47" s="30">
        <f t="shared" si="6"/>
        <v>33274.89492000005</v>
      </c>
      <c r="R47" s="30">
        <f t="shared" si="6"/>
        <v>-23995.930000000015</v>
      </c>
      <c r="S47" s="32"/>
      <c r="T47" s="32"/>
    </row>
    <row r="48" spans="1:20" ht="13.5" thickBot="1">
      <c r="A48" s="295" t="s">
        <v>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133"/>
      <c r="S48" s="61"/>
      <c r="T48" s="61"/>
    </row>
    <row r="49" spans="1:20" s="15" customFormat="1" ht="13.5" thickBot="1">
      <c r="A49" s="34" t="s">
        <v>54</v>
      </c>
      <c r="B49" s="35"/>
      <c r="C49" s="135">
        <f>C33+C47</f>
        <v>860543.5200000001</v>
      </c>
      <c r="D49" s="204">
        <f aca="true" t="shared" si="7" ref="D49:O49">D33+D47</f>
        <v>99566.59390265006</v>
      </c>
      <c r="E49" s="35">
        <f t="shared" si="7"/>
        <v>647463.73</v>
      </c>
      <c r="F49" s="135">
        <f t="shared" si="7"/>
        <v>109544.64000000001</v>
      </c>
      <c r="G49" s="204">
        <f t="shared" si="7"/>
        <v>591423.04</v>
      </c>
      <c r="H49" s="135">
        <f t="shared" si="7"/>
        <v>800534.2739026501</v>
      </c>
      <c r="I49" s="135">
        <f t="shared" si="7"/>
        <v>19572.615080000003</v>
      </c>
      <c r="J49" s="204">
        <f t="shared" si="7"/>
        <v>58806.456000000006</v>
      </c>
      <c r="K49" s="35">
        <f t="shared" si="7"/>
        <v>97620.899429685</v>
      </c>
      <c r="L49" s="35">
        <f t="shared" si="7"/>
        <v>394624.13891092676</v>
      </c>
      <c r="M49" s="35">
        <f t="shared" si="7"/>
        <v>261906.88460000002</v>
      </c>
      <c r="N49" s="35">
        <f t="shared" si="7"/>
        <v>34852.3056</v>
      </c>
      <c r="O49" s="36">
        <f t="shared" si="7"/>
        <v>847810.6845406119</v>
      </c>
      <c r="P49" s="36">
        <f>P33+P47</f>
        <v>8829.0737312034</v>
      </c>
      <c r="Q49" s="205">
        <f>Q33+Q47</f>
        <v>-36386.336689165095</v>
      </c>
      <c r="R49" s="205">
        <f>R33+R47</f>
        <v>-56040.690000000024</v>
      </c>
      <c r="S49" s="37"/>
      <c r="T49" s="32"/>
    </row>
    <row r="51" spans="19:20" ht="12.75" hidden="1">
      <c r="S51" s="61"/>
      <c r="T51" s="61"/>
    </row>
    <row r="52" ht="12.75" hidden="1"/>
    <row r="53" ht="12.75" hidden="1"/>
    <row r="54" spans="1:20" ht="12.75" hidden="1">
      <c r="A54" s="15" t="s">
        <v>69</v>
      </c>
      <c r="D54" s="151" t="s">
        <v>86</v>
      </c>
      <c r="S54" s="61"/>
      <c r="T54" s="61"/>
    </row>
    <row r="55" spans="1:20" ht="12.75" hidden="1">
      <c r="A55" s="71" t="s">
        <v>70</v>
      </c>
      <c r="B55" s="71" t="s">
        <v>71</v>
      </c>
      <c r="C55" s="297" t="s">
        <v>72</v>
      </c>
      <c r="D55" s="297"/>
      <c r="S55" s="61"/>
      <c r="T55" s="61"/>
    </row>
    <row r="56" spans="1:20" ht="12.75" hidden="1">
      <c r="A56" s="153">
        <v>228490.24</v>
      </c>
      <c r="B56" s="153">
        <v>305937.04</v>
      </c>
      <c r="C56" s="155">
        <f>A56-B56</f>
        <v>-77446.79999999999</v>
      </c>
      <c r="D56" s="156"/>
      <c r="S56" s="61"/>
      <c r="T56" s="61"/>
    </row>
    <row r="57" spans="1:20" ht="12.75">
      <c r="A57" s="62" t="s">
        <v>73</v>
      </c>
      <c r="G57" s="62" t="s">
        <v>74</v>
      </c>
      <c r="S57" s="61"/>
      <c r="T57" s="61"/>
    </row>
    <row r="58" ht="12.75">
      <c r="A58" s="61"/>
    </row>
    <row r="59" ht="12.75">
      <c r="A59" s="61"/>
    </row>
  </sheetData>
  <sheetProtection/>
  <mergeCells count="28">
    <mergeCell ref="D8:D11"/>
    <mergeCell ref="E8:F9"/>
    <mergeCell ref="G8:H9"/>
    <mergeCell ref="B1:H1"/>
    <mergeCell ref="B2:H2"/>
    <mergeCell ref="A5:Q5"/>
    <mergeCell ref="A6:G6"/>
    <mergeCell ref="A7:D7"/>
    <mergeCell ref="E7:F7"/>
    <mergeCell ref="R8:R11"/>
    <mergeCell ref="E10:F10"/>
    <mergeCell ref="H10:H11"/>
    <mergeCell ref="J10:J11"/>
    <mergeCell ref="K10:K11"/>
    <mergeCell ref="L10:L11"/>
    <mergeCell ref="M10:M11"/>
    <mergeCell ref="N10:N11"/>
    <mergeCell ref="O10:O11"/>
    <mergeCell ref="A32:Q32"/>
    <mergeCell ref="A48:Q48"/>
    <mergeCell ref="C55:D55"/>
    <mergeCell ref="I8:I11"/>
    <mergeCell ref="J8:O9"/>
    <mergeCell ref="P8:P11"/>
    <mergeCell ref="Q8:Q11"/>
    <mergeCell ref="A8:A11"/>
    <mergeCell ref="B8:B11"/>
    <mergeCell ref="C8:C11"/>
  </mergeCells>
  <printOptions/>
  <pageMargins left="0.2362204724409449" right="0.15748031496062992" top="0.03937007874015748" bottom="0.4724409448818898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3"/>
  <sheetViews>
    <sheetView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9.00390625" defaultRowHeight="12.75"/>
  <cols>
    <col min="1" max="1" width="8.75390625" style="62" bestFit="1" customWidth="1"/>
    <col min="2" max="2" width="9.125" style="62" customWidth="1"/>
    <col min="3" max="3" width="11.375" style="62" customWidth="1"/>
    <col min="4" max="4" width="10.375" style="62" customWidth="1"/>
    <col min="5" max="6" width="9.125" style="62" customWidth="1"/>
    <col min="7" max="7" width="10.25390625" style="62" customWidth="1"/>
    <col min="8" max="8" width="9.125" style="62" customWidth="1"/>
    <col min="9" max="9" width="9.875" style="62" customWidth="1"/>
    <col min="10" max="10" width="9.125" style="62" customWidth="1"/>
    <col min="11" max="11" width="10.375" style="62" customWidth="1"/>
    <col min="12" max="12" width="9.125" style="62" customWidth="1"/>
    <col min="13" max="13" width="11.25390625" style="62" customWidth="1"/>
    <col min="14" max="14" width="9.125" style="62" customWidth="1"/>
    <col min="15" max="15" width="10.125" style="62" bestFit="1" customWidth="1"/>
    <col min="16" max="18" width="9.125" style="62" customWidth="1"/>
    <col min="19" max="19" width="10.125" style="62" bestFit="1" customWidth="1"/>
    <col min="20" max="20" width="10.125" style="62" customWidth="1"/>
    <col min="21" max="21" width="10.125" style="62" bestFit="1" customWidth="1"/>
    <col min="22" max="22" width="10.25390625" style="62" customWidth="1"/>
    <col min="23" max="23" width="10.625" style="62" customWidth="1"/>
    <col min="24" max="24" width="10.125" style="62" customWidth="1"/>
    <col min="25" max="28" width="10.125" style="62" bestFit="1" customWidth="1"/>
    <col min="29" max="30" width="11.375" style="62" customWidth="1"/>
    <col min="31" max="31" width="9.25390625" style="62" bestFit="1" customWidth="1"/>
    <col min="32" max="32" width="12.25390625" style="62" customWidth="1"/>
    <col min="33" max="33" width="13.625" style="62" customWidth="1"/>
    <col min="34" max="35" width="9.25390625" style="62" bestFit="1" customWidth="1"/>
    <col min="36" max="36" width="12.625" style="62" customWidth="1"/>
    <col min="37" max="37" width="11.375" style="62" customWidth="1"/>
    <col min="38" max="38" width="9.25390625" style="62" bestFit="1" customWidth="1"/>
    <col min="39" max="39" width="10.125" style="62" bestFit="1" customWidth="1"/>
    <col min="40" max="40" width="9.25390625" style="62" bestFit="1" customWidth="1"/>
    <col min="41" max="42" width="10.125" style="62" bestFit="1" customWidth="1"/>
    <col min="43" max="44" width="9.25390625" style="62" customWidth="1"/>
    <col min="45" max="45" width="10.125" style="62" bestFit="1" customWidth="1"/>
    <col min="46" max="46" width="11.625" style="62" customWidth="1"/>
    <col min="47" max="47" width="10.875" style="62" customWidth="1"/>
    <col min="48" max="48" width="10.625" style="62" customWidth="1"/>
    <col min="49" max="49" width="10.25390625" style="62" customWidth="1"/>
    <col min="50" max="50" width="10.625" style="62" customWidth="1"/>
    <col min="51" max="51" width="9.25390625" style="62" bestFit="1" customWidth="1"/>
    <col min="52" max="53" width="10.125" style="62" bestFit="1" customWidth="1"/>
    <col min="54" max="54" width="11.625" style="62" customWidth="1"/>
    <col min="55" max="55" width="11.75390625" style="62" customWidth="1"/>
    <col min="56" max="56" width="11.00390625" style="62" customWidth="1"/>
    <col min="57" max="57" width="13.00390625" style="62" customWidth="1"/>
    <col min="58" max="58" width="12.125" style="62" customWidth="1"/>
    <col min="59" max="59" width="11.25390625" style="62" customWidth="1"/>
    <col min="60" max="16384" width="9.125" style="62" customWidth="1"/>
  </cols>
  <sheetData>
    <row r="1" spans="1:18" ht="21" customHeight="1">
      <c r="A1" s="287" t="s">
        <v>87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61"/>
      <c r="P1" s="61"/>
      <c r="Q1" s="61"/>
      <c r="R1" s="61"/>
    </row>
    <row r="2" spans="1:18" ht="13.5" thickBot="1">
      <c r="A2" s="61"/>
      <c r="B2" s="63"/>
      <c r="C2" s="64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59" ht="29.25" customHeight="1" thickBot="1">
      <c r="A3" s="386" t="s">
        <v>0</v>
      </c>
      <c r="B3" s="388" t="s">
        <v>1</v>
      </c>
      <c r="C3" s="390" t="s">
        <v>2</v>
      </c>
      <c r="D3" s="392" t="s">
        <v>3</v>
      </c>
      <c r="E3" s="386" t="s">
        <v>88</v>
      </c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27"/>
      <c r="S3" s="386"/>
      <c r="T3" s="394"/>
      <c r="U3" s="386" t="s">
        <v>5</v>
      </c>
      <c r="V3" s="394"/>
      <c r="W3" s="398" t="s">
        <v>6</v>
      </c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400"/>
      <c r="AJ3" s="374" t="s">
        <v>76</v>
      </c>
      <c r="AK3" s="377" t="s">
        <v>10</v>
      </c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64" t="s">
        <v>11</v>
      </c>
      <c r="BG3" s="364" t="s">
        <v>12</v>
      </c>
    </row>
    <row r="4" spans="1:59" ht="51.75" customHeight="1" hidden="1" thickBot="1">
      <c r="A4" s="387"/>
      <c r="B4" s="389"/>
      <c r="C4" s="391"/>
      <c r="D4" s="393"/>
      <c r="E4" s="387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16"/>
      <c r="S4" s="396"/>
      <c r="T4" s="397"/>
      <c r="U4" s="396"/>
      <c r="V4" s="397"/>
      <c r="W4" s="401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3"/>
      <c r="AJ4" s="375"/>
      <c r="AK4" s="379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64"/>
      <c r="BG4" s="364"/>
    </row>
    <row r="5" spans="1:59" ht="19.5" customHeight="1">
      <c r="A5" s="387"/>
      <c r="B5" s="389"/>
      <c r="C5" s="391"/>
      <c r="D5" s="393"/>
      <c r="E5" s="365" t="s">
        <v>13</v>
      </c>
      <c r="F5" s="366"/>
      <c r="G5" s="365" t="s">
        <v>89</v>
      </c>
      <c r="H5" s="366"/>
      <c r="I5" s="365" t="s">
        <v>14</v>
      </c>
      <c r="J5" s="366"/>
      <c r="K5" s="365" t="s">
        <v>16</v>
      </c>
      <c r="L5" s="366"/>
      <c r="M5" s="365" t="s">
        <v>15</v>
      </c>
      <c r="N5" s="366"/>
      <c r="O5" s="369" t="s">
        <v>17</v>
      </c>
      <c r="P5" s="369"/>
      <c r="Q5" s="365" t="s">
        <v>90</v>
      </c>
      <c r="R5" s="366"/>
      <c r="S5" s="369" t="s">
        <v>91</v>
      </c>
      <c r="T5" s="366"/>
      <c r="U5" s="372" t="s">
        <v>20</v>
      </c>
      <c r="V5" s="381" t="s">
        <v>21</v>
      </c>
      <c r="W5" s="354" t="s">
        <v>22</v>
      </c>
      <c r="X5" s="354" t="s">
        <v>92</v>
      </c>
      <c r="Y5" s="354" t="s">
        <v>23</v>
      </c>
      <c r="Z5" s="354" t="s">
        <v>25</v>
      </c>
      <c r="AA5" s="354" t="s">
        <v>24</v>
      </c>
      <c r="AB5" s="354" t="s">
        <v>26</v>
      </c>
      <c r="AC5" s="354" t="s">
        <v>27</v>
      </c>
      <c r="AD5" s="356" t="s">
        <v>28</v>
      </c>
      <c r="AE5" s="356" t="s">
        <v>93</v>
      </c>
      <c r="AF5" s="358" t="s">
        <v>29</v>
      </c>
      <c r="AG5" s="360" t="s">
        <v>94</v>
      </c>
      <c r="AH5" s="362" t="s">
        <v>8</v>
      </c>
      <c r="AI5" s="348" t="s">
        <v>9</v>
      </c>
      <c r="AJ5" s="375"/>
      <c r="AK5" s="350" t="s">
        <v>95</v>
      </c>
      <c r="AL5" s="352" t="s">
        <v>96</v>
      </c>
      <c r="AM5" s="352" t="s">
        <v>97</v>
      </c>
      <c r="AN5" s="346" t="s">
        <v>98</v>
      </c>
      <c r="AO5" s="352" t="s">
        <v>99</v>
      </c>
      <c r="AP5" s="346" t="s">
        <v>100</v>
      </c>
      <c r="AQ5" s="346" t="s">
        <v>101</v>
      </c>
      <c r="AR5" s="346" t="s">
        <v>102</v>
      </c>
      <c r="AS5" s="346" t="s">
        <v>103</v>
      </c>
      <c r="AT5" s="346" t="s">
        <v>36</v>
      </c>
      <c r="AU5" s="258" t="s">
        <v>104</v>
      </c>
      <c r="AV5" s="256" t="s">
        <v>105</v>
      </c>
      <c r="AW5" s="258" t="s">
        <v>106</v>
      </c>
      <c r="AX5" s="249" t="s">
        <v>107</v>
      </c>
      <c r="AY5" s="59"/>
      <c r="AZ5" s="344" t="s">
        <v>19</v>
      </c>
      <c r="BA5" s="346" t="s">
        <v>38</v>
      </c>
      <c r="BB5" s="346" t="s">
        <v>33</v>
      </c>
      <c r="BC5" s="338" t="s">
        <v>39</v>
      </c>
      <c r="BD5" s="340" t="s">
        <v>85</v>
      </c>
      <c r="BE5" s="342" t="s">
        <v>108</v>
      </c>
      <c r="BF5" s="364"/>
      <c r="BG5" s="364"/>
    </row>
    <row r="6" spans="1:59" ht="56.25" customHeight="1" thickBot="1">
      <c r="A6" s="387"/>
      <c r="B6" s="389"/>
      <c r="C6" s="391"/>
      <c r="D6" s="393"/>
      <c r="E6" s="367"/>
      <c r="F6" s="368"/>
      <c r="G6" s="367"/>
      <c r="H6" s="368"/>
      <c r="I6" s="367"/>
      <c r="J6" s="368"/>
      <c r="K6" s="367"/>
      <c r="L6" s="368"/>
      <c r="M6" s="367"/>
      <c r="N6" s="368"/>
      <c r="O6" s="370"/>
      <c r="P6" s="370"/>
      <c r="Q6" s="367"/>
      <c r="R6" s="368"/>
      <c r="S6" s="371"/>
      <c r="T6" s="368"/>
      <c r="U6" s="373"/>
      <c r="V6" s="382"/>
      <c r="W6" s="355"/>
      <c r="X6" s="355"/>
      <c r="Y6" s="355"/>
      <c r="Z6" s="355"/>
      <c r="AA6" s="355"/>
      <c r="AB6" s="355"/>
      <c r="AC6" s="355"/>
      <c r="AD6" s="357"/>
      <c r="AE6" s="357"/>
      <c r="AF6" s="359"/>
      <c r="AG6" s="361"/>
      <c r="AH6" s="363"/>
      <c r="AI6" s="349"/>
      <c r="AJ6" s="376"/>
      <c r="AK6" s="351"/>
      <c r="AL6" s="353"/>
      <c r="AM6" s="353"/>
      <c r="AN6" s="347"/>
      <c r="AO6" s="353"/>
      <c r="AP6" s="347"/>
      <c r="AQ6" s="347"/>
      <c r="AR6" s="347"/>
      <c r="AS6" s="347"/>
      <c r="AT6" s="347"/>
      <c r="AU6" s="259"/>
      <c r="AV6" s="257"/>
      <c r="AW6" s="259"/>
      <c r="AX6" s="250"/>
      <c r="AY6" s="60" t="s">
        <v>109</v>
      </c>
      <c r="AZ6" s="345"/>
      <c r="BA6" s="347"/>
      <c r="BB6" s="347"/>
      <c r="BC6" s="339"/>
      <c r="BD6" s="341"/>
      <c r="BE6" s="343"/>
      <c r="BF6" s="364"/>
      <c r="BG6" s="364"/>
    </row>
    <row r="7" spans="1:59" ht="19.5" customHeight="1" thickBot="1">
      <c r="A7" s="65">
        <v>1</v>
      </c>
      <c r="B7" s="22">
        <v>2</v>
      </c>
      <c r="C7" s="22">
        <v>3</v>
      </c>
      <c r="D7" s="65">
        <v>4</v>
      </c>
      <c r="E7" s="22">
        <v>5</v>
      </c>
      <c r="F7" s="22">
        <v>6</v>
      </c>
      <c r="G7" s="65">
        <v>7</v>
      </c>
      <c r="H7" s="22">
        <v>8</v>
      </c>
      <c r="I7" s="22">
        <v>9</v>
      </c>
      <c r="J7" s="65">
        <v>10</v>
      </c>
      <c r="K7" s="22">
        <v>11</v>
      </c>
      <c r="L7" s="22">
        <v>12</v>
      </c>
      <c r="M7" s="65">
        <v>13</v>
      </c>
      <c r="N7" s="22">
        <v>14</v>
      </c>
      <c r="O7" s="22">
        <v>15</v>
      </c>
      <c r="P7" s="65">
        <v>16</v>
      </c>
      <c r="Q7" s="22">
        <v>17</v>
      </c>
      <c r="R7" s="22">
        <v>18</v>
      </c>
      <c r="S7" s="65">
        <v>19</v>
      </c>
      <c r="T7" s="22">
        <v>20</v>
      </c>
      <c r="U7" s="22">
        <v>21</v>
      </c>
      <c r="V7" s="65">
        <v>22</v>
      </c>
      <c r="W7" s="22">
        <v>23</v>
      </c>
      <c r="X7" s="65">
        <v>24</v>
      </c>
      <c r="Y7" s="22">
        <v>25</v>
      </c>
      <c r="Z7" s="65">
        <v>26</v>
      </c>
      <c r="AA7" s="22">
        <v>27</v>
      </c>
      <c r="AB7" s="65">
        <v>28</v>
      </c>
      <c r="AC7" s="22">
        <v>29</v>
      </c>
      <c r="AD7" s="65">
        <v>30</v>
      </c>
      <c r="AE7" s="65">
        <v>31</v>
      </c>
      <c r="AF7" s="22">
        <v>32</v>
      </c>
      <c r="AG7" s="65">
        <v>33</v>
      </c>
      <c r="AH7" s="22">
        <v>34</v>
      </c>
      <c r="AI7" s="65">
        <v>35</v>
      </c>
      <c r="AJ7" s="22">
        <v>36</v>
      </c>
      <c r="AK7" s="65">
        <v>37</v>
      </c>
      <c r="AL7" s="22">
        <v>38</v>
      </c>
      <c r="AM7" s="65">
        <v>39</v>
      </c>
      <c r="AN7" s="65">
        <v>40</v>
      </c>
      <c r="AO7" s="22">
        <v>41</v>
      </c>
      <c r="AP7" s="65">
        <v>42</v>
      </c>
      <c r="AQ7" s="22">
        <v>43</v>
      </c>
      <c r="AR7" s="65"/>
      <c r="AS7" s="65">
        <v>44</v>
      </c>
      <c r="AT7" s="22">
        <v>45</v>
      </c>
      <c r="AU7" s="65">
        <v>46</v>
      </c>
      <c r="AV7" s="22">
        <v>47</v>
      </c>
      <c r="AW7" s="65">
        <v>48</v>
      </c>
      <c r="AX7" s="65">
        <v>49</v>
      </c>
      <c r="AY7" s="22"/>
      <c r="AZ7" s="22">
        <v>50</v>
      </c>
      <c r="BA7" s="22">
        <v>51</v>
      </c>
      <c r="BB7" s="22">
        <v>52</v>
      </c>
      <c r="BC7" s="22">
        <v>53</v>
      </c>
      <c r="BD7" s="22">
        <v>54</v>
      </c>
      <c r="BE7" s="22"/>
      <c r="BF7" s="227">
        <v>55</v>
      </c>
      <c r="BG7" s="227">
        <v>56</v>
      </c>
    </row>
    <row r="8" spans="1:59" s="15" customFormat="1" ht="13.5" thickBot="1">
      <c r="A8" s="16" t="s">
        <v>54</v>
      </c>
      <c r="B8" s="66"/>
      <c r="C8" s="66">
        <f>'Лист1 (2)'!C44</f>
        <v>860543.5200000001</v>
      </c>
      <c r="D8" s="66">
        <f>'Лист1 (2)'!D44</f>
        <v>99566.59390265006</v>
      </c>
      <c r="E8" s="66">
        <f>'Лист1 (2)'!E44</f>
        <v>74751.1</v>
      </c>
      <c r="F8" s="66">
        <f>'Лист1 (2)'!F44</f>
        <v>12647.48</v>
      </c>
      <c r="G8" s="66">
        <f>0</f>
        <v>0</v>
      </c>
      <c r="H8" s="66">
        <f>0</f>
        <v>0</v>
      </c>
      <c r="I8" s="66">
        <f>'Лист1 (2)'!G44</f>
        <v>101162.34</v>
      </c>
      <c r="J8" s="66">
        <f>'Лист1 (2)'!H44</f>
        <v>17122.920000000002</v>
      </c>
      <c r="K8" s="66">
        <f>'Лист1 (2)'!K44</f>
        <v>168438.62</v>
      </c>
      <c r="L8" s="66">
        <f>'Лист1 (2)'!L44</f>
        <v>28505.269999999997</v>
      </c>
      <c r="M8" s="66">
        <f>'Лист1 (2)'!I44</f>
        <v>243328.5</v>
      </c>
      <c r="N8" s="66">
        <f>'Лист1 (2)'!J44</f>
        <v>41152.21000000001</v>
      </c>
      <c r="O8" s="66">
        <f>'Лист1 (2)'!M44</f>
        <v>59783.17</v>
      </c>
      <c r="P8" s="66">
        <f>'Лист1 (2)'!N44</f>
        <v>10116.76</v>
      </c>
      <c r="Q8" s="66">
        <f>'[8]Лист1'!O44</f>
        <v>0</v>
      </c>
      <c r="R8" s="66">
        <f>'[8]Лист1'!P44</f>
        <v>0</v>
      </c>
      <c r="S8" s="66">
        <f>'[8]Лист1'!Q44</f>
        <v>0</v>
      </c>
      <c r="T8" s="66">
        <f>'[8]Лист1'!R44</f>
        <v>0</v>
      </c>
      <c r="U8" s="66">
        <f>'Лист1 (2)'!S44</f>
        <v>647463.73</v>
      </c>
      <c r="V8" s="66">
        <f>'Лист1 (2)'!T44</f>
        <v>109544.64000000001</v>
      </c>
      <c r="W8" s="66">
        <f>'Лист1 (2)'!U44</f>
        <v>67715.62</v>
      </c>
      <c r="X8" s="66">
        <v>0</v>
      </c>
      <c r="Y8" s="66">
        <f>'Лист1 (2)'!V44</f>
        <v>91578.66</v>
      </c>
      <c r="Z8" s="66">
        <f>'Лист1 (2)'!X44</f>
        <v>152486.76</v>
      </c>
      <c r="AA8" s="66">
        <f>'Лист1 (2)'!W44</f>
        <v>225469.61</v>
      </c>
      <c r="AB8" s="66">
        <f>'Лист1 (2)'!Y44</f>
        <v>54172.39</v>
      </c>
      <c r="AC8" s="66">
        <f>'[7]Лист1'!Z42</f>
        <v>0</v>
      </c>
      <c r="AD8" s="66">
        <f>'[7]Лист1'!AA42</f>
        <v>0</v>
      </c>
      <c r="AE8" s="66">
        <f>0</f>
        <v>0</v>
      </c>
      <c r="AF8" s="66">
        <f>'Лист1 (2)'!AB44</f>
        <v>591423.04</v>
      </c>
      <c r="AG8" s="66">
        <f>'Лист1 (2)'!AC44</f>
        <v>800534.2739026501</v>
      </c>
      <c r="AH8" s="66">
        <f>'Лист1 (2)'!AD44</f>
        <v>0</v>
      </c>
      <c r="AI8" s="66">
        <f>'[7]Лист1'!AE42</f>
        <v>0</v>
      </c>
      <c r="AJ8" s="66">
        <f>'Лист1 (2)'!AF44</f>
        <v>19572.615080000003</v>
      </c>
      <c r="AK8" s="66">
        <f>'Лист1 (2)'!AG44</f>
        <v>58806.456000000006</v>
      </c>
      <c r="AL8" s="66">
        <f>'Лист1 (2)'!AH44</f>
        <v>19705.0068264</v>
      </c>
      <c r="AM8" s="66">
        <f>'Лист1 (2)'!AI44+'Лист1 (2)'!AJ44</f>
        <v>97620.89942968501</v>
      </c>
      <c r="AN8" s="66">
        <v>0</v>
      </c>
      <c r="AO8" s="66">
        <f>'Лист1 (2)'!AK44+'Лист1 (2)'!AL44</f>
        <v>97369.1434312314</v>
      </c>
      <c r="AP8" s="66">
        <f>'Лист1 (2)'!AM44+'Лист1 (2)'!AN44</f>
        <v>217821.34085329543</v>
      </c>
      <c r="AQ8" s="66">
        <v>0</v>
      </c>
      <c r="AR8" s="66">
        <v>0</v>
      </c>
      <c r="AS8" s="66">
        <v>0</v>
      </c>
      <c r="AT8" s="66">
        <f>'Лист1 (2)'!AO44+'Лист1 (2)'!AP44</f>
        <v>23167.380600000004</v>
      </c>
      <c r="AU8" s="66">
        <f>'Лист1 (2)'!AS44+'Лист1 (2)'!AU44</f>
        <v>232252.93199999997</v>
      </c>
      <c r="AV8" s="66">
        <v>0</v>
      </c>
      <c r="AW8" s="66">
        <f>'Лист1 (2)'!AT44</f>
        <v>29507.42</v>
      </c>
      <c r="AX8" s="66">
        <f>'Лист1 (2)'!AQ44+'Лист1 (2)'!AR44</f>
        <v>36561.2672</v>
      </c>
      <c r="AY8" s="67">
        <f>'Лист1 (2)'!AX44</f>
        <v>34852.3056</v>
      </c>
      <c r="AZ8" s="67">
        <f>'[8]Лист1'!AY44</f>
        <v>0</v>
      </c>
      <c r="BA8" s="67">
        <v>0</v>
      </c>
      <c r="BB8" s="67">
        <v>0</v>
      </c>
      <c r="BC8" s="67">
        <f>'Лист1 (2)'!BB44</f>
        <v>847664.1519406118</v>
      </c>
      <c r="BD8" s="66">
        <f>'Лист1 (2)'!BC44</f>
        <v>8829.0737312034</v>
      </c>
      <c r="BE8" s="68">
        <f>BC8+BD8</f>
        <v>856493.2256718152</v>
      </c>
      <c r="BF8" s="69">
        <f>'Лист1 (2)'!BD44</f>
        <v>-36386.336689165095</v>
      </c>
      <c r="BG8" s="69">
        <f>'Лист1 (2)'!BE44</f>
        <v>-56040.690000000024</v>
      </c>
    </row>
    <row r="9" spans="1:59" ht="12.75">
      <c r="A9" s="1" t="s">
        <v>110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69"/>
      <c r="BG9" s="70"/>
    </row>
    <row r="10" spans="1:62" ht="12.75">
      <c r="A10" s="73" t="s">
        <v>45</v>
      </c>
      <c r="B10" s="74">
        <v>3684.8</v>
      </c>
      <c r="C10" s="55">
        <f>B10*8.55</f>
        <v>31505.040000000005</v>
      </c>
      <c r="D10" s="49">
        <v>166.974</v>
      </c>
      <c r="E10" s="82">
        <v>0</v>
      </c>
      <c r="F10" s="82">
        <v>0</v>
      </c>
      <c r="G10" s="75">
        <v>19534.07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9358.58</v>
      </c>
      <c r="N10" s="75">
        <v>0</v>
      </c>
      <c r="O10" s="75">
        <v>3246.23</v>
      </c>
      <c r="P10" s="76">
        <v>0</v>
      </c>
      <c r="Q10" s="77">
        <v>0</v>
      </c>
      <c r="R10" s="78">
        <v>0</v>
      </c>
      <c r="S10" s="107">
        <v>0</v>
      </c>
      <c r="T10" s="100">
        <v>0</v>
      </c>
      <c r="U10" s="79">
        <f>E10+G10+I10+K10+M10+O10+Q10+S10</f>
        <v>32138.88</v>
      </c>
      <c r="V10" s="80">
        <f>F10+H10+J10+L10+N10+P10+R10+T10</f>
        <v>0</v>
      </c>
      <c r="W10" s="81">
        <v>3242.1</v>
      </c>
      <c r="X10" s="81"/>
      <c r="Y10" s="81">
        <v>4440.19</v>
      </c>
      <c r="Z10" s="81">
        <v>7393.69</v>
      </c>
      <c r="AA10" s="81">
        <v>10053.36</v>
      </c>
      <c r="AB10" s="81">
        <v>2501.27</v>
      </c>
      <c r="AC10" s="81">
        <v>0</v>
      </c>
      <c r="AD10" s="82">
        <v>0</v>
      </c>
      <c r="AE10" s="83">
        <v>0</v>
      </c>
      <c r="AF10" s="83">
        <f>SUM(W10:AE10)</f>
        <v>27630.61</v>
      </c>
      <c r="AG10" s="84">
        <f>AF10+V10+D10</f>
        <v>27797.584</v>
      </c>
      <c r="AH10" s="85">
        <f>AC10</f>
        <v>0</v>
      </c>
      <c r="AI10" s="85">
        <f>AD10</f>
        <v>0</v>
      </c>
      <c r="AJ10" s="86">
        <f>'[9]Т01'!$I$89+'[9]Т01'!$I$166</f>
        <v>746.126</v>
      </c>
      <c r="AK10" s="87">
        <f>0.67*B10</f>
        <v>2468.8160000000003</v>
      </c>
      <c r="AL10" s="87">
        <f>B10*0.2</f>
        <v>736.96</v>
      </c>
      <c r="AM10" s="87">
        <f>B10*1</f>
        <v>3684.8</v>
      </c>
      <c r="AN10" s="87">
        <f>B10*0.21</f>
        <v>773.808</v>
      </c>
      <c r="AO10" s="87">
        <f>2.02*B10</f>
        <v>7443.296</v>
      </c>
      <c r="AP10" s="87">
        <f>B10*1.03</f>
        <v>3795.3440000000005</v>
      </c>
      <c r="AQ10" s="87">
        <f>B10*0.75</f>
        <v>2763.6000000000004</v>
      </c>
      <c r="AR10" s="87">
        <f>B10*0.75</f>
        <v>2763.6000000000004</v>
      </c>
      <c r="AS10" s="87">
        <f>B10*1.15</f>
        <v>4237.5199999999995</v>
      </c>
      <c r="AT10" s="87">
        <f aca="true" t="shared" si="0" ref="AT10:AT21">0.45*2118.8</f>
        <v>953.4600000000002</v>
      </c>
      <c r="AU10" s="88">
        <v>8080</v>
      </c>
      <c r="AV10" s="89">
        <v>478</v>
      </c>
      <c r="AW10" s="88">
        <v>484</v>
      </c>
      <c r="AX10" s="88">
        <f>115+10000+38.8+500+500</f>
        <v>11153.8</v>
      </c>
      <c r="AY10" s="88"/>
      <c r="AZ10" s="51"/>
      <c r="BA10" s="90"/>
      <c r="BB10" s="90">
        <f>BA10*0.18</f>
        <v>0</v>
      </c>
      <c r="BC10" s="90">
        <f aca="true" t="shared" si="1" ref="BC10:BC21">SUM(AK10:BB10)</f>
        <v>49817.004</v>
      </c>
      <c r="BD10" s="91">
        <f>'[9]Т01'!$R$89+'[9]Т01'!$R$166</f>
        <v>413.717</v>
      </c>
      <c r="BE10" s="91">
        <f>BC10+BD10</f>
        <v>50230.721</v>
      </c>
      <c r="BF10" s="91">
        <f>AG10+AJ10-BE10</f>
        <v>-21687.011</v>
      </c>
      <c r="BG10" s="91">
        <f>AF10-U10</f>
        <v>-4508.27</v>
      </c>
      <c r="BH10" s="92"/>
      <c r="BI10" s="93"/>
      <c r="BJ10" s="94"/>
    </row>
    <row r="11" spans="1:59" ht="12.75">
      <c r="A11" s="73" t="s">
        <v>46</v>
      </c>
      <c r="B11" s="74">
        <v>3684.8</v>
      </c>
      <c r="C11" s="55">
        <f>B11*8.55</f>
        <v>31505.040000000005</v>
      </c>
      <c r="D11" s="49">
        <v>166.974</v>
      </c>
      <c r="E11" s="82">
        <v>0</v>
      </c>
      <c r="F11" s="82">
        <v>0</v>
      </c>
      <c r="G11" s="75">
        <v>19007.55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9358.58</v>
      </c>
      <c r="N11" s="75">
        <v>0</v>
      </c>
      <c r="O11" s="75">
        <v>3246.23</v>
      </c>
      <c r="P11" s="75">
        <v>0</v>
      </c>
      <c r="Q11" s="82">
        <v>0</v>
      </c>
      <c r="R11" s="82">
        <v>0</v>
      </c>
      <c r="S11" s="82">
        <v>0</v>
      </c>
      <c r="T11" s="81">
        <v>0</v>
      </c>
      <c r="U11" s="95">
        <f>E11+G11+I11+K11+M11+O11+Q11+S11</f>
        <v>31612.359999999997</v>
      </c>
      <c r="V11" s="80">
        <f>F11+H11+J11+L11+N11+P11+R11+T11</f>
        <v>0</v>
      </c>
      <c r="W11" s="81">
        <v>414.74</v>
      </c>
      <c r="X11" s="82">
        <v>13839.25</v>
      </c>
      <c r="Y11" s="81">
        <v>561.39</v>
      </c>
      <c r="Z11" s="81">
        <v>934.93</v>
      </c>
      <c r="AA11" s="81">
        <v>8665.52</v>
      </c>
      <c r="AB11" s="81">
        <v>2954.69</v>
      </c>
      <c r="AC11" s="81">
        <v>0</v>
      </c>
      <c r="AD11" s="82">
        <v>0</v>
      </c>
      <c r="AE11" s="82">
        <v>0</v>
      </c>
      <c r="AF11" s="83">
        <f>SUM(W11:AE11)</f>
        <v>27370.52</v>
      </c>
      <c r="AG11" s="84">
        <f>AF11+V11+D11</f>
        <v>27537.494</v>
      </c>
      <c r="AH11" s="85">
        <f>AC11</f>
        <v>0</v>
      </c>
      <c r="AI11" s="85">
        <f>AD11</f>
        <v>0</v>
      </c>
      <c r="AJ11" s="86">
        <f>'[9]Т02'!$J$89+'[9]Т02'!$J$168</f>
        <v>746.126</v>
      </c>
      <c r="AK11" s="87">
        <f>0.67*B11</f>
        <v>2468.8160000000003</v>
      </c>
      <c r="AL11" s="87">
        <f>B11*0.2</f>
        <v>736.96</v>
      </c>
      <c r="AM11" s="87">
        <f>B11*1</f>
        <v>3684.8</v>
      </c>
      <c r="AN11" s="87">
        <f>B11*0.21</f>
        <v>773.808</v>
      </c>
      <c r="AO11" s="87">
        <f>2.02*B11</f>
        <v>7443.296</v>
      </c>
      <c r="AP11" s="87">
        <f>B11*1.03</f>
        <v>3795.3440000000005</v>
      </c>
      <c r="AQ11" s="87">
        <f>B11*0.75</f>
        <v>2763.6000000000004</v>
      </c>
      <c r="AR11" s="87">
        <f>B11*0.75</f>
        <v>2763.6000000000004</v>
      </c>
      <c r="AS11" s="87">
        <f>B11*1.15</f>
        <v>4237.5199999999995</v>
      </c>
      <c r="AT11" s="87">
        <f t="shared" si="0"/>
        <v>953.4600000000002</v>
      </c>
      <c r="AU11" s="88">
        <v>4291</v>
      </c>
      <c r="AV11" s="89"/>
      <c r="AW11" s="88"/>
      <c r="AX11" s="88">
        <f>33.84+188+232</f>
        <v>453.84000000000003</v>
      </c>
      <c r="AY11" s="88"/>
      <c r="AZ11" s="51"/>
      <c r="BA11" s="90"/>
      <c r="BB11" s="90">
        <f>BA11*0.18</f>
        <v>0</v>
      </c>
      <c r="BC11" s="90">
        <f t="shared" si="1"/>
        <v>34366.043999999994</v>
      </c>
      <c r="BD11" s="91">
        <f>'[9]Т02'!$S$89+'[9]Т02'!$S$167</f>
        <v>413.717</v>
      </c>
      <c r="BE11" s="91">
        <f aca="true" t="shared" si="2" ref="BE11:BE21">BC11+BD11</f>
        <v>34779.76099999999</v>
      </c>
      <c r="BF11" s="91">
        <f aca="true" t="shared" si="3" ref="BF11:BF21">AG11+AJ11-BE11</f>
        <v>-6496.140999999992</v>
      </c>
      <c r="BG11" s="91">
        <f aca="true" t="shared" si="4" ref="BG11:BG21">AF11-U11</f>
        <v>-4241.8399999999965</v>
      </c>
    </row>
    <row r="12" spans="1:59" ht="12.75">
      <c r="A12" s="73" t="s">
        <v>47</v>
      </c>
      <c r="B12" s="74">
        <v>3684.8</v>
      </c>
      <c r="C12" s="55">
        <f aca="true" t="shared" si="5" ref="C12:C20">B12*8.55</f>
        <v>31505.040000000005</v>
      </c>
      <c r="D12" s="49">
        <v>166.974</v>
      </c>
      <c r="E12" s="82">
        <v>0</v>
      </c>
      <c r="F12" s="82">
        <v>0</v>
      </c>
      <c r="G12" s="75">
        <v>19270.81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9358.58</v>
      </c>
      <c r="N12" s="75">
        <v>0</v>
      </c>
      <c r="O12" s="75">
        <v>3246.23</v>
      </c>
      <c r="P12" s="75">
        <v>0</v>
      </c>
      <c r="Q12" s="75">
        <v>0</v>
      </c>
      <c r="R12" s="75">
        <v>0</v>
      </c>
      <c r="S12" s="75">
        <v>0</v>
      </c>
      <c r="T12" s="81">
        <v>0</v>
      </c>
      <c r="U12" s="81">
        <f aca="true" t="shared" si="6" ref="U12:V21">E12+G12+I12+K12+M12+O12+Q12+S12</f>
        <v>31875.62</v>
      </c>
      <c r="V12" s="97">
        <f t="shared" si="6"/>
        <v>0</v>
      </c>
      <c r="W12" s="98">
        <v>204.77</v>
      </c>
      <c r="X12" s="82">
        <v>18722.22</v>
      </c>
      <c r="Y12" s="81">
        <v>275.91</v>
      </c>
      <c r="Z12" s="81">
        <v>459.36</v>
      </c>
      <c r="AA12" s="81">
        <v>7949.49</v>
      </c>
      <c r="AB12" s="81">
        <v>2922.63</v>
      </c>
      <c r="AC12" s="81">
        <v>0</v>
      </c>
      <c r="AD12" s="82">
        <v>0</v>
      </c>
      <c r="AE12" s="81">
        <v>0</v>
      </c>
      <c r="AF12" s="99">
        <f>SUM(W12:AE12)</f>
        <v>30534.38</v>
      </c>
      <c r="AG12" s="84">
        <f>AF12+V12+D12</f>
        <v>30701.354</v>
      </c>
      <c r="AH12" s="85">
        <f aca="true" t="shared" si="7" ref="AH12:AI21">AC12</f>
        <v>0</v>
      </c>
      <c r="AI12" s="85">
        <f t="shared" si="7"/>
        <v>0</v>
      </c>
      <c r="AJ12" s="86">
        <f>'[9]Т03'!$J$89+'[9]Т03'!$J$168</f>
        <v>746.126</v>
      </c>
      <c r="AK12" s="87">
        <f aca="true" t="shared" si="8" ref="AK12:AK21">0.67*B12</f>
        <v>2468.8160000000003</v>
      </c>
      <c r="AL12" s="87">
        <f aca="true" t="shared" si="9" ref="AL12:AL21">B12*0.2</f>
        <v>736.96</v>
      </c>
      <c r="AM12" s="87">
        <f aca="true" t="shared" si="10" ref="AM12:AM21">B12*1</f>
        <v>3684.8</v>
      </c>
      <c r="AN12" s="87">
        <f aca="true" t="shared" si="11" ref="AN12:AN21">B12*0.21</f>
        <v>773.808</v>
      </c>
      <c r="AO12" s="87">
        <f aca="true" t="shared" si="12" ref="AO12:AO21">2.02*B12</f>
        <v>7443.296</v>
      </c>
      <c r="AP12" s="87">
        <f aca="true" t="shared" si="13" ref="AP12:AP21">B12*1.03</f>
        <v>3795.3440000000005</v>
      </c>
      <c r="AQ12" s="87">
        <f aca="true" t="shared" si="14" ref="AQ12:AQ21">B12*0.75</f>
        <v>2763.6000000000004</v>
      </c>
      <c r="AR12" s="87">
        <f aca="true" t="shared" si="15" ref="AR12:AR21">B12*0.75</f>
        <v>2763.6000000000004</v>
      </c>
      <c r="AS12" s="87">
        <f>B12*1.15</f>
        <v>4237.5199999999995</v>
      </c>
      <c r="AT12" s="87">
        <f t="shared" si="0"/>
        <v>953.4600000000002</v>
      </c>
      <c r="AU12" s="88"/>
      <c r="AV12" s="89"/>
      <c r="AW12" s="88"/>
      <c r="AX12" s="88">
        <f>'[10]март 2011'!$F$168+12000</f>
        <v>12089.5</v>
      </c>
      <c r="AY12" s="88"/>
      <c r="AZ12" s="51"/>
      <c r="BA12" s="90"/>
      <c r="BB12" s="90">
        <f>BA12*0.18</f>
        <v>0</v>
      </c>
      <c r="BC12" s="90">
        <f t="shared" si="1"/>
        <v>41710.704</v>
      </c>
      <c r="BD12" s="91">
        <f>'[9]Т03'!$S$89+'[9]Т03'!$S$168</f>
        <v>413.717</v>
      </c>
      <c r="BE12" s="91">
        <f t="shared" si="2"/>
        <v>42124.420999999995</v>
      </c>
      <c r="BF12" s="91">
        <f t="shared" si="3"/>
        <v>-10676.940999999995</v>
      </c>
      <c r="BG12" s="91">
        <f t="shared" si="4"/>
        <v>-1341.239999999998</v>
      </c>
    </row>
    <row r="13" spans="1:60" ht="12.75">
      <c r="A13" s="73" t="s">
        <v>48</v>
      </c>
      <c r="B13" s="74">
        <v>3684.8</v>
      </c>
      <c r="C13" s="55">
        <f t="shared" si="5"/>
        <v>31505.040000000005</v>
      </c>
      <c r="D13" s="49">
        <v>166.974</v>
      </c>
      <c r="E13" s="107">
        <v>-1.65</v>
      </c>
      <c r="F13" s="82">
        <v>0</v>
      </c>
      <c r="G13" s="196">
        <v>19270.37</v>
      </c>
      <c r="H13" s="75">
        <v>0</v>
      </c>
      <c r="I13" s="75">
        <v>-2.24</v>
      </c>
      <c r="J13" s="75">
        <v>0</v>
      </c>
      <c r="K13" s="75">
        <v>-3.72</v>
      </c>
      <c r="L13" s="75">
        <v>0</v>
      </c>
      <c r="M13" s="75">
        <v>9353</v>
      </c>
      <c r="N13" s="75">
        <v>0</v>
      </c>
      <c r="O13" s="75">
        <v>3244.83</v>
      </c>
      <c r="P13" s="75">
        <v>0</v>
      </c>
      <c r="Q13" s="157">
        <v>0</v>
      </c>
      <c r="R13" s="155">
        <v>0</v>
      </c>
      <c r="S13" s="158">
        <v>0</v>
      </c>
      <c r="T13" s="100">
        <v>0</v>
      </c>
      <c r="U13" s="95">
        <f t="shared" si="6"/>
        <v>31860.589999999997</v>
      </c>
      <c r="V13" s="97">
        <f t="shared" si="6"/>
        <v>0</v>
      </c>
      <c r="W13" s="81">
        <v>54.5</v>
      </c>
      <c r="X13" s="82">
        <v>16688.78</v>
      </c>
      <c r="Y13" s="81">
        <v>75.28</v>
      </c>
      <c r="Z13" s="81">
        <v>125.37</v>
      </c>
      <c r="AA13" s="81">
        <v>8165.06</v>
      </c>
      <c r="AB13" s="82">
        <v>2831.26</v>
      </c>
      <c r="AC13" s="81">
        <v>0</v>
      </c>
      <c r="AD13" s="82">
        <v>0</v>
      </c>
      <c r="AE13" s="82">
        <v>0</v>
      </c>
      <c r="AF13" s="83">
        <f>SUM(W13:AD13)</f>
        <v>27940.25</v>
      </c>
      <c r="AG13" s="101">
        <f>AF13+V13+D13</f>
        <v>28107.224</v>
      </c>
      <c r="AH13" s="102">
        <f t="shared" si="7"/>
        <v>0</v>
      </c>
      <c r="AI13" s="102">
        <f t="shared" si="7"/>
        <v>0</v>
      </c>
      <c r="AJ13" s="103">
        <f>'[11]Т04'!$J$90+'[11]Т04'!$J$170</f>
        <v>746.126</v>
      </c>
      <c r="AK13" s="87">
        <f t="shared" si="8"/>
        <v>2468.8160000000003</v>
      </c>
      <c r="AL13" s="87">
        <f t="shared" si="9"/>
        <v>736.96</v>
      </c>
      <c r="AM13" s="87">
        <f t="shared" si="10"/>
        <v>3684.8</v>
      </c>
      <c r="AN13" s="87">
        <f t="shared" si="11"/>
        <v>773.808</v>
      </c>
      <c r="AO13" s="87">
        <f t="shared" si="12"/>
        <v>7443.296</v>
      </c>
      <c r="AP13" s="87">
        <f t="shared" si="13"/>
        <v>3795.3440000000005</v>
      </c>
      <c r="AQ13" s="87">
        <f t="shared" si="14"/>
        <v>2763.6000000000004</v>
      </c>
      <c r="AR13" s="87">
        <f t="shared" si="15"/>
        <v>2763.6000000000004</v>
      </c>
      <c r="AS13" s="87"/>
      <c r="AT13" s="104">
        <f t="shared" si="0"/>
        <v>953.4600000000002</v>
      </c>
      <c r="AU13" s="105"/>
      <c r="AV13" s="105">
        <v>939</v>
      </c>
      <c r="AW13" s="105"/>
      <c r="AX13" s="105">
        <f>620.5</f>
        <v>620.5</v>
      </c>
      <c r="AY13" s="105"/>
      <c r="AZ13" s="51"/>
      <c r="BA13" s="104"/>
      <c r="BB13" s="104"/>
      <c r="BC13" s="75">
        <f t="shared" si="1"/>
        <v>26943.184</v>
      </c>
      <c r="BD13" s="159">
        <f>'[9]Т04'!$S$90+'[9]Т04'!$S$170</f>
        <v>413.717</v>
      </c>
      <c r="BE13" s="91">
        <f t="shared" si="2"/>
        <v>27356.901</v>
      </c>
      <c r="BF13" s="91">
        <f t="shared" si="3"/>
        <v>1496.4489999999969</v>
      </c>
      <c r="BG13" s="91">
        <f t="shared" si="4"/>
        <v>-3920.3399999999965</v>
      </c>
      <c r="BH13" s="96"/>
    </row>
    <row r="14" spans="1:59" ht="12.75">
      <c r="A14" s="73" t="s">
        <v>49</v>
      </c>
      <c r="B14" s="106">
        <v>3684.8</v>
      </c>
      <c r="C14" s="55">
        <f t="shared" si="5"/>
        <v>31505.040000000005</v>
      </c>
      <c r="D14" s="49">
        <v>166.974</v>
      </c>
      <c r="E14" s="160">
        <v>0</v>
      </c>
      <c r="F14" s="82">
        <v>0</v>
      </c>
      <c r="G14" s="75">
        <v>19272.26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9359.28</v>
      </c>
      <c r="N14" s="75">
        <v>0</v>
      </c>
      <c r="O14" s="75">
        <v>3246.48</v>
      </c>
      <c r="P14" s="75">
        <v>0</v>
      </c>
      <c r="Q14" s="75">
        <v>0</v>
      </c>
      <c r="R14" s="76">
        <v>0</v>
      </c>
      <c r="S14" s="75">
        <v>0</v>
      </c>
      <c r="T14" s="82">
        <v>0</v>
      </c>
      <c r="U14" s="107">
        <f t="shared" si="6"/>
        <v>31878.02</v>
      </c>
      <c r="V14" s="108">
        <f>F14+H14+J14+L14+N14++R14+T14</f>
        <v>0</v>
      </c>
      <c r="W14" s="81">
        <v>146.96</v>
      </c>
      <c r="X14" s="82">
        <v>18901.4</v>
      </c>
      <c r="Y14" s="81">
        <v>199.11</v>
      </c>
      <c r="Z14" s="81">
        <v>331.41</v>
      </c>
      <c r="AA14" s="81">
        <v>5526.08</v>
      </c>
      <c r="AB14" s="81">
        <v>3432.89</v>
      </c>
      <c r="AC14" s="81">
        <v>0</v>
      </c>
      <c r="AD14" s="82">
        <v>0</v>
      </c>
      <c r="AE14" s="83">
        <v>0</v>
      </c>
      <c r="AF14" s="109">
        <f aca="true" t="shared" si="16" ref="AF14:AF21">SUM(W14:AE14)</f>
        <v>28537.85</v>
      </c>
      <c r="AG14" s="101">
        <f aca="true" t="shared" si="17" ref="AG14:AG21">D14+V14+AF14</f>
        <v>28704.823999999997</v>
      </c>
      <c r="AH14" s="102">
        <f t="shared" si="7"/>
        <v>0</v>
      </c>
      <c r="AI14" s="102">
        <f t="shared" si="7"/>
        <v>0</v>
      </c>
      <c r="AJ14" s="103">
        <f>'[9]Т05'!$J$88+'[9]Т05'!$J$168</f>
        <v>746.126</v>
      </c>
      <c r="AK14" s="87">
        <f t="shared" si="8"/>
        <v>2468.8160000000003</v>
      </c>
      <c r="AL14" s="87">
        <f t="shared" si="9"/>
        <v>736.96</v>
      </c>
      <c r="AM14" s="87">
        <f t="shared" si="10"/>
        <v>3684.8</v>
      </c>
      <c r="AN14" s="87">
        <f t="shared" si="11"/>
        <v>773.808</v>
      </c>
      <c r="AO14" s="87">
        <f t="shared" si="12"/>
        <v>7443.296</v>
      </c>
      <c r="AP14" s="87">
        <f t="shared" si="13"/>
        <v>3795.3440000000005</v>
      </c>
      <c r="AQ14" s="87">
        <f t="shared" si="14"/>
        <v>2763.6000000000004</v>
      </c>
      <c r="AR14" s="87">
        <f t="shared" si="15"/>
        <v>2763.6000000000004</v>
      </c>
      <c r="AS14" s="87"/>
      <c r="AT14" s="104">
        <f t="shared" si="0"/>
        <v>953.4600000000002</v>
      </c>
      <c r="AU14" s="105">
        <v>2581</v>
      </c>
      <c r="AV14" s="105"/>
      <c r="AW14" s="105">
        <v>2099</v>
      </c>
      <c r="AX14" s="105">
        <f>744.48</f>
        <v>744.48</v>
      </c>
      <c r="AY14" s="105"/>
      <c r="AZ14" s="51"/>
      <c r="BA14" s="104"/>
      <c r="BB14" s="104"/>
      <c r="BC14" s="75">
        <f t="shared" si="1"/>
        <v>30808.164</v>
      </c>
      <c r="BD14" s="159">
        <f>'[9]Т05'!$S$88+'[9]Т05'!$S$168</f>
        <v>413.717</v>
      </c>
      <c r="BE14" s="91">
        <f t="shared" si="2"/>
        <v>31221.881</v>
      </c>
      <c r="BF14" s="91">
        <f t="shared" si="3"/>
        <v>-1770.9310000000041</v>
      </c>
      <c r="BG14" s="91">
        <f t="shared" si="4"/>
        <v>-3340.170000000002</v>
      </c>
    </row>
    <row r="15" spans="1:59" ht="12.75">
      <c r="A15" s="73" t="s">
        <v>50</v>
      </c>
      <c r="B15" s="74">
        <v>3684.8</v>
      </c>
      <c r="C15" s="55">
        <f t="shared" si="5"/>
        <v>31505.040000000005</v>
      </c>
      <c r="D15" s="49">
        <v>166.974</v>
      </c>
      <c r="E15" s="110">
        <v>0</v>
      </c>
      <c r="F15" s="110"/>
      <c r="G15" s="110">
        <v>19272.24</v>
      </c>
      <c r="H15" s="110"/>
      <c r="I15" s="111">
        <v>0</v>
      </c>
      <c r="J15" s="111"/>
      <c r="K15" s="111">
        <v>0</v>
      </c>
      <c r="L15" s="111"/>
      <c r="M15" s="111">
        <v>9359.27</v>
      </c>
      <c r="N15" s="111"/>
      <c r="O15" s="111">
        <v>3246.48</v>
      </c>
      <c r="P15" s="111"/>
      <c r="Q15" s="111">
        <v>0</v>
      </c>
      <c r="R15" s="112"/>
      <c r="S15" s="112">
        <v>0</v>
      </c>
      <c r="T15" s="111"/>
      <c r="U15" s="113">
        <f t="shared" si="6"/>
        <v>31877.99</v>
      </c>
      <c r="V15" s="114">
        <f t="shared" si="6"/>
        <v>0</v>
      </c>
      <c r="W15" s="115">
        <v>48.54</v>
      </c>
      <c r="X15" s="110">
        <v>16619.02</v>
      </c>
      <c r="Y15" s="110">
        <v>65.52</v>
      </c>
      <c r="Z15" s="110">
        <v>109.21</v>
      </c>
      <c r="AA15" s="110">
        <v>8231.32</v>
      </c>
      <c r="AB15" s="110">
        <v>2798.05</v>
      </c>
      <c r="AC15" s="110">
        <v>0</v>
      </c>
      <c r="AD15" s="110">
        <v>0</v>
      </c>
      <c r="AE15" s="116">
        <v>0</v>
      </c>
      <c r="AF15" s="117">
        <f t="shared" si="16"/>
        <v>27871.66</v>
      </c>
      <c r="AG15" s="101">
        <f t="shared" si="17"/>
        <v>28038.634</v>
      </c>
      <c r="AH15" s="102">
        <f t="shared" si="7"/>
        <v>0</v>
      </c>
      <c r="AI15" s="102">
        <f t="shared" si="7"/>
        <v>0</v>
      </c>
      <c r="AJ15" s="103">
        <f>'[9]Т06'!$J$88+'[9]Т06'!$J$168</f>
        <v>746.126</v>
      </c>
      <c r="AK15" s="87">
        <f t="shared" si="8"/>
        <v>2468.8160000000003</v>
      </c>
      <c r="AL15" s="87">
        <f t="shared" si="9"/>
        <v>736.96</v>
      </c>
      <c r="AM15" s="87">
        <f t="shared" si="10"/>
        <v>3684.8</v>
      </c>
      <c r="AN15" s="87">
        <f t="shared" si="11"/>
        <v>773.808</v>
      </c>
      <c r="AO15" s="87">
        <f t="shared" si="12"/>
        <v>7443.296</v>
      </c>
      <c r="AP15" s="87">
        <f t="shared" si="13"/>
        <v>3795.3440000000005</v>
      </c>
      <c r="AQ15" s="87">
        <f t="shared" si="14"/>
        <v>2763.6000000000004</v>
      </c>
      <c r="AR15" s="87">
        <f t="shared" si="15"/>
        <v>2763.6000000000004</v>
      </c>
      <c r="AS15" s="87"/>
      <c r="AT15" s="104">
        <f t="shared" si="0"/>
        <v>953.4600000000002</v>
      </c>
      <c r="AU15" s="105"/>
      <c r="AV15" s="105"/>
      <c r="AW15" s="105"/>
      <c r="AX15" s="105"/>
      <c r="AY15" s="105"/>
      <c r="AZ15" s="87"/>
      <c r="BA15" s="104"/>
      <c r="BB15" s="104"/>
      <c r="BC15" s="219">
        <f t="shared" si="1"/>
        <v>25383.684</v>
      </c>
      <c r="BD15" s="159">
        <f>'[9]Т06'!$S$88+'[9]Т06'!$S$168</f>
        <v>413.717</v>
      </c>
      <c r="BE15" s="91">
        <f>BC15+BD15</f>
        <v>25797.401</v>
      </c>
      <c r="BF15" s="91">
        <f t="shared" si="3"/>
        <v>2987.3589999999967</v>
      </c>
      <c r="BG15" s="91">
        <f t="shared" si="4"/>
        <v>-4006.3300000000017</v>
      </c>
    </row>
    <row r="16" spans="1:59" ht="12.75">
      <c r="A16" s="73" t="s">
        <v>51</v>
      </c>
      <c r="B16" s="74">
        <v>3684.8</v>
      </c>
      <c r="C16" s="55">
        <f t="shared" si="5"/>
        <v>31505.040000000005</v>
      </c>
      <c r="D16" s="49">
        <v>166.974</v>
      </c>
      <c r="E16" s="118"/>
      <c r="F16" s="118"/>
      <c r="G16" s="118">
        <v>19274.14</v>
      </c>
      <c r="H16" s="118"/>
      <c r="I16" s="118"/>
      <c r="J16" s="118"/>
      <c r="K16" s="118"/>
      <c r="L16" s="118"/>
      <c r="M16" s="118">
        <v>9360.21</v>
      </c>
      <c r="N16" s="118"/>
      <c r="O16" s="118">
        <v>3246.82</v>
      </c>
      <c r="P16" s="118"/>
      <c r="Q16" s="118"/>
      <c r="R16" s="118"/>
      <c r="S16" s="119"/>
      <c r="T16" s="115"/>
      <c r="U16" s="120">
        <f t="shared" si="6"/>
        <v>31881.17</v>
      </c>
      <c r="V16" s="206">
        <f t="shared" si="6"/>
        <v>0</v>
      </c>
      <c r="W16" s="121">
        <v>-48.06</v>
      </c>
      <c r="X16" s="118">
        <v>17365.68</v>
      </c>
      <c r="Y16" s="118">
        <v>-64.97</v>
      </c>
      <c r="Z16" s="118">
        <v>-108.18</v>
      </c>
      <c r="AA16" s="118">
        <v>8445.35</v>
      </c>
      <c r="AB16" s="118">
        <v>2897.3</v>
      </c>
      <c r="AC16" s="110"/>
      <c r="AD16" s="118"/>
      <c r="AE16" s="119"/>
      <c r="AF16" s="117">
        <f t="shared" si="16"/>
        <v>28487.12</v>
      </c>
      <c r="AG16" s="122">
        <f t="shared" si="17"/>
        <v>28654.093999999997</v>
      </c>
      <c r="AH16" s="102">
        <f t="shared" si="7"/>
        <v>0</v>
      </c>
      <c r="AI16" s="102">
        <f t="shared" si="7"/>
        <v>0</v>
      </c>
      <c r="AJ16" s="103">
        <f>'[9]Т07'!$J$88+'[9]Т07'!$J$172</f>
        <v>746.126</v>
      </c>
      <c r="AK16" s="87">
        <f t="shared" si="8"/>
        <v>2468.8160000000003</v>
      </c>
      <c r="AL16" s="87">
        <f t="shared" si="9"/>
        <v>736.96</v>
      </c>
      <c r="AM16" s="87">
        <f t="shared" si="10"/>
        <v>3684.8</v>
      </c>
      <c r="AN16" s="87">
        <f t="shared" si="11"/>
        <v>773.808</v>
      </c>
      <c r="AO16" s="87">
        <f t="shared" si="12"/>
        <v>7443.296</v>
      </c>
      <c r="AP16" s="87">
        <f t="shared" si="13"/>
        <v>3795.3440000000005</v>
      </c>
      <c r="AQ16" s="87">
        <f t="shared" si="14"/>
        <v>2763.6000000000004</v>
      </c>
      <c r="AR16" s="87">
        <f t="shared" si="15"/>
        <v>2763.6000000000004</v>
      </c>
      <c r="AS16" s="87"/>
      <c r="AT16" s="104">
        <f t="shared" si="0"/>
        <v>953.4600000000002</v>
      </c>
      <c r="AU16" s="105"/>
      <c r="AV16" s="105"/>
      <c r="AW16" s="105"/>
      <c r="AX16" s="105">
        <f>111.43+18.86</f>
        <v>130.29000000000002</v>
      </c>
      <c r="AY16" s="105"/>
      <c r="AZ16" s="51"/>
      <c r="BA16" s="104"/>
      <c r="BB16" s="104"/>
      <c r="BC16" s="75">
        <f t="shared" si="1"/>
        <v>25513.974000000002</v>
      </c>
      <c r="BD16" s="159">
        <f>'[9]Т07'!$S$88+'[9]Т07'!$S$172</f>
        <v>413.717</v>
      </c>
      <c r="BE16" s="91">
        <f t="shared" si="2"/>
        <v>25927.691000000003</v>
      </c>
      <c r="BF16" s="91">
        <f t="shared" si="3"/>
        <v>3472.528999999995</v>
      </c>
      <c r="BG16" s="91">
        <f t="shared" si="4"/>
        <v>-3394.0499999999993</v>
      </c>
    </row>
    <row r="17" spans="1:59" ht="12.75">
      <c r="A17" s="73" t="s">
        <v>52</v>
      </c>
      <c r="B17" s="74">
        <v>3684.8</v>
      </c>
      <c r="C17" s="55">
        <f t="shared" si="5"/>
        <v>31505.040000000005</v>
      </c>
      <c r="D17" s="49">
        <v>166.974</v>
      </c>
      <c r="E17" s="118"/>
      <c r="F17" s="118"/>
      <c r="G17" s="118">
        <v>19274.68</v>
      </c>
      <c r="H17" s="118"/>
      <c r="I17" s="118"/>
      <c r="J17" s="118"/>
      <c r="K17" s="118"/>
      <c r="L17" s="118"/>
      <c r="M17" s="118">
        <v>9360.47</v>
      </c>
      <c r="N17" s="118"/>
      <c r="O17" s="118">
        <v>3246.92</v>
      </c>
      <c r="P17" s="118"/>
      <c r="Q17" s="118"/>
      <c r="R17" s="118"/>
      <c r="S17" s="119"/>
      <c r="T17" s="116"/>
      <c r="U17" s="207">
        <f t="shared" si="6"/>
        <v>31882.07</v>
      </c>
      <c r="V17" s="208">
        <f t="shared" si="6"/>
        <v>0</v>
      </c>
      <c r="W17" s="118">
        <v>94.47</v>
      </c>
      <c r="X17" s="118">
        <v>19560.72</v>
      </c>
      <c r="Y17" s="118">
        <v>128.04</v>
      </c>
      <c r="Z17" s="118">
        <v>213.05</v>
      </c>
      <c r="AA17" s="118">
        <v>9806.78</v>
      </c>
      <c r="AB17" s="118">
        <v>3350.81</v>
      </c>
      <c r="AC17" s="118"/>
      <c r="AD17" s="118"/>
      <c r="AE17" s="119"/>
      <c r="AF17" s="117">
        <f t="shared" si="16"/>
        <v>33153.87</v>
      </c>
      <c r="AG17" s="122">
        <f t="shared" si="17"/>
        <v>33320.844000000005</v>
      </c>
      <c r="AH17" s="102">
        <f t="shared" si="7"/>
        <v>0</v>
      </c>
      <c r="AI17" s="102">
        <f t="shared" si="7"/>
        <v>0</v>
      </c>
      <c r="AJ17" s="103">
        <f>'[9]Т08'!$J$88+'[9]Т08'!$J$176</f>
        <v>746.126</v>
      </c>
      <c r="AK17" s="87">
        <f t="shared" si="8"/>
        <v>2468.8160000000003</v>
      </c>
      <c r="AL17" s="87">
        <f t="shared" si="9"/>
        <v>736.96</v>
      </c>
      <c r="AM17" s="87">
        <f t="shared" si="10"/>
        <v>3684.8</v>
      </c>
      <c r="AN17" s="87">
        <f t="shared" si="11"/>
        <v>773.808</v>
      </c>
      <c r="AO17" s="87">
        <f t="shared" si="12"/>
        <v>7443.296</v>
      </c>
      <c r="AP17" s="87">
        <f t="shared" si="13"/>
        <v>3795.3440000000005</v>
      </c>
      <c r="AQ17" s="87">
        <f t="shared" si="14"/>
        <v>2763.6000000000004</v>
      </c>
      <c r="AR17" s="87">
        <f t="shared" si="15"/>
        <v>2763.6000000000004</v>
      </c>
      <c r="AS17" s="87"/>
      <c r="AT17" s="104">
        <f t="shared" si="0"/>
        <v>953.4600000000002</v>
      </c>
      <c r="AU17" s="105"/>
      <c r="AV17" s="105"/>
      <c r="AW17" s="105">
        <v>449</v>
      </c>
      <c r="AX17" s="105">
        <f>717.8+7.6+31+165</f>
        <v>921.4</v>
      </c>
      <c r="AY17" s="105"/>
      <c r="AZ17" s="51"/>
      <c r="BA17" s="104"/>
      <c r="BB17" s="104"/>
      <c r="BC17" s="75">
        <f t="shared" si="1"/>
        <v>26754.084000000003</v>
      </c>
      <c r="BD17" s="159">
        <f>'[9]Т08'!$S$88+'[9]Т08'!$S$176</f>
        <v>413.717</v>
      </c>
      <c r="BE17" s="91">
        <f t="shared" si="2"/>
        <v>27167.801000000003</v>
      </c>
      <c r="BF17" s="91">
        <f t="shared" si="3"/>
        <v>6899.168999999998</v>
      </c>
      <c r="BG17" s="91">
        <f t="shared" si="4"/>
        <v>1271.800000000003</v>
      </c>
    </row>
    <row r="18" spans="1:59" ht="12.75">
      <c r="A18" s="73" t="s">
        <v>53</v>
      </c>
      <c r="B18" s="74">
        <v>3684.8</v>
      </c>
      <c r="C18" s="55">
        <f t="shared" si="5"/>
        <v>31505.040000000005</v>
      </c>
      <c r="D18" s="49">
        <v>166.974</v>
      </c>
      <c r="E18" s="118"/>
      <c r="F18" s="118"/>
      <c r="G18" s="118">
        <v>19534.93</v>
      </c>
      <c r="H18" s="118"/>
      <c r="I18" s="118"/>
      <c r="J18" s="118"/>
      <c r="K18" s="118"/>
      <c r="L18" s="118"/>
      <c r="M18" s="118">
        <v>9486.88</v>
      </c>
      <c r="N18" s="118"/>
      <c r="O18" s="118">
        <v>3290.83</v>
      </c>
      <c r="P18" s="118"/>
      <c r="Q18" s="118"/>
      <c r="R18" s="118"/>
      <c r="S18" s="119"/>
      <c r="T18" s="161"/>
      <c r="U18" s="161">
        <f t="shared" si="6"/>
        <v>32312.64</v>
      </c>
      <c r="V18" s="162">
        <f t="shared" si="6"/>
        <v>0</v>
      </c>
      <c r="W18" s="118">
        <v>674.23</v>
      </c>
      <c r="X18" s="118">
        <v>19119.95</v>
      </c>
      <c r="Y18" s="118">
        <v>909.68</v>
      </c>
      <c r="Z18" s="118">
        <v>1516.6</v>
      </c>
      <c r="AA18" s="118">
        <v>11481.92</v>
      </c>
      <c r="AB18" s="118">
        <v>3761.94</v>
      </c>
      <c r="AC18" s="118"/>
      <c r="AD18" s="118"/>
      <c r="AE18" s="119"/>
      <c r="AF18" s="117">
        <f t="shared" si="16"/>
        <v>37464.32</v>
      </c>
      <c r="AG18" s="122">
        <f t="shared" si="17"/>
        <v>37631.294</v>
      </c>
      <c r="AH18" s="102">
        <f t="shared" si="7"/>
        <v>0</v>
      </c>
      <c r="AI18" s="102">
        <f t="shared" si="7"/>
        <v>0</v>
      </c>
      <c r="AJ18" s="103">
        <f>'[9]Т09'!$J$88+'[9]Т09'!$J$176</f>
        <v>746.126</v>
      </c>
      <c r="AK18" s="87">
        <f t="shared" si="8"/>
        <v>2468.8160000000003</v>
      </c>
      <c r="AL18" s="87">
        <f t="shared" si="9"/>
        <v>736.96</v>
      </c>
      <c r="AM18" s="87">
        <f t="shared" si="10"/>
        <v>3684.8</v>
      </c>
      <c r="AN18" s="87">
        <f t="shared" si="11"/>
        <v>773.808</v>
      </c>
      <c r="AO18" s="87">
        <f t="shared" si="12"/>
        <v>7443.296</v>
      </c>
      <c r="AP18" s="87">
        <f t="shared" si="13"/>
        <v>3795.3440000000005</v>
      </c>
      <c r="AQ18" s="87">
        <f t="shared" si="14"/>
        <v>2763.6000000000004</v>
      </c>
      <c r="AR18" s="87">
        <f t="shared" si="15"/>
        <v>2763.6000000000004</v>
      </c>
      <c r="AS18" s="87"/>
      <c r="AT18" s="104">
        <f t="shared" si="0"/>
        <v>953.4600000000002</v>
      </c>
      <c r="AU18" s="105">
        <v>529</v>
      </c>
      <c r="AV18" s="105"/>
      <c r="AW18" s="105">
        <v>3054</v>
      </c>
      <c r="AX18" s="105">
        <f>561.97</f>
        <v>561.97</v>
      </c>
      <c r="AY18" s="51"/>
      <c r="AZ18" s="104"/>
      <c r="BA18" s="104"/>
      <c r="BB18" s="104"/>
      <c r="BC18" s="75">
        <f t="shared" si="1"/>
        <v>29528.654000000002</v>
      </c>
      <c r="BD18" s="159">
        <f>'[9]Т08'!$S$88+'[9]Т08'!$S$176</f>
        <v>413.717</v>
      </c>
      <c r="BE18" s="91">
        <f t="shared" si="2"/>
        <v>29942.371000000003</v>
      </c>
      <c r="BF18" s="91">
        <f t="shared" si="3"/>
        <v>8435.048999999995</v>
      </c>
      <c r="BG18" s="91">
        <f t="shared" si="4"/>
        <v>5151.68</v>
      </c>
    </row>
    <row r="19" spans="1:59" ht="12.75">
      <c r="A19" s="73" t="s">
        <v>41</v>
      </c>
      <c r="B19" s="74">
        <v>3684.8</v>
      </c>
      <c r="C19" s="55">
        <f t="shared" si="5"/>
        <v>31505.040000000005</v>
      </c>
      <c r="D19" s="49">
        <v>166.974</v>
      </c>
      <c r="E19" s="110"/>
      <c r="F19" s="110"/>
      <c r="G19" s="110">
        <v>19555.41</v>
      </c>
      <c r="H19" s="110"/>
      <c r="I19" s="110"/>
      <c r="J19" s="110"/>
      <c r="K19" s="110"/>
      <c r="L19" s="110"/>
      <c r="M19" s="110">
        <v>9496.94</v>
      </c>
      <c r="N19" s="110"/>
      <c r="O19" s="110">
        <v>3294.41</v>
      </c>
      <c r="P19" s="110"/>
      <c r="Q19" s="110"/>
      <c r="R19" s="110"/>
      <c r="S19" s="116"/>
      <c r="T19" s="211"/>
      <c r="U19" s="212">
        <f t="shared" si="6"/>
        <v>32346.76</v>
      </c>
      <c r="V19" s="213">
        <f t="shared" si="6"/>
        <v>0</v>
      </c>
      <c r="W19" s="110">
        <v>0</v>
      </c>
      <c r="X19" s="110">
        <v>18285.58</v>
      </c>
      <c r="Y19" s="110">
        <v>0</v>
      </c>
      <c r="Z19" s="110">
        <v>0</v>
      </c>
      <c r="AA19" s="110">
        <v>9553.5</v>
      </c>
      <c r="AB19" s="110">
        <v>4169.28</v>
      </c>
      <c r="AC19" s="110"/>
      <c r="AD19" s="110"/>
      <c r="AE19" s="116"/>
      <c r="AF19" s="117">
        <f t="shared" si="16"/>
        <v>32008.36</v>
      </c>
      <c r="AG19" s="122">
        <f t="shared" si="17"/>
        <v>32175.334</v>
      </c>
      <c r="AH19" s="102">
        <f t="shared" si="7"/>
        <v>0</v>
      </c>
      <c r="AI19" s="102">
        <f t="shared" si="7"/>
        <v>0</v>
      </c>
      <c r="AJ19" s="103">
        <f>'[13]Т10'!$J$88+'[13]Т10'!$J$176</f>
        <v>746.126</v>
      </c>
      <c r="AK19" s="87">
        <f t="shared" si="8"/>
        <v>2468.8160000000003</v>
      </c>
      <c r="AL19" s="87">
        <f t="shared" si="9"/>
        <v>736.96</v>
      </c>
      <c r="AM19" s="87">
        <f t="shared" si="10"/>
        <v>3684.8</v>
      </c>
      <c r="AN19" s="87">
        <f t="shared" si="11"/>
        <v>773.808</v>
      </c>
      <c r="AO19" s="87">
        <f t="shared" si="12"/>
        <v>7443.296</v>
      </c>
      <c r="AP19" s="87">
        <f t="shared" si="13"/>
        <v>3795.3440000000005</v>
      </c>
      <c r="AQ19" s="87">
        <f t="shared" si="14"/>
        <v>2763.6000000000004</v>
      </c>
      <c r="AR19" s="87">
        <f t="shared" si="15"/>
        <v>2763.6000000000004</v>
      </c>
      <c r="AS19" s="214">
        <f>B19*1.15</f>
        <v>4237.5199999999995</v>
      </c>
      <c r="AT19" s="104">
        <f t="shared" si="0"/>
        <v>953.4600000000002</v>
      </c>
      <c r="AU19" s="105">
        <v>2636</v>
      </c>
      <c r="AV19" s="105"/>
      <c r="AW19" s="105">
        <v>1924</v>
      </c>
      <c r="AX19" s="105">
        <f>12+24+44.12+140+115.065+1026.69+1320.03+294</f>
        <v>2975.9049999999997</v>
      </c>
      <c r="AY19" s="51"/>
      <c r="AZ19" s="104"/>
      <c r="BA19" s="104"/>
      <c r="BB19" s="104"/>
      <c r="BC19" s="75">
        <f t="shared" si="1"/>
        <v>37157.109</v>
      </c>
      <c r="BD19" s="159">
        <f>'[9]Т10'!$S$88+'[9]Т10'!$S$176</f>
        <v>413.717</v>
      </c>
      <c r="BE19" s="91">
        <f t="shared" si="2"/>
        <v>37570.825999999994</v>
      </c>
      <c r="BF19" s="91">
        <f t="shared" si="3"/>
        <v>-4649.3659999999945</v>
      </c>
      <c r="BG19" s="91">
        <f t="shared" si="4"/>
        <v>-338.3999999999978</v>
      </c>
    </row>
    <row r="20" spans="1:59" ht="12.75">
      <c r="A20" s="73" t="s">
        <v>42</v>
      </c>
      <c r="B20" s="215">
        <v>3683.5</v>
      </c>
      <c r="C20" s="55">
        <f t="shared" si="5"/>
        <v>31493.925000000003</v>
      </c>
      <c r="D20" s="49">
        <v>166.974</v>
      </c>
      <c r="E20" s="110"/>
      <c r="F20" s="110"/>
      <c r="G20" s="110">
        <v>19555.9</v>
      </c>
      <c r="H20" s="110"/>
      <c r="I20" s="110"/>
      <c r="J20" s="110"/>
      <c r="K20" s="110"/>
      <c r="L20" s="110"/>
      <c r="M20" s="110">
        <v>9497.22</v>
      </c>
      <c r="N20" s="110"/>
      <c r="O20" s="110">
        <v>3294.56</v>
      </c>
      <c r="P20" s="110"/>
      <c r="Q20" s="110"/>
      <c r="R20" s="110"/>
      <c r="S20" s="116"/>
      <c r="T20" s="211"/>
      <c r="U20" s="212">
        <f t="shared" si="6"/>
        <v>32347.680000000004</v>
      </c>
      <c r="V20" s="213">
        <f t="shared" si="6"/>
        <v>0</v>
      </c>
      <c r="W20" s="110">
        <v>0</v>
      </c>
      <c r="X20" s="110">
        <v>20226.92</v>
      </c>
      <c r="Y20" s="110">
        <v>0</v>
      </c>
      <c r="Z20" s="110">
        <v>0</v>
      </c>
      <c r="AA20" s="110">
        <v>9822.81</v>
      </c>
      <c r="AB20" s="110">
        <v>3407.23</v>
      </c>
      <c r="AC20" s="110"/>
      <c r="AD20" s="110"/>
      <c r="AE20" s="116"/>
      <c r="AF20" s="117">
        <f t="shared" si="16"/>
        <v>33456.96</v>
      </c>
      <c r="AG20" s="122">
        <f t="shared" si="17"/>
        <v>33623.934</v>
      </c>
      <c r="AH20" s="102">
        <f t="shared" si="7"/>
        <v>0</v>
      </c>
      <c r="AI20" s="102">
        <f t="shared" si="7"/>
        <v>0</v>
      </c>
      <c r="AJ20" s="103">
        <f>'[9]Т11'!$J$176+'[9]Т11'!$J$88</f>
        <v>746.126</v>
      </c>
      <c r="AK20" s="87">
        <f t="shared" si="8"/>
        <v>2467.945</v>
      </c>
      <c r="AL20" s="87">
        <f t="shared" si="9"/>
        <v>736.7</v>
      </c>
      <c r="AM20" s="87">
        <f t="shared" si="10"/>
        <v>3683.5</v>
      </c>
      <c r="AN20" s="87">
        <f t="shared" si="11"/>
        <v>773.535</v>
      </c>
      <c r="AO20" s="87">
        <f t="shared" si="12"/>
        <v>7440.67</v>
      </c>
      <c r="AP20" s="87">
        <f t="shared" si="13"/>
        <v>3794.005</v>
      </c>
      <c r="AQ20" s="87">
        <f t="shared" si="14"/>
        <v>2762.625</v>
      </c>
      <c r="AR20" s="87">
        <f t="shared" si="15"/>
        <v>2762.625</v>
      </c>
      <c r="AS20" s="214">
        <f>B20*1.15</f>
        <v>4236.025</v>
      </c>
      <c r="AT20" s="104">
        <f t="shared" si="0"/>
        <v>953.4600000000002</v>
      </c>
      <c r="AU20" s="105">
        <v>7507</v>
      </c>
      <c r="AV20" s="105"/>
      <c r="AW20" s="105"/>
      <c r="AX20" s="105">
        <f>26.34+80</f>
        <v>106.34</v>
      </c>
      <c r="AY20" s="51"/>
      <c r="AZ20" s="104"/>
      <c r="BA20" s="104"/>
      <c r="BB20" s="104"/>
      <c r="BC20" s="75">
        <f t="shared" si="1"/>
        <v>37224.42999999999</v>
      </c>
      <c r="BD20" s="159">
        <f>'[9]Т11'!$S$88+'[9]Т11'!$S$176</f>
        <v>413.717</v>
      </c>
      <c r="BE20" s="91">
        <f>BC20+BD20</f>
        <v>37638.14699999999</v>
      </c>
      <c r="BF20" s="91">
        <f t="shared" si="3"/>
        <v>-3268.0869999999923</v>
      </c>
      <c r="BG20" s="91">
        <f t="shared" si="4"/>
        <v>1109.2799999999952</v>
      </c>
    </row>
    <row r="21" spans="1:59" ht="13.5" thickBot="1">
      <c r="A21" s="73" t="s">
        <v>43</v>
      </c>
      <c r="B21" s="74">
        <v>3683.5</v>
      </c>
      <c r="C21" s="55">
        <f>B21*10.23</f>
        <v>37682.205</v>
      </c>
      <c r="D21" s="49">
        <v>166.974</v>
      </c>
      <c r="E21" s="216"/>
      <c r="F21" s="216"/>
      <c r="G21" s="216">
        <v>31709.28</v>
      </c>
      <c r="H21" s="216"/>
      <c r="I21" s="216"/>
      <c r="J21" s="216"/>
      <c r="K21" s="216"/>
      <c r="L21" s="216"/>
      <c r="M21" s="216">
        <v>15524.54</v>
      </c>
      <c r="N21" s="216"/>
      <c r="O21" s="216">
        <v>5377.98</v>
      </c>
      <c r="P21" s="216"/>
      <c r="Q21" s="216"/>
      <c r="R21" s="216"/>
      <c r="S21" s="217"/>
      <c r="T21" s="218"/>
      <c r="U21" s="212">
        <f t="shared" si="6"/>
        <v>52611.8</v>
      </c>
      <c r="V21" s="213">
        <f t="shared" si="6"/>
        <v>0</v>
      </c>
      <c r="W21" s="110">
        <v>0</v>
      </c>
      <c r="X21" s="110">
        <v>19475.13</v>
      </c>
      <c r="Y21" s="110">
        <v>0</v>
      </c>
      <c r="Z21" s="110">
        <v>0</v>
      </c>
      <c r="AA21" s="110">
        <v>9457.78</v>
      </c>
      <c r="AB21" s="110">
        <v>3280.65</v>
      </c>
      <c r="AC21" s="110"/>
      <c r="AD21" s="110"/>
      <c r="AE21" s="116"/>
      <c r="AF21" s="117">
        <f t="shared" si="16"/>
        <v>32213.560000000005</v>
      </c>
      <c r="AG21" s="122">
        <f t="shared" si="17"/>
        <v>32380.534000000003</v>
      </c>
      <c r="AH21" s="102">
        <f t="shared" si="7"/>
        <v>0</v>
      </c>
      <c r="AI21" s="102">
        <f t="shared" si="7"/>
        <v>0</v>
      </c>
      <c r="AJ21" s="103">
        <f>'[16]Таштагол 12'!$AK$90</f>
        <v>6615.1329025</v>
      </c>
      <c r="AK21" s="87">
        <f t="shared" si="8"/>
        <v>2467.945</v>
      </c>
      <c r="AL21" s="87">
        <f t="shared" si="9"/>
        <v>736.7</v>
      </c>
      <c r="AM21" s="87">
        <f t="shared" si="10"/>
        <v>3683.5</v>
      </c>
      <c r="AN21" s="87">
        <f t="shared" si="11"/>
        <v>773.535</v>
      </c>
      <c r="AO21" s="87">
        <f t="shared" si="12"/>
        <v>7440.67</v>
      </c>
      <c r="AP21" s="87">
        <f t="shared" si="13"/>
        <v>3794.005</v>
      </c>
      <c r="AQ21" s="87">
        <f t="shared" si="14"/>
        <v>2762.625</v>
      </c>
      <c r="AR21" s="87">
        <f t="shared" si="15"/>
        <v>2762.625</v>
      </c>
      <c r="AS21" s="214">
        <f>B21*1.15</f>
        <v>4236.025</v>
      </c>
      <c r="AT21" s="104">
        <f t="shared" si="0"/>
        <v>953.4600000000002</v>
      </c>
      <c r="AU21" s="105">
        <v>7348</v>
      </c>
      <c r="AV21" s="105"/>
      <c r="AW21" s="105"/>
      <c r="AX21" s="105">
        <f>28+708+167</f>
        <v>903</v>
      </c>
      <c r="AY21" s="51"/>
      <c r="AZ21" s="104"/>
      <c r="BA21" s="104"/>
      <c r="BB21" s="104"/>
      <c r="BC21" s="75">
        <f t="shared" si="1"/>
        <v>37862.09</v>
      </c>
      <c r="BD21" s="159">
        <f>'[16]Таштагол 12'!$BD$90</f>
        <v>664.120225625</v>
      </c>
      <c r="BE21" s="91">
        <f t="shared" si="2"/>
        <v>38526.210225625</v>
      </c>
      <c r="BF21" s="91">
        <f t="shared" si="3"/>
        <v>469.456676875001</v>
      </c>
      <c r="BG21" s="91">
        <f t="shared" si="4"/>
        <v>-20398.239999999998</v>
      </c>
    </row>
    <row r="22" spans="1:59" s="15" customFormat="1" ht="13.5" thickBot="1">
      <c r="A22" s="235" t="s">
        <v>5</v>
      </c>
      <c r="B22" s="123"/>
      <c r="C22" s="124">
        <f aca="true" t="shared" si="18" ref="C22:BE22">SUM(C10:C21)</f>
        <v>384226.53</v>
      </c>
      <c r="D22" s="124">
        <f t="shared" si="18"/>
        <v>2003.6879999999994</v>
      </c>
      <c r="E22" s="124">
        <f t="shared" si="18"/>
        <v>-1.65</v>
      </c>
      <c r="F22" s="124">
        <f t="shared" si="18"/>
        <v>0</v>
      </c>
      <c r="G22" s="124">
        <f t="shared" si="18"/>
        <v>244531.63999999998</v>
      </c>
      <c r="H22" s="124">
        <f t="shared" si="18"/>
        <v>0</v>
      </c>
      <c r="I22" s="124">
        <f t="shared" si="18"/>
        <v>-2.24</v>
      </c>
      <c r="J22" s="124">
        <f t="shared" si="18"/>
        <v>0</v>
      </c>
      <c r="K22" s="124">
        <f t="shared" si="18"/>
        <v>-3.72</v>
      </c>
      <c r="L22" s="124">
        <f t="shared" si="18"/>
        <v>0</v>
      </c>
      <c r="M22" s="124">
        <f t="shared" si="18"/>
        <v>118873.54999999999</v>
      </c>
      <c r="N22" s="124">
        <f t="shared" si="18"/>
        <v>0</v>
      </c>
      <c r="O22" s="124">
        <f t="shared" si="18"/>
        <v>41228</v>
      </c>
      <c r="P22" s="124">
        <f t="shared" si="18"/>
        <v>0</v>
      </c>
      <c r="Q22" s="124">
        <f t="shared" si="18"/>
        <v>0</v>
      </c>
      <c r="R22" s="124">
        <f t="shared" si="18"/>
        <v>0</v>
      </c>
      <c r="S22" s="124">
        <f t="shared" si="18"/>
        <v>0</v>
      </c>
      <c r="T22" s="124">
        <f t="shared" si="18"/>
        <v>0</v>
      </c>
      <c r="U22" s="124">
        <f t="shared" si="18"/>
        <v>404625.58</v>
      </c>
      <c r="V22" s="124">
        <f t="shared" si="18"/>
        <v>0</v>
      </c>
      <c r="W22" s="124">
        <f t="shared" si="18"/>
        <v>4832.25</v>
      </c>
      <c r="X22" s="124">
        <f t="shared" si="18"/>
        <v>198804.65000000002</v>
      </c>
      <c r="Y22" s="124">
        <f t="shared" si="18"/>
        <v>6590.15</v>
      </c>
      <c r="Z22" s="124">
        <f t="shared" si="18"/>
        <v>10975.439999999999</v>
      </c>
      <c r="AA22" s="124">
        <f t="shared" si="18"/>
        <v>107158.97</v>
      </c>
      <c r="AB22" s="124">
        <f t="shared" si="18"/>
        <v>38308</v>
      </c>
      <c r="AC22" s="124">
        <f t="shared" si="18"/>
        <v>0</v>
      </c>
      <c r="AD22" s="124">
        <f t="shared" si="18"/>
        <v>0</v>
      </c>
      <c r="AE22" s="124">
        <f t="shared" si="18"/>
        <v>0</v>
      </c>
      <c r="AF22" s="124">
        <f t="shared" si="18"/>
        <v>366669.46</v>
      </c>
      <c r="AG22" s="124">
        <f t="shared" si="18"/>
        <v>368673.148</v>
      </c>
      <c r="AH22" s="124">
        <f t="shared" si="18"/>
        <v>0</v>
      </c>
      <c r="AI22" s="124">
        <f t="shared" si="18"/>
        <v>0</v>
      </c>
      <c r="AJ22" s="124">
        <f t="shared" si="18"/>
        <v>14822.5189025</v>
      </c>
      <c r="AK22" s="124">
        <f t="shared" si="18"/>
        <v>29624.05</v>
      </c>
      <c r="AL22" s="124">
        <f t="shared" si="18"/>
        <v>8843</v>
      </c>
      <c r="AM22" s="124">
        <f t="shared" si="18"/>
        <v>44215</v>
      </c>
      <c r="AN22" s="124">
        <f t="shared" si="18"/>
        <v>9285.15</v>
      </c>
      <c r="AO22" s="124">
        <f t="shared" si="18"/>
        <v>89314.3</v>
      </c>
      <c r="AP22" s="124">
        <f t="shared" si="18"/>
        <v>45541.45</v>
      </c>
      <c r="AQ22" s="124">
        <f t="shared" si="18"/>
        <v>33161.25</v>
      </c>
      <c r="AR22" s="124">
        <f t="shared" si="18"/>
        <v>33161.25</v>
      </c>
      <c r="AS22" s="124">
        <f t="shared" si="18"/>
        <v>25422.129999999997</v>
      </c>
      <c r="AT22" s="124">
        <f t="shared" si="18"/>
        <v>11441.520000000004</v>
      </c>
      <c r="AU22" s="124">
        <f t="shared" si="18"/>
        <v>32972</v>
      </c>
      <c r="AV22" s="124">
        <f t="shared" si="18"/>
        <v>1417</v>
      </c>
      <c r="AW22" s="124">
        <f t="shared" si="18"/>
        <v>8010</v>
      </c>
      <c r="AX22" s="124">
        <f t="shared" si="18"/>
        <v>30661.025</v>
      </c>
      <c r="AY22" s="124">
        <f t="shared" si="18"/>
        <v>0</v>
      </c>
      <c r="AZ22" s="124">
        <f t="shared" si="18"/>
        <v>0</v>
      </c>
      <c r="BA22" s="124">
        <f t="shared" si="18"/>
        <v>0</v>
      </c>
      <c r="BB22" s="124">
        <f t="shared" si="18"/>
        <v>0</v>
      </c>
      <c r="BC22" s="124">
        <f t="shared" si="18"/>
        <v>403069.125</v>
      </c>
      <c r="BD22" s="124">
        <f t="shared" si="18"/>
        <v>5215.007225625</v>
      </c>
      <c r="BE22" s="124">
        <f t="shared" si="18"/>
        <v>408284.132225625</v>
      </c>
      <c r="BF22" s="124">
        <f>SUM(BF10:BF21)</f>
        <v>-24788.46532312499</v>
      </c>
      <c r="BG22" s="124">
        <f>SUM(BG10:BG21)</f>
        <v>-37956.119999999995</v>
      </c>
    </row>
    <row r="23" spans="1:59" s="15" customFormat="1" ht="13.5" thickBot="1">
      <c r="A23" s="383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5"/>
    </row>
    <row r="24" spans="1:59" s="15" customFormat="1" ht="13.5" thickBot="1">
      <c r="A24" s="236" t="s">
        <v>54</v>
      </c>
      <c r="B24" s="125"/>
      <c r="C24" s="126">
        <f aca="true" t="shared" si="19" ref="C24:L24">C22+C8</f>
        <v>1244770.0500000003</v>
      </c>
      <c r="D24" s="126">
        <f t="shared" si="19"/>
        <v>101570.28190265005</v>
      </c>
      <c r="E24" s="126">
        <f t="shared" si="19"/>
        <v>74749.45000000001</v>
      </c>
      <c r="F24" s="126">
        <f t="shared" si="19"/>
        <v>12647.48</v>
      </c>
      <c r="G24" s="126">
        <f t="shared" si="19"/>
        <v>244531.63999999998</v>
      </c>
      <c r="H24" s="126">
        <f t="shared" si="19"/>
        <v>0</v>
      </c>
      <c r="I24" s="126">
        <f t="shared" si="19"/>
        <v>101160.09999999999</v>
      </c>
      <c r="J24" s="126">
        <f t="shared" si="19"/>
        <v>17122.920000000002</v>
      </c>
      <c r="K24" s="126">
        <f t="shared" si="19"/>
        <v>168434.9</v>
      </c>
      <c r="L24" s="126">
        <f t="shared" si="19"/>
        <v>28505.269999999997</v>
      </c>
      <c r="M24" s="126">
        <f>M22+M8</f>
        <v>362202.05</v>
      </c>
      <c r="N24" s="126">
        <f aca="true" t="shared" si="20" ref="N24:BG24">N22+N8</f>
        <v>41152.21000000001</v>
      </c>
      <c r="O24" s="126">
        <f t="shared" si="20"/>
        <v>101011.17</v>
      </c>
      <c r="P24" s="126">
        <f t="shared" si="20"/>
        <v>10116.76</v>
      </c>
      <c r="Q24" s="126">
        <f t="shared" si="20"/>
        <v>0</v>
      </c>
      <c r="R24" s="126">
        <f t="shared" si="20"/>
        <v>0</v>
      </c>
      <c r="S24" s="126">
        <f t="shared" si="20"/>
        <v>0</v>
      </c>
      <c r="T24" s="126">
        <f t="shared" si="20"/>
        <v>0</v>
      </c>
      <c r="U24" s="126">
        <f t="shared" si="20"/>
        <v>1052089.31</v>
      </c>
      <c r="V24" s="126">
        <f t="shared" si="20"/>
        <v>109544.64000000001</v>
      </c>
      <c r="W24" s="126">
        <f t="shared" si="20"/>
        <v>72547.87</v>
      </c>
      <c r="X24" s="126">
        <f t="shared" si="20"/>
        <v>198804.65000000002</v>
      </c>
      <c r="Y24" s="126">
        <f t="shared" si="20"/>
        <v>98168.81</v>
      </c>
      <c r="Z24" s="126">
        <f t="shared" si="20"/>
        <v>163462.2</v>
      </c>
      <c r="AA24" s="126">
        <f t="shared" si="20"/>
        <v>332628.57999999996</v>
      </c>
      <c r="AB24" s="126">
        <f t="shared" si="20"/>
        <v>92480.39</v>
      </c>
      <c r="AC24" s="126">
        <f t="shared" si="20"/>
        <v>0</v>
      </c>
      <c r="AD24" s="126">
        <f t="shared" si="20"/>
        <v>0</v>
      </c>
      <c r="AE24" s="126">
        <f t="shared" si="20"/>
        <v>0</v>
      </c>
      <c r="AF24" s="126">
        <f t="shared" si="20"/>
        <v>958092.5</v>
      </c>
      <c r="AG24" s="126">
        <f t="shared" si="20"/>
        <v>1169207.42190265</v>
      </c>
      <c r="AH24" s="126">
        <f t="shared" si="20"/>
        <v>0</v>
      </c>
      <c r="AI24" s="126">
        <f t="shared" si="20"/>
        <v>0</v>
      </c>
      <c r="AJ24" s="126">
        <f t="shared" si="20"/>
        <v>34395.1339825</v>
      </c>
      <c r="AK24" s="126">
        <f t="shared" si="20"/>
        <v>88430.50600000001</v>
      </c>
      <c r="AL24" s="126">
        <f t="shared" si="20"/>
        <v>28548.0068264</v>
      </c>
      <c r="AM24" s="126">
        <f t="shared" si="20"/>
        <v>141835.89942968503</v>
      </c>
      <c r="AN24" s="126">
        <f t="shared" si="20"/>
        <v>9285.15</v>
      </c>
      <c r="AO24" s="126">
        <f t="shared" si="20"/>
        <v>186683.4434312314</v>
      </c>
      <c r="AP24" s="126">
        <f t="shared" si="20"/>
        <v>263362.7908532954</v>
      </c>
      <c r="AQ24" s="126">
        <f t="shared" si="20"/>
        <v>33161.25</v>
      </c>
      <c r="AR24" s="126">
        <f t="shared" si="20"/>
        <v>33161.25</v>
      </c>
      <c r="AS24" s="126">
        <f t="shared" si="20"/>
        <v>25422.129999999997</v>
      </c>
      <c r="AT24" s="126">
        <f t="shared" si="20"/>
        <v>34608.90060000001</v>
      </c>
      <c r="AU24" s="126">
        <f t="shared" si="20"/>
        <v>265224.932</v>
      </c>
      <c r="AV24" s="126">
        <f t="shared" si="20"/>
        <v>1417</v>
      </c>
      <c r="AW24" s="127">
        <f t="shared" si="20"/>
        <v>37517.42</v>
      </c>
      <c r="AX24" s="127">
        <f t="shared" si="20"/>
        <v>67222.2922</v>
      </c>
      <c r="AY24" s="127">
        <f t="shared" si="20"/>
        <v>34852.3056</v>
      </c>
      <c r="AZ24" s="127">
        <f t="shared" si="20"/>
        <v>0</v>
      </c>
      <c r="BA24" s="127">
        <f t="shared" si="20"/>
        <v>0</v>
      </c>
      <c r="BB24" s="127">
        <f t="shared" si="20"/>
        <v>0</v>
      </c>
      <c r="BC24" s="127">
        <f t="shared" si="20"/>
        <v>1250733.2769406117</v>
      </c>
      <c r="BD24" s="127">
        <f t="shared" si="20"/>
        <v>14044.080956828398</v>
      </c>
      <c r="BE24" s="127">
        <f t="shared" si="20"/>
        <v>1264777.3578974402</v>
      </c>
      <c r="BF24" s="127">
        <f t="shared" si="20"/>
        <v>-61174.802012290085</v>
      </c>
      <c r="BG24" s="127">
        <f t="shared" si="20"/>
        <v>-93996.81000000003</v>
      </c>
    </row>
    <row r="25" spans="1:59" s="15" customFormat="1" ht="12.75">
      <c r="A25" s="210" t="s">
        <v>121</v>
      </c>
      <c r="B25" s="237"/>
      <c r="C25" s="238"/>
      <c r="D25" s="239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1"/>
      <c r="T25" s="241"/>
      <c r="U25" s="238"/>
      <c r="V25" s="241"/>
      <c r="W25" s="240"/>
      <c r="X25" s="240"/>
      <c r="Y25" s="240"/>
      <c r="Z25" s="240"/>
      <c r="AA25" s="240"/>
      <c r="AB25" s="240"/>
      <c r="AC25" s="240"/>
      <c r="AD25" s="240"/>
      <c r="AE25" s="241"/>
      <c r="AF25" s="239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1"/>
      <c r="AX25" s="241"/>
      <c r="AY25" s="241"/>
      <c r="AZ25" s="241"/>
      <c r="BA25" s="241"/>
      <c r="BB25" s="241"/>
      <c r="BC25" s="241"/>
      <c r="BD25" s="241"/>
      <c r="BE25" s="239"/>
      <c r="BF25" s="239"/>
      <c r="BG25" s="242"/>
    </row>
    <row r="26" spans="1:59" ht="12.75">
      <c r="A26" s="243" t="s">
        <v>45</v>
      </c>
      <c r="B26" s="74">
        <v>3683.5</v>
      </c>
      <c r="C26" s="417">
        <f>B26*10.34</f>
        <v>38087.39</v>
      </c>
      <c r="D26" s="228">
        <v>166.974</v>
      </c>
      <c r="E26" s="110"/>
      <c r="F26" s="110"/>
      <c r="G26" s="110">
        <v>22588.88</v>
      </c>
      <c r="H26" s="110"/>
      <c r="I26" s="110"/>
      <c r="J26" s="110"/>
      <c r="K26" s="110"/>
      <c r="L26" s="110"/>
      <c r="M26" s="110">
        <v>11001.39</v>
      </c>
      <c r="N26" s="110"/>
      <c r="O26" s="110">
        <v>3814.44</v>
      </c>
      <c r="P26" s="110"/>
      <c r="Q26" s="110"/>
      <c r="R26" s="110"/>
      <c r="S26" s="116"/>
      <c r="T26" s="218"/>
      <c r="U26" s="212">
        <f aca="true" t="shared" si="21" ref="U26:V31">E26+G26+I26+K26+M26+O26+Q26+S26</f>
        <v>37404.71000000001</v>
      </c>
      <c r="V26" s="213">
        <f t="shared" si="21"/>
        <v>0</v>
      </c>
      <c r="W26" s="110">
        <v>0</v>
      </c>
      <c r="X26" s="110">
        <v>31075.97</v>
      </c>
      <c r="Y26" s="110">
        <v>0</v>
      </c>
      <c r="Z26" s="110">
        <v>0</v>
      </c>
      <c r="AA26" s="110">
        <v>15282.87</v>
      </c>
      <c r="AB26" s="110">
        <v>5292.86</v>
      </c>
      <c r="AC26" s="110"/>
      <c r="AD26" s="110"/>
      <c r="AE26" s="116"/>
      <c r="AF26" s="117">
        <f aca="true" t="shared" si="22" ref="AF26:AF31">SUM(W26:AE26)</f>
        <v>51651.700000000004</v>
      </c>
      <c r="AG26" s="122">
        <f aca="true" t="shared" si="23" ref="AG26:AG37">D26+V26+AF26</f>
        <v>51818.674000000006</v>
      </c>
      <c r="AH26" s="102">
        <f aca="true" t="shared" si="24" ref="AH26:AI37">AC26</f>
        <v>0</v>
      </c>
      <c r="AI26" s="102">
        <f t="shared" si="24"/>
        <v>0</v>
      </c>
      <c r="AJ26" s="103">
        <f>'[18]Т01'!$J$62+'[18]Т01'!$J$122+'[18]Т01'!$J$153+'[18]Т01'!$J$164+'[18]Т01'!$J$198</f>
        <v>1045.6350000000002</v>
      </c>
      <c r="AK26" s="418">
        <f>1*B26</f>
        <v>3683.5</v>
      </c>
      <c r="AL26" s="87">
        <f aca="true" t="shared" si="25" ref="AL26:AL37">B26*0.2</f>
        <v>736.7</v>
      </c>
      <c r="AM26" s="87">
        <f aca="true" t="shared" si="26" ref="AM26:AM37">B26*1</f>
        <v>3683.5</v>
      </c>
      <c r="AN26" s="87">
        <f aca="true" t="shared" si="27" ref="AN26:AN37">B26*0.21</f>
        <v>773.535</v>
      </c>
      <c r="AO26" s="87">
        <f aca="true" t="shared" si="28" ref="AO26:AO37">2.02*B26</f>
        <v>7440.67</v>
      </c>
      <c r="AP26" s="87">
        <f aca="true" t="shared" si="29" ref="AP26:AP37">B26*1.03</f>
        <v>3794.005</v>
      </c>
      <c r="AQ26" s="87">
        <f aca="true" t="shared" si="30" ref="AQ26:AQ37">B26*0.75</f>
        <v>2762.625</v>
      </c>
      <c r="AR26" s="87">
        <f aca="true" t="shared" si="31" ref="AR26:AR37">B26*0.75</f>
        <v>2762.625</v>
      </c>
      <c r="AS26" s="214">
        <f>B26*1.15</f>
        <v>4236.025</v>
      </c>
      <c r="AT26" s="104">
        <f>0.45*2118.8</f>
        <v>953.4600000000002</v>
      </c>
      <c r="AU26" s="229">
        <v>2539</v>
      </c>
      <c r="AV26" s="105"/>
      <c r="AW26" s="105"/>
      <c r="AX26" s="105">
        <f>338+55.106</f>
        <v>393.106</v>
      </c>
      <c r="AY26" s="105"/>
      <c r="AZ26" s="105"/>
      <c r="BA26" s="51"/>
      <c r="BB26" s="104"/>
      <c r="BC26" s="219">
        <f>SUM(AK26:BB26)</f>
        <v>33758.751</v>
      </c>
      <c r="BD26" s="159">
        <f>'[18]Т01'!$S$62+'[18]Т01'!$S$122+'[18]Т01'!$S$153+'[18]Т01'!$S$164+'[18]Т01'!$S$198</f>
        <v>491.517</v>
      </c>
      <c r="BE26" s="230">
        <f>BC26+BD26</f>
        <v>34250.268</v>
      </c>
      <c r="BF26" s="230">
        <f>AG26+AJ26-BE26</f>
        <v>18614.041000000012</v>
      </c>
      <c r="BG26" s="166">
        <f>U26-AF26</f>
        <v>-14246.989999999998</v>
      </c>
    </row>
    <row r="27" spans="1:59" ht="12.75">
      <c r="A27" s="243" t="s">
        <v>46</v>
      </c>
      <c r="B27" s="74">
        <v>3683.5</v>
      </c>
      <c r="C27" s="55">
        <f>B27*10.34</f>
        <v>38087.39</v>
      </c>
      <c r="D27" s="228">
        <v>166.974</v>
      </c>
      <c r="E27" s="118"/>
      <c r="F27" s="118"/>
      <c r="G27" s="118">
        <v>22588.87</v>
      </c>
      <c r="H27" s="118"/>
      <c r="I27" s="118"/>
      <c r="J27" s="118"/>
      <c r="K27" s="118"/>
      <c r="L27" s="118"/>
      <c r="M27" s="118">
        <v>11001.4</v>
      </c>
      <c r="N27" s="118"/>
      <c r="O27" s="118">
        <v>3814.44</v>
      </c>
      <c r="P27" s="118"/>
      <c r="Q27" s="118"/>
      <c r="R27" s="118"/>
      <c r="S27" s="119"/>
      <c r="T27" s="218"/>
      <c r="U27" s="212">
        <f t="shared" si="21"/>
        <v>37404.71</v>
      </c>
      <c r="V27" s="213">
        <f t="shared" si="21"/>
        <v>0</v>
      </c>
      <c r="W27" s="118">
        <v>0</v>
      </c>
      <c r="X27" s="118">
        <v>30840.21</v>
      </c>
      <c r="Y27" s="118">
        <v>0</v>
      </c>
      <c r="Z27" s="118">
        <v>0</v>
      </c>
      <c r="AA27" s="118">
        <v>14822.01</v>
      </c>
      <c r="AB27" s="118">
        <v>5133.64</v>
      </c>
      <c r="AC27" s="118"/>
      <c r="AD27" s="118"/>
      <c r="AE27" s="119"/>
      <c r="AF27" s="117">
        <f t="shared" si="22"/>
        <v>50795.86</v>
      </c>
      <c r="AG27" s="122">
        <f t="shared" si="23"/>
        <v>50962.834</v>
      </c>
      <c r="AH27" s="102">
        <f t="shared" si="24"/>
        <v>0</v>
      </c>
      <c r="AI27" s="102">
        <f t="shared" si="24"/>
        <v>0</v>
      </c>
      <c r="AJ27" s="103">
        <f>'[18]Т01'!$J$62+'[18]Т01'!$J$122+'[18]Т01'!$J$153+'[18]Т01'!$J$164+'[18]Т01'!$J$198</f>
        <v>1045.6350000000002</v>
      </c>
      <c r="AK27" s="419">
        <f>1*B27</f>
        <v>3683.5</v>
      </c>
      <c r="AL27" s="87">
        <f t="shared" si="25"/>
        <v>736.7</v>
      </c>
      <c r="AM27" s="87">
        <f t="shared" si="26"/>
        <v>3683.5</v>
      </c>
      <c r="AN27" s="87">
        <f t="shared" si="27"/>
        <v>773.535</v>
      </c>
      <c r="AO27" s="87">
        <f t="shared" si="28"/>
        <v>7440.67</v>
      </c>
      <c r="AP27" s="87">
        <f t="shared" si="29"/>
        <v>3794.005</v>
      </c>
      <c r="AQ27" s="87">
        <f t="shared" si="30"/>
        <v>2762.625</v>
      </c>
      <c r="AR27" s="87">
        <f t="shared" si="31"/>
        <v>2762.625</v>
      </c>
      <c r="AS27" s="214">
        <f>B27*1.15</f>
        <v>4236.025</v>
      </c>
      <c r="AT27" s="104">
        <f>0.45*2118.8</f>
        <v>953.4600000000002</v>
      </c>
      <c r="AU27" s="229">
        <v>3131</v>
      </c>
      <c r="AV27" s="105"/>
      <c r="AW27" s="105"/>
      <c r="AX27" s="105">
        <f>55.106+284</f>
        <v>339.106</v>
      </c>
      <c r="AY27" s="105"/>
      <c r="AZ27" s="105"/>
      <c r="BA27" s="51"/>
      <c r="BB27" s="104"/>
      <c r="BC27" s="75">
        <f>SUM(AK27:BB27)</f>
        <v>34296.751</v>
      </c>
      <c r="BD27" s="159">
        <f>'[18]Т01'!$S$62+'[18]Т01'!$S$122+'[18]Т01'!$S$153+'[18]Т01'!$S$164+'[18]Т01'!$S$198</f>
        <v>491.517</v>
      </c>
      <c r="BE27" s="230">
        <f aca="true" t="shared" si="32" ref="BE27:BE37">BC27+BD27</f>
        <v>34788.268</v>
      </c>
      <c r="BF27" s="230">
        <f aca="true" t="shared" si="33" ref="BF27:BF37">AG27+AJ27-BE27</f>
        <v>17220.20100000001</v>
      </c>
      <c r="BG27" s="166">
        <f aca="true" t="shared" si="34" ref="BG27:BG37">U27-AF27</f>
        <v>-13391.150000000001</v>
      </c>
    </row>
    <row r="28" spans="1:59" ht="12.75">
      <c r="A28" s="243" t="s">
        <v>47</v>
      </c>
      <c r="B28" s="74">
        <v>3683.5</v>
      </c>
      <c r="C28" s="55">
        <f>B28*10.34</f>
        <v>38087.39</v>
      </c>
      <c r="D28" s="228">
        <v>166.974</v>
      </c>
      <c r="E28" s="118"/>
      <c r="F28" s="118"/>
      <c r="G28" s="118">
        <v>22588.88</v>
      </c>
      <c r="H28" s="118"/>
      <c r="I28" s="118"/>
      <c r="J28" s="118"/>
      <c r="K28" s="118"/>
      <c r="L28" s="118"/>
      <c r="M28" s="118">
        <v>11004.39</v>
      </c>
      <c r="N28" s="118"/>
      <c r="O28" s="118">
        <v>3814.45</v>
      </c>
      <c r="P28" s="118"/>
      <c r="Q28" s="118"/>
      <c r="R28" s="118"/>
      <c r="S28" s="119"/>
      <c r="T28" s="218"/>
      <c r="U28" s="212">
        <f t="shared" si="21"/>
        <v>37407.72</v>
      </c>
      <c r="V28" s="213">
        <f t="shared" si="21"/>
        <v>0</v>
      </c>
      <c r="W28" s="110">
        <v>0</v>
      </c>
      <c r="X28" s="110">
        <v>24356.05</v>
      </c>
      <c r="Y28" s="110">
        <v>0</v>
      </c>
      <c r="Z28" s="110">
        <v>0</v>
      </c>
      <c r="AA28" s="110">
        <v>10603.43</v>
      </c>
      <c r="AB28" s="110">
        <v>3761.97</v>
      </c>
      <c r="AC28" s="110"/>
      <c r="AD28" s="110"/>
      <c r="AE28" s="116"/>
      <c r="AF28" s="117">
        <f t="shared" si="22"/>
        <v>38721.45</v>
      </c>
      <c r="AG28" s="122">
        <f t="shared" si="23"/>
        <v>38888.424</v>
      </c>
      <c r="AH28" s="102">
        <f t="shared" si="24"/>
        <v>0</v>
      </c>
      <c r="AI28" s="102">
        <f t="shared" si="24"/>
        <v>0</v>
      </c>
      <c r="AJ28" s="103">
        <f>'[18]Т03'!$J$60+'[18]Т03'!$J$123+'[18]Т03'!$J$154+'[18]Т03'!$J$165+'[18]Т03'!$J$199</f>
        <v>3044.29</v>
      </c>
      <c r="AK28" s="419">
        <f>1*B28</f>
        <v>3683.5</v>
      </c>
      <c r="AL28" s="87">
        <f t="shared" si="25"/>
        <v>736.7</v>
      </c>
      <c r="AM28" s="87">
        <f t="shared" si="26"/>
        <v>3683.5</v>
      </c>
      <c r="AN28" s="87">
        <f t="shared" si="27"/>
        <v>773.535</v>
      </c>
      <c r="AO28" s="87">
        <f t="shared" si="28"/>
        <v>7440.67</v>
      </c>
      <c r="AP28" s="87">
        <f t="shared" si="29"/>
        <v>3794.005</v>
      </c>
      <c r="AQ28" s="87">
        <f t="shared" si="30"/>
        <v>2762.625</v>
      </c>
      <c r="AR28" s="87">
        <f t="shared" si="31"/>
        <v>2762.625</v>
      </c>
      <c r="AS28" s="214">
        <f>B28*1.15</f>
        <v>4236.025</v>
      </c>
      <c r="AT28" s="104">
        <f>0.45*2118.8</f>
        <v>953.4600000000002</v>
      </c>
      <c r="AU28" s="229"/>
      <c r="AV28" s="105"/>
      <c r="AW28" s="105">
        <v>277.47</v>
      </c>
      <c r="AX28" s="105">
        <f>1166.95+55.106</f>
        <v>1222.056</v>
      </c>
      <c r="AY28" s="105"/>
      <c r="AZ28" s="105"/>
      <c r="BA28" s="51"/>
      <c r="BB28" s="104"/>
      <c r="BC28" s="219">
        <f>SUM(AK28:BB28)</f>
        <v>32326.171</v>
      </c>
      <c r="BD28" s="159">
        <f>'[18]Т03'!$S$60+'[18]Т03'!$S$123+'[18]Т03'!$S$154+'[18]Т03'!$S$165+'[18]Т03'!$S$199</f>
        <v>844.99</v>
      </c>
      <c r="BE28" s="230">
        <f t="shared" si="32"/>
        <v>33171.161</v>
      </c>
      <c r="BF28" s="230">
        <f t="shared" si="33"/>
        <v>8761.553</v>
      </c>
      <c r="BG28" s="166">
        <f t="shared" si="34"/>
        <v>-1313.729999999996</v>
      </c>
    </row>
    <row r="29" spans="1:59" ht="12.75">
      <c r="A29" s="243" t="s">
        <v>48</v>
      </c>
      <c r="B29" s="74">
        <v>3683.5</v>
      </c>
      <c r="C29" s="55">
        <f>B29*10.34</f>
        <v>38087.39</v>
      </c>
      <c r="D29" s="228">
        <v>166.974</v>
      </c>
      <c r="E29" s="118"/>
      <c r="F29" s="118"/>
      <c r="G29" s="118">
        <v>22588.86</v>
      </c>
      <c r="H29" s="118"/>
      <c r="I29" s="118"/>
      <c r="J29" s="118"/>
      <c r="K29" s="118"/>
      <c r="L29" s="118"/>
      <c r="M29" s="118">
        <v>11001.39</v>
      </c>
      <c r="N29" s="118"/>
      <c r="O29" s="118">
        <v>3814.46</v>
      </c>
      <c r="P29" s="118"/>
      <c r="Q29" s="118"/>
      <c r="R29" s="118"/>
      <c r="S29" s="119"/>
      <c r="T29" s="218"/>
      <c r="U29" s="212">
        <f t="shared" si="21"/>
        <v>37404.71</v>
      </c>
      <c r="V29" s="213">
        <f t="shared" si="21"/>
        <v>0</v>
      </c>
      <c r="W29" s="216">
        <v>0</v>
      </c>
      <c r="X29" s="216">
        <v>23171.69</v>
      </c>
      <c r="Y29" s="216">
        <v>0</v>
      </c>
      <c r="Z29" s="216">
        <v>0</v>
      </c>
      <c r="AA29" s="216">
        <v>12227.39</v>
      </c>
      <c r="AB29" s="216">
        <v>3664.75</v>
      </c>
      <c r="AC29" s="216"/>
      <c r="AD29" s="216"/>
      <c r="AE29" s="217"/>
      <c r="AF29" s="117">
        <f t="shared" si="22"/>
        <v>39063.83</v>
      </c>
      <c r="AG29" s="122">
        <f t="shared" si="23"/>
        <v>39230.804000000004</v>
      </c>
      <c r="AH29" s="102">
        <f t="shared" si="24"/>
        <v>0</v>
      </c>
      <c r="AI29" s="102">
        <f t="shared" si="24"/>
        <v>0</v>
      </c>
      <c r="AJ29" s="103">
        <f>'[18]Т04'!$J$60+'[18]Т04'!$J$123+'[18]Т04'!$J$154+'[18]Т04'!$J$165+'[18]Т04'!$J$199</f>
        <v>1711.8500000000001</v>
      </c>
      <c r="AK29" s="419">
        <f>1*B29</f>
        <v>3683.5</v>
      </c>
      <c r="AL29" s="87">
        <f t="shared" si="25"/>
        <v>736.7</v>
      </c>
      <c r="AM29" s="87">
        <f t="shared" si="26"/>
        <v>3683.5</v>
      </c>
      <c r="AN29" s="87">
        <f t="shared" si="27"/>
        <v>773.535</v>
      </c>
      <c r="AO29" s="87">
        <f t="shared" si="28"/>
        <v>7440.67</v>
      </c>
      <c r="AP29" s="87">
        <f t="shared" si="29"/>
        <v>3794.005</v>
      </c>
      <c r="AQ29" s="87">
        <f t="shared" si="30"/>
        <v>2762.625</v>
      </c>
      <c r="AR29" s="87">
        <f t="shared" si="31"/>
        <v>2762.625</v>
      </c>
      <c r="AS29" s="214"/>
      <c r="AT29" s="104">
        <f>0.45*2118.8</f>
        <v>953.4600000000002</v>
      </c>
      <c r="AU29" s="229"/>
      <c r="AV29" s="105"/>
      <c r="AW29" s="105"/>
      <c r="AX29" s="105">
        <f>55.106+500</f>
        <v>555.106</v>
      </c>
      <c r="AY29" s="105"/>
      <c r="AZ29" s="105"/>
      <c r="BA29" s="51"/>
      <c r="BB29" s="104"/>
      <c r="BC29" s="219">
        <f>SUM(AK29:BB29)</f>
        <v>27145.726</v>
      </c>
      <c r="BD29" s="159">
        <f>'[18]Т04'!$S$60+'[18]Т04'!$S$123+'[18]Т04'!$S$154+'[18]Т04'!$S$165+'[18]Т04'!$S$199</f>
        <v>794.99</v>
      </c>
      <c r="BE29" s="230">
        <f t="shared" si="32"/>
        <v>27940.716</v>
      </c>
      <c r="BF29" s="230">
        <f t="shared" si="33"/>
        <v>13001.938000000002</v>
      </c>
      <c r="BG29" s="166">
        <f t="shared" si="34"/>
        <v>-1659.1200000000026</v>
      </c>
    </row>
    <row r="30" spans="1:59" ht="12.75">
      <c r="A30" s="243" t="s">
        <v>49</v>
      </c>
      <c r="B30" s="74">
        <v>3683.5</v>
      </c>
      <c r="C30" s="55">
        <f>B30*10.34</f>
        <v>38087.39</v>
      </c>
      <c r="D30" s="228">
        <v>166.974</v>
      </c>
      <c r="E30" s="118"/>
      <c r="F30" s="118"/>
      <c r="G30" s="118">
        <v>22588.88</v>
      </c>
      <c r="H30" s="118"/>
      <c r="I30" s="118"/>
      <c r="J30" s="118"/>
      <c r="K30" s="118"/>
      <c r="L30" s="118"/>
      <c r="M30" s="118">
        <v>11001.39</v>
      </c>
      <c r="N30" s="118"/>
      <c r="O30" s="118">
        <v>3814.44</v>
      </c>
      <c r="P30" s="118"/>
      <c r="Q30" s="118"/>
      <c r="R30" s="118"/>
      <c r="S30" s="119"/>
      <c r="T30" s="218"/>
      <c r="U30" s="212">
        <f t="shared" si="21"/>
        <v>37404.71000000001</v>
      </c>
      <c r="V30" s="213">
        <f t="shared" si="21"/>
        <v>0</v>
      </c>
      <c r="W30" s="216">
        <v>0</v>
      </c>
      <c r="X30" s="216">
        <v>21727.55</v>
      </c>
      <c r="Y30" s="216">
        <v>0</v>
      </c>
      <c r="Z30" s="216">
        <v>0</v>
      </c>
      <c r="AA30" s="216">
        <v>9221.16</v>
      </c>
      <c r="AB30" s="216">
        <v>3682.18</v>
      </c>
      <c r="AC30" s="216"/>
      <c r="AD30" s="216"/>
      <c r="AE30" s="216"/>
      <c r="AF30" s="117">
        <f t="shared" si="22"/>
        <v>34630.89</v>
      </c>
      <c r="AG30" s="122">
        <f t="shared" si="23"/>
        <v>34797.864</v>
      </c>
      <c r="AH30" s="102">
        <f t="shared" si="24"/>
        <v>0</v>
      </c>
      <c r="AI30" s="102">
        <f t="shared" si="24"/>
        <v>0</v>
      </c>
      <c r="AJ30" s="103">
        <f>'[18]Т05'!$J$60+'[18]Т05'!$J$123+'[18]Т05'!$J$154+'[18]Т05'!$J$165+'[18]Т05'!$J$205</f>
        <v>1711.8500000000001</v>
      </c>
      <c r="AK30" s="419">
        <f>1*B30</f>
        <v>3683.5</v>
      </c>
      <c r="AL30" s="87">
        <f t="shared" si="25"/>
        <v>736.7</v>
      </c>
      <c r="AM30" s="87">
        <f t="shared" si="26"/>
        <v>3683.5</v>
      </c>
      <c r="AN30" s="87">
        <f t="shared" si="27"/>
        <v>773.535</v>
      </c>
      <c r="AO30" s="87">
        <f t="shared" si="28"/>
        <v>7440.67</v>
      </c>
      <c r="AP30" s="87">
        <f t="shared" si="29"/>
        <v>3794.005</v>
      </c>
      <c r="AQ30" s="87">
        <f t="shared" si="30"/>
        <v>2762.625</v>
      </c>
      <c r="AR30" s="87">
        <f t="shared" si="31"/>
        <v>2762.625</v>
      </c>
      <c r="AS30" s="214"/>
      <c r="AT30" s="104">
        <f>0.45*2118.8</f>
        <v>953.4600000000002</v>
      </c>
      <c r="AU30" s="229"/>
      <c r="AV30" s="105"/>
      <c r="AW30" s="105"/>
      <c r="AX30" s="105">
        <v>55.106</v>
      </c>
      <c r="AY30" s="105"/>
      <c r="AZ30" s="105"/>
      <c r="BA30" s="51"/>
      <c r="BB30" s="104"/>
      <c r="BC30" s="219">
        <f>SUM(AK30:BB30)</f>
        <v>26645.726</v>
      </c>
      <c r="BD30" s="159">
        <f>'[18]Т05'!$S$60+'[18]Т05'!$S$123+'[18]Т05'!$S$154+'[18]Т05'!$S$165+'[18]Т05'!$S$205</f>
        <v>794.99</v>
      </c>
      <c r="BE30" s="230">
        <f t="shared" si="32"/>
        <v>27440.716</v>
      </c>
      <c r="BF30" s="230">
        <f t="shared" si="33"/>
        <v>9068.998</v>
      </c>
      <c r="BG30" s="166">
        <f t="shared" si="34"/>
        <v>2773.820000000007</v>
      </c>
    </row>
    <row r="31" spans="1:59" ht="12.75">
      <c r="A31" s="243" t="s">
        <v>50</v>
      </c>
      <c r="B31" s="74">
        <v>3683.5</v>
      </c>
      <c r="C31" s="55">
        <f>B31*10.34</f>
        <v>38087.39</v>
      </c>
      <c r="D31" s="228">
        <v>166.974</v>
      </c>
      <c r="E31" s="118"/>
      <c r="F31" s="118"/>
      <c r="G31" s="118">
        <v>22588.88</v>
      </c>
      <c r="H31" s="118"/>
      <c r="I31" s="118"/>
      <c r="J31" s="118"/>
      <c r="K31" s="118"/>
      <c r="L31" s="118"/>
      <c r="M31" s="118">
        <v>11001.39</v>
      </c>
      <c r="N31" s="118"/>
      <c r="O31" s="118">
        <v>3814.44</v>
      </c>
      <c r="P31" s="118"/>
      <c r="Q31" s="118"/>
      <c r="R31" s="118"/>
      <c r="S31" s="119"/>
      <c r="T31" s="218"/>
      <c r="U31" s="212">
        <f t="shared" si="21"/>
        <v>37404.71000000001</v>
      </c>
      <c r="V31" s="213">
        <f t="shared" si="21"/>
        <v>0</v>
      </c>
      <c r="W31" s="216"/>
      <c r="X31" s="420">
        <v>19037.45</v>
      </c>
      <c r="Y31" s="216"/>
      <c r="Z31" s="216"/>
      <c r="AA31" s="420">
        <v>9365.48</v>
      </c>
      <c r="AB31" s="420">
        <v>3247.27</v>
      </c>
      <c r="AC31" s="216"/>
      <c r="AD31" s="420"/>
      <c r="AE31" s="421"/>
      <c r="AF31" s="117">
        <f t="shared" si="22"/>
        <v>31650.2</v>
      </c>
      <c r="AG31" s="122">
        <f t="shared" si="23"/>
        <v>31817.174</v>
      </c>
      <c r="AH31" s="102">
        <f t="shared" si="24"/>
        <v>0</v>
      </c>
      <c r="AI31" s="102">
        <f t="shared" si="24"/>
        <v>0</v>
      </c>
      <c r="AJ31" s="103">
        <f>'[18]Т06'!$J$60+'[18]Т06'!$J$123+'[18]Т06'!$J$155+'[18]Т06'!$J$196+'[18]Т06'!$J$236</f>
        <v>1711.8500000000001</v>
      </c>
      <c r="AK31" s="419">
        <f>1*B31</f>
        <v>3683.5</v>
      </c>
      <c r="AL31" s="87">
        <f t="shared" si="25"/>
        <v>736.7</v>
      </c>
      <c r="AM31" s="87">
        <f t="shared" si="26"/>
        <v>3683.5</v>
      </c>
      <c r="AN31" s="87">
        <f t="shared" si="27"/>
        <v>773.535</v>
      </c>
      <c r="AO31" s="87">
        <f t="shared" si="28"/>
        <v>7440.67</v>
      </c>
      <c r="AP31" s="87">
        <f t="shared" si="29"/>
        <v>3794.005</v>
      </c>
      <c r="AQ31" s="87">
        <f t="shared" si="30"/>
        <v>2762.625</v>
      </c>
      <c r="AR31" s="87">
        <f t="shared" si="31"/>
        <v>2762.625</v>
      </c>
      <c r="AS31" s="214"/>
      <c r="AT31" s="104">
        <f>0.45*2118.8</f>
        <v>953.4600000000002</v>
      </c>
      <c r="AU31" s="229"/>
      <c r="AV31" s="105"/>
      <c r="AW31" s="105"/>
      <c r="AX31" s="105">
        <f>55.106+3286.25</f>
        <v>3341.356</v>
      </c>
      <c r="AY31" s="105"/>
      <c r="AZ31" s="105"/>
      <c r="BA31" s="51"/>
      <c r="BB31" s="104"/>
      <c r="BC31" s="219">
        <f>SUM(AK31:BB31)</f>
        <v>29931.976</v>
      </c>
      <c r="BD31" s="159">
        <f>'[18]Т06'!$S$60+'[18]Т06'!$S$123+'[18]Т06'!$S$155+'[18]Т06'!$S$196+'[18]Т06'!$S$236</f>
        <v>794.99</v>
      </c>
      <c r="BE31" s="230">
        <f t="shared" si="32"/>
        <v>30726.966</v>
      </c>
      <c r="BF31" s="230">
        <f t="shared" si="33"/>
        <v>2802.0579999999973</v>
      </c>
      <c r="BG31" s="166">
        <f t="shared" si="34"/>
        <v>5754.510000000006</v>
      </c>
    </row>
    <row r="32" spans="1:59" ht="12.75">
      <c r="A32" s="243" t="s">
        <v>51</v>
      </c>
      <c r="B32" s="74">
        <v>3683.5</v>
      </c>
      <c r="C32" s="417">
        <f>B32*11.66</f>
        <v>42949.61</v>
      </c>
      <c r="D32" s="228">
        <v>223.45050000000003</v>
      </c>
      <c r="E32" s="118"/>
      <c r="F32" s="118"/>
      <c r="G32" s="118">
        <v>42782.66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218"/>
      <c r="U32" s="212">
        <f aca="true" t="shared" si="35" ref="U32:V37">G32+M32+O32+Q32+S32</f>
        <v>42782.66</v>
      </c>
      <c r="V32" s="422">
        <f t="shared" si="35"/>
        <v>0</v>
      </c>
      <c r="W32" s="216"/>
      <c r="X32" s="110">
        <v>25498.01</v>
      </c>
      <c r="Y32" s="216"/>
      <c r="Z32" s="216"/>
      <c r="AA32" s="110">
        <v>10769.75</v>
      </c>
      <c r="AB32" s="110">
        <v>3695.15</v>
      </c>
      <c r="AC32" s="216"/>
      <c r="AD32" s="110"/>
      <c r="AE32" s="116"/>
      <c r="AF32" s="117">
        <f aca="true" t="shared" si="36" ref="AF32:AF37">SUM(X32:AE32)</f>
        <v>39962.909999999996</v>
      </c>
      <c r="AG32" s="122">
        <f t="shared" si="23"/>
        <v>40186.360499999995</v>
      </c>
      <c r="AH32" s="423">
        <v>0</v>
      </c>
      <c r="AI32" s="102">
        <f t="shared" si="24"/>
        <v>0</v>
      </c>
      <c r="AJ32" s="103">
        <f>'[18]Т07'!$J$60+'[18]Т07'!$J$125+'[18]Т07'!$J$157+'[18]Т07'!$J$198+'[18]Т07'!$J$238</f>
        <v>1711.8500000000001</v>
      </c>
      <c r="AK32" s="418">
        <f>1*B32</f>
        <v>3683.5</v>
      </c>
      <c r="AL32" s="87">
        <f t="shared" si="25"/>
        <v>736.7</v>
      </c>
      <c r="AM32" s="87">
        <f t="shared" si="26"/>
        <v>3683.5</v>
      </c>
      <c r="AN32" s="87">
        <f t="shared" si="27"/>
        <v>773.535</v>
      </c>
      <c r="AO32" s="87">
        <f t="shared" si="28"/>
        <v>7440.67</v>
      </c>
      <c r="AP32" s="87">
        <f t="shared" si="29"/>
        <v>3794.005</v>
      </c>
      <c r="AQ32" s="87">
        <f t="shared" si="30"/>
        <v>2762.625</v>
      </c>
      <c r="AR32" s="87">
        <f t="shared" si="31"/>
        <v>2762.625</v>
      </c>
      <c r="AS32" s="214"/>
      <c r="AT32" s="104">
        <f>0.45*2118.8</f>
        <v>953.4600000000002</v>
      </c>
      <c r="AU32" s="229">
        <v>1516</v>
      </c>
      <c r="AV32" s="105"/>
      <c r="AW32" s="105">
        <v>3009</v>
      </c>
      <c r="AX32" s="105">
        <f>631+55.11</f>
        <v>686.11</v>
      </c>
      <c r="AY32" s="105"/>
      <c r="AZ32" s="105"/>
      <c r="BA32" s="51"/>
      <c r="BB32" s="104"/>
      <c r="BC32" s="219">
        <f>SUM(AK32:BB32)</f>
        <v>31801.73</v>
      </c>
      <c r="BD32" s="159">
        <f>'[18]Т07'!$S$60+'[18]Т07'!$S$125+'[18]Т07'!$S$157+'[18]Т07'!$S$198+'[18]Т07'!$S$238</f>
        <v>794.99</v>
      </c>
      <c r="BE32" s="230">
        <f t="shared" si="32"/>
        <v>32596.72</v>
      </c>
      <c r="BF32" s="230">
        <f t="shared" si="33"/>
        <v>9301.490499999993</v>
      </c>
      <c r="BG32" s="166">
        <f t="shared" si="34"/>
        <v>2819.7500000000073</v>
      </c>
    </row>
    <row r="33" spans="1:59" ht="12.75">
      <c r="A33" s="243" t="s">
        <v>52</v>
      </c>
      <c r="B33" s="74">
        <v>3683.5</v>
      </c>
      <c r="C33" s="417">
        <f>B33*11.66</f>
        <v>42949.61</v>
      </c>
      <c r="D33" s="228"/>
      <c r="E33" s="118"/>
      <c r="F33" s="118"/>
      <c r="G33" s="118">
        <v>42782.64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218"/>
      <c r="U33" s="212">
        <f t="shared" si="35"/>
        <v>42782.64</v>
      </c>
      <c r="V33" s="422">
        <f t="shared" si="35"/>
        <v>0</v>
      </c>
      <c r="W33" s="216"/>
      <c r="X33" s="110">
        <v>44269.64</v>
      </c>
      <c r="Y33" s="216"/>
      <c r="Z33" s="216"/>
      <c r="AA33" s="110">
        <v>3774.55</v>
      </c>
      <c r="AB33" s="110">
        <v>1301.51</v>
      </c>
      <c r="AC33" s="216"/>
      <c r="AD33" s="110"/>
      <c r="AE33" s="116"/>
      <c r="AF33" s="117">
        <f t="shared" si="36"/>
        <v>49345.700000000004</v>
      </c>
      <c r="AG33" s="122">
        <f t="shared" si="23"/>
        <v>49345.700000000004</v>
      </c>
      <c r="AH33" s="423">
        <v>0</v>
      </c>
      <c r="AI33" s="102">
        <f t="shared" si="24"/>
        <v>0</v>
      </c>
      <c r="AJ33" s="103">
        <f>'[18]Т08'!$J$60+'[18]Т08'!$J$125+'[18]Т08'!$J$157+'[18]Т08'!$J$198+'[18]Т08'!$J$238+'[18]Т08'!$J$314</f>
        <v>2621.86</v>
      </c>
      <c r="AK33" s="418">
        <f>1*B33</f>
        <v>3683.5</v>
      </c>
      <c r="AL33" s="87">
        <f t="shared" si="25"/>
        <v>736.7</v>
      </c>
      <c r="AM33" s="87">
        <f t="shared" si="26"/>
        <v>3683.5</v>
      </c>
      <c r="AN33" s="87">
        <f t="shared" si="27"/>
        <v>773.535</v>
      </c>
      <c r="AO33" s="87">
        <f t="shared" si="28"/>
        <v>7440.67</v>
      </c>
      <c r="AP33" s="87">
        <f t="shared" si="29"/>
        <v>3794.005</v>
      </c>
      <c r="AQ33" s="87">
        <f t="shared" si="30"/>
        <v>2762.625</v>
      </c>
      <c r="AR33" s="87">
        <f t="shared" si="31"/>
        <v>2762.625</v>
      </c>
      <c r="AS33" s="214"/>
      <c r="AT33" s="104">
        <f>0.45*2118.8</f>
        <v>953.4600000000002</v>
      </c>
      <c r="AU33" s="229"/>
      <c r="AV33" s="105"/>
      <c r="AW33" s="105">
        <v>12924</v>
      </c>
      <c r="AX33" s="105">
        <f>55.11+442.12+4135.2+140</f>
        <v>4772.43</v>
      </c>
      <c r="AY33" s="105"/>
      <c r="AZ33" s="105"/>
      <c r="BA33" s="51"/>
      <c r="BB33" s="104"/>
      <c r="BC33" s="219">
        <f>SUM(AK33:BB33)</f>
        <v>44287.049999999996</v>
      </c>
      <c r="BD33" s="159">
        <f>'[18]Т08'!$S$60+'[18]Т08'!$S$125+'[18]Т08'!$S$157+'[18]Т08'!$S$198+'[18]Т08'!$S$238+'[18]Т08'!$S$314</f>
        <v>1244.99</v>
      </c>
      <c r="BE33" s="230">
        <f t="shared" si="32"/>
        <v>45532.03999999999</v>
      </c>
      <c r="BF33" s="230">
        <f t="shared" si="33"/>
        <v>6435.520000000011</v>
      </c>
      <c r="BG33" s="166">
        <f t="shared" si="34"/>
        <v>-6563.060000000005</v>
      </c>
    </row>
    <row r="34" spans="1:59" ht="12.75">
      <c r="A34" s="243" t="s">
        <v>53</v>
      </c>
      <c r="B34" s="74">
        <v>3683.5</v>
      </c>
      <c r="C34" s="417">
        <f>B34*11.66</f>
        <v>42949.61</v>
      </c>
      <c r="D34" s="228"/>
      <c r="E34" s="118"/>
      <c r="F34" s="118"/>
      <c r="G34" s="118">
        <v>42782.66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  <c r="T34" s="218"/>
      <c r="U34" s="212">
        <f t="shared" si="35"/>
        <v>42782.66</v>
      </c>
      <c r="V34" s="422">
        <f t="shared" si="35"/>
        <v>0</v>
      </c>
      <c r="W34" s="216"/>
      <c r="X34" s="110">
        <v>32878.01</v>
      </c>
      <c r="Y34" s="216"/>
      <c r="Z34" s="216"/>
      <c r="AA34" s="110">
        <v>974.45</v>
      </c>
      <c r="AB34" s="110">
        <v>337.8</v>
      </c>
      <c r="AC34" s="216"/>
      <c r="AD34" s="110"/>
      <c r="AE34" s="116"/>
      <c r="AF34" s="117">
        <f t="shared" si="36"/>
        <v>34190.26</v>
      </c>
      <c r="AG34" s="122">
        <f t="shared" si="23"/>
        <v>34190.26</v>
      </c>
      <c r="AH34" s="423">
        <v>0</v>
      </c>
      <c r="AI34" s="102">
        <f t="shared" si="24"/>
        <v>0</v>
      </c>
      <c r="AJ34" s="103">
        <f>'[18]Т09'!$J$60+'[18]Т09'!$J$124+'[18]Т09'!$J$160+'[18]Т09'!$J$198+'[18]Т09'!$J$238+'[18]Т09'!$J$314</f>
        <v>2311.8500000000004</v>
      </c>
      <c r="AK34" s="418">
        <f>1*B34</f>
        <v>3683.5</v>
      </c>
      <c r="AL34" s="87">
        <f t="shared" si="25"/>
        <v>736.7</v>
      </c>
      <c r="AM34" s="87">
        <f t="shared" si="26"/>
        <v>3683.5</v>
      </c>
      <c r="AN34" s="87">
        <f t="shared" si="27"/>
        <v>773.535</v>
      </c>
      <c r="AO34" s="87">
        <f t="shared" si="28"/>
        <v>7440.67</v>
      </c>
      <c r="AP34" s="87">
        <f t="shared" si="29"/>
        <v>3794.005</v>
      </c>
      <c r="AQ34" s="87">
        <f t="shared" si="30"/>
        <v>2762.625</v>
      </c>
      <c r="AR34" s="87">
        <f t="shared" si="31"/>
        <v>2762.625</v>
      </c>
      <c r="AS34" s="214"/>
      <c r="AT34" s="104">
        <f>0.45*2118.8</f>
        <v>953.4600000000002</v>
      </c>
      <c r="AU34" s="229">
        <v>78900</v>
      </c>
      <c r="AV34" s="105"/>
      <c r="AW34" s="105"/>
      <c r="AX34" s="105">
        <f>13048+55.11</f>
        <v>13103.11</v>
      </c>
      <c r="AY34" s="105"/>
      <c r="AZ34" s="105"/>
      <c r="BA34" s="51"/>
      <c r="BB34" s="104"/>
      <c r="BC34" s="219">
        <f>SUM(AK34:BB34)</f>
        <v>118593.73</v>
      </c>
      <c r="BD34" s="159">
        <f>'[18]Т09'!$S$60+'[18]Т09'!$S$124+'[18]Т09'!$S$160+'[18]Т09'!$S$198+'[18]Т09'!$S$238+'[18]Т09'!$S$314</f>
        <v>944.99</v>
      </c>
      <c r="BE34" s="230">
        <f t="shared" si="32"/>
        <v>119538.72</v>
      </c>
      <c r="BF34" s="230">
        <f t="shared" si="33"/>
        <v>-83036.61</v>
      </c>
      <c r="BG34" s="166">
        <f t="shared" si="34"/>
        <v>8592.400000000001</v>
      </c>
    </row>
    <row r="35" spans="1:59" ht="12.75">
      <c r="A35" s="243" t="s">
        <v>41</v>
      </c>
      <c r="B35" s="74">
        <v>3683.5</v>
      </c>
      <c r="C35" s="417">
        <f>B35*11.66</f>
        <v>42949.61</v>
      </c>
      <c r="D35" s="228"/>
      <c r="E35" s="118"/>
      <c r="F35" s="118"/>
      <c r="G35" s="118">
        <v>42841.42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218"/>
      <c r="U35" s="212">
        <f t="shared" si="35"/>
        <v>42841.42</v>
      </c>
      <c r="V35" s="422">
        <f t="shared" si="35"/>
        <v>0</v>
      </c>
      <c r="W35" s="216"/>
      <c r="X35" s="110">
        <v>48285.16</v>
      </c>
      <c r="Y35" s="216"/>
      <c r="Z35" s="216"/>
      <c r="AA35" s="110">
        <v>556.8</v>
      </c>
      <c r="AB35" s="110">
        <v>192.94</v>
      </c>
      <c r="AC35" s="216"/>
      <c r="AD35" s="110"/>
      <c r="AE35" s="116"/>
      <c r="AF35" s="117">
        <f t="shared" si="36"/>
        <v>49034.90000000001</v>
      </c>
      <c r="AG35" s="122">
        <f t="shared" si="23"/>
        <v>49034.90000000001</v>
      </c>
      <c r="AH35" s="423">
        <v>0</v>
      </c>
      <c r="AI35" s="102">
        <f t="shared" si="24"/>
        <v>0</v>
      </c>
      <c r="AJ35" s="103">
        <f>'[18]Т10'!$J$60+'[18]Т10'!$J$123+'[18]Т10'!$J$159+'[18]Т10'!$J$197+'[18]Т10'!$J$237+'[18]Т10'!$J$313</f>
        <v>2311.8500000000004</v>
      </c>
      <c r="AK35" s="418">
        <f>1*B35</f>
        <v>3683.5</v>
      </c>
      <c r="AL35" s="87">
        <f t="shared" si="25"/>
        <v>736.7</v>
      </c>
      <c r="AM35" s="87">
        <f t="shared" si="26"/>
        <v>3683.5</v>
      </c>
      <c r="AN35" s="87">
        <f t="shared" si="27"/>
        <v>773.535</v>
      </c>
      <c r="AO35" s="87">
        <f t="shared" si="28"/>
        <v>7440.67</v>
      </c>
      <c r="AP35" s="87">
        <f t="shared" si="29"/>
        <v>3794.005</v>
      </c>
      <c r="AQ35" s="87">
        <f t="shared" si="30"/>
        <v>2762.625</v>
      </c>
      <c r="AR35" s="87">
        <f t="shared" si="31"/>
        <v>2762.625</v>
      </c>
      <c r="AS35" s="214">
        <f>B35*1.15</f>
        <v>4236.025</v>
      </c>
      <c r="AT35" s="104">
        <f>0.45*2118.8</f>
        <v>953.4600000000002</v>
      </c>
      <c r="AU35" s="424"/>
      <c r="AV35" s="105"/>
      <c r="AW35" s="105"/>
      <c r="AX35" s="105">
        <f>152.53+70+258.64+41.88+587.14+59.85+18+116.01</f>
        <v>1304.05</v>
      </c>
      <c r="AY35" s="105"/>
      <c r="AZ35" s="105"/>
      <c r="BA35" s="51"/>
      <c r="BB35" s="104"/>
      <c r="BC35" s="219">
        <f>SUM(AK35:BB35)</f>
        <v>32130.694999999996</v>
      </c>
      <c r="BD35" s="159">
        <f>'[18]Т10'!$S$60+'[18]Т10'!$S$123+'[18]Т10'!$S$159+'[18]Т10'!$S$197+'[18]Т10'!$S$237+'[18]Т10'!$S$313</f>
        <v>944.99</v>
      </c>
      <c r="BE35" s="230">
        <f t="shared" si="32"/>
        <v>33075.685</v>
      </c>
      <c r="BF35" s="230">
        <f t="shared" si="33"/>
        <v>18271.06500000001</v>
      </c>
      <c r="BG35" s="166">
        <f t="shared" si="34"/>
        <v>-6193.4800000000105</v>
      </c>
    </row>
    <row r="36" spans="1:59" ht="12.75">
      <c r="A36" s="243" t="s">
        <v>42</v>
      </c>
      <c r="B36" s="425">
        <v>3683.5</v>
      </c>
      <c r="C36" s="417">
        <f>B36*11.66</f>
        <v>42949.61</v>
      </c>
      <c r="D36" s="228"/>
      <c r="E36" s="118"/>
      <c r="F36" s="118"/>
      <c r="G36" s="110">
        <v>42841.41</v>
      </c>
      <c r="H36" s="110"/>
      <c r="I36" s="118"/>
      <c r="J36" s="118"/>
      <c r="K36" s="118"/>
      <c r="L36" s="118"/>
      <c r="M36" s="110"/>
      <c r="N36" s="110"/>
      <c r="O36" s="110"/>
      <c r="P36" s="110"/>
      <c r="Q36" s="110"/>
      <c r="R36" s="110"/>
      <c r="S36" s="116"/>
      <c r="T36" s="218"/>
      <c r="U36" s="212">
        <f t="shared" si="35"/>
        <v>42841.41</v>
      </c>
      <c r="V36" s="422">
        <f t="shared" si="35"/>
        <v>0</v>
      </c>
      <c r="W36" s="216"/>
      <c r="X36" s="110">
        <v>47192.96</v>
      </c>
      <c r="Y36" s="216"/>
      <c r="Z36" s="216"/>
      <c r="AA36" s="110">
        <v>1717.89</v>
      </c>
      <c r="AB36" s="110">
        <v>595.34</v>
      </c>
      <c r="AC36" s="216"/>
      <c r="AD36" s="110"/>
      <c r="AE36" s="116"/>
      <c r="AF36" s="117">
        <f t="shared" si="36"/>
        <v>49506.189999999995</v>
      </c>
      <c r="AG36" s="122">
        <f t="shared" si="23"/>
        <v>49506.189999999995</v>
      </c>
      <c r="AH36" s="423">
        <v>0</v>
      </c>
      <c r="AI36" s="102">
        <f t="shared" si="24"/>
        <v>0</v>
      </c>
      <c r="AJ36" s="103">
        <f>'[18]Т11'!$J$60+'[18]Т11'!$J$123+'[18]Т11'!$J$161+'[18]Т11'!$J$199+'[18]Т11'!$J$239+'[18]Т11'!$J$315</f>
        <v>2311.8500000000004</v>
      </c>
      <c r="AK36" s="418">
        <f>1*B36</f>
        <v>3683.5</v>
      </c>
      <c r="AL36" s="87">
        <f t="shared" si="25"/>
        <v>736.7</v>
      </c>
      <c r="AM36" s="87">
        <f t="shared" si="26"/>
        <v>3683.5</v>
      </c>
      <c r="AN36" s="87">
        <f t="shared" si="27"/>
        <v>773.535</v>
      </c>
      <c r="AO36" s="87">
        <f t="shared" si="28"/>
        <v>7440.67</v>
      </c>
      <c r="AP36" s="87">
        <f t="shared" si="29"/>
        <v>3794.005</v>
      </c>
      <c r="AQ36" s="87">
        <f t="shared" si="30"/>
        <v>2762.625</v>
      </c>
      <c r="AR36" s="87">
        <f t="shared" si="31"/>
        <v>2762.625</v>
      </c>
      <c r="AS36" s="214">
        <f>B36*1.15</f>
        <v>4236.025</v>
      </c>
      <c r="AT36" s="104">
        <f>0.45*2118.8</f>
        <v>953.4600000000002</v>
      </c>
      <c r="AU36" s="229"/>
      <c r="AV36" s="105"/>
      <c r="AW36" s="105"/>
      <c r="AX36" s="105">
        <f>122.94</f>
        <v>122.94</v>
      </c>
      <c r="AY36" s="105"/>
      <c r="AZ36" s="105"/>
      <c r="BA36" s="51"/>
      <c r="BB36" s="104"/>
      <c r="BC36" s="219">
        <f>SUM(AK36:BB36)</f>
        <v>30949.584999999995</v>
      </c>
      <c r="BD36" s="159">
        <f>'[18]Т11'!$S$60+'[18]Т11'!$S$123+'[18]Т11'!$S$161+'[18]Т11'!$S$199+'[18]Т11'!$S$239+'[18]Т11'!$S$315</f>
        <v>944.99</v>
      </c>
      <c r="BE36" s="230">
        <f t="shared" si="32"/>
        <v>31894.574999999997</v>
      </c>
      <c r="BF36" s="230">
        <f t="shared" si="33"/>
        <v>19923.464999999997</v>
      </c>
      <c r="BG36" s="166">
        <f t="shared" si="34"/>
        <v>-6664.779999999992</v>
      </c>
    </row>
    <row r="37" spans="1:59" ht="13.5" thickBot="1">
      <c r="A37" s="243" t="s">
        <v>43</v>
      </c>
      <c r="B37" s="426">
        <v>3686.8</v>
      </c>
      <c r="C37" s="417">
        <f>B37*11.66</f>
        <v>42988.088</v>
      </c>
      <c r="D37" s="228"/>
      <c r="E37" s="110"/>
      <c r="F37" s="110"/>
      <c r="G37" s="110">
        <v>42879.88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6"/>
      <c r="T37" s="218"/>
      <c r="U37" s="212">
        <f t="shared" si="35"/>
        <v>42879.88</v>
      </c>
      <c r="V37" s="422">
        <f t="shared" si="35"/>
        <v>0</v>
      </c>
      <c r="W37" s="216"/>
      <c r="X37" s="110">
        <v>51215.26</v>
      </c>
      <c r="Y37" s="110"/>
      <c r="Z37" s="110"/>
      <c r="AA37" s="110">
        <v>1141.76</v>
      </c>
      <c r="AB37" s="110">
        <v>412.91</v>
      </c>
      <c r="AC37" s="110"/>
      <c r="AD37" s="110"/>
      <c r="AE37" s="116"/>
      <c r="AF37" s="117">
        <f t="shared" si="36"/>
        <v>52769.93000000001</v>
      </c>
      <c r="AG37" s="122">
        <f t="shared" si="23"/>
        <v>52769.93000000001</v>
      </c>
      <c r="AH37" s="423">
        <v>0</v>
      </c>
      <c r="AI37" s="102">
        <f t="shared" si="24"/>
        <v>0</v>
      </c>
      <c r="AJ37" s="103">
        <f>'[18]Т12'!$J$60+'[18]Т12'!$J$123+'[18]Т12'!$J$163+'[18]Т12'!$J$201+'[18]Т12'!$J$241+'[18]Т12'!$J$317</f>
        <v>3093.186</v>
      </c>
      <c r="AK37" s="418">
        <f>1*B37</f>
        <v>3686.8</v>
      </c>
      <c r="AL37" s="87">
        <f t="shared" si="25"/>
        <v>737.3600000000001</v>
      </c>
      <c r="AM37" s="87">
        <f t="shared" si="26"/>
        <v>3686.8</v>
      </c>
      <c r="AN37" s="87">
        <f t="shared" si="27"/>
        <v>774.2280000000001</v>
      </c>
      <c r="AO37" s="87">
        <f t="shared" si="28"/>
        <v>7447.336</v>
      </c>
      <c r="AP37" s="87">
        <f t="shared" si="29"/>
        <v>3797.4040000000005</v>
      </c>
      <c r="AQ37" s="87">
        <f t="shared" si="30"/>
        <v>2765.1000000000004</v>
      </c>
      <c r="AR37" s="87">
        <f t="shared" si="31"/>
        <v>2765.1000000000004</v>
      </c>
      <c r="AS37" s="214">
        <f>B37*1.15</f>
        <v>4239.82</v>
      </c>
      <c r="AT37" s="104">
        <f>0.45*2118.8</f>
        <v>953.4600000000002</v>
      </c>
      <c r="AU37" s="229"/>
      <c r="AV37" s="105"/>
      <c r="AW37" s="105"/>
      <c r="AX37" s="105">
        <v>308.67</v>
      </c>
      <c r="AY37" s="105"/>
      <c r="AZ37" s="105"/>
      <c r="BA37" s="51"/>
      <c r="BB37" s="104"/>
      <c r="BC37" s="219">
        <f>SUM(AK37:BB37)</f>
        <v>31162.077999999994</v>
      </c>
      <c r="BD37" s="159">
        <f>'[18]Т12'!$S$60+'[18]Т12'!$S$123+'[18]Т12'!$S$163+'[18]Т12'!$S$201+'[18]Т12'!$S$241+'[18]Т12'!$S$317</f>
        <v>966.347</v>
      </c>
      <c r="BE37" s="230">
        <f t="shared" si="32"/>
        <v>32128.424999999996</v>
      </c>
      <c r="BF37" s="230">
        <f t="shared" si="33"/>
        <v>23734.691000000013</v>
      </c>
      <c r="BG37" s="166">
        <f t="shared" si="34"/>
        <v>-9890.05000000001</v>
      </c>
    </row>
    <row r="38" spans="1:59" ht="13.5" thickBot="1">
      <c r="A38" s="234" t="s">
        <v>5</v>
      </c>
      <c r="B38" s="231"/>
      <c r="C38" s="246">
        <f aca="true" t="shared" si="37" ref="C38:BF38">SUM(C26:C37)</f>
        <v>486260.47799999994</v>
      </c>
      <c r="D38" s="246">
        <f t="shared" si="37"/>
        <v>1225.2945</v>
      </c>
      <c r="E38" s="246">
        <f t="shared" si="37"/>
        <v>0</v>
      </c>
      <c r="F38" s="246">
        <f t="shared" si="37"/>
        <v>0</v>
      </c>
      <c r="G38" s="246">
        <f t="shared" si="37"/>
        <v>392443.9199999999</v>
      </c>
      <c r="H38" s="246">
        <f t="shared" si="37"/>
        <v>0</v>
      </c>
      <c r="I38" s="246">
        <f t="shared" si="37"/>
        <v>0</v>
      </c>
      <c r="J38" s="246">
        <f t="shared" si="37"/>
        <v>0</v>
      </c>
      <c r="K38" s="246">
        <f t="shared" si="37"/>
        <v>0</v>
      </c>
      <c r="L38" s="246">
        <f t="shared" si="37"/>
        <v>0</v>
      </c>
      <c r="M38" s="246">
        <f t="shared" si="37"/>
        <v>66011.35</v>
      </c>
      <c r="N38" s="246">
        <f t="shared" si="37"/>
        <v>0</v>
      </c>
      <c r="O38" s="246">
        <f t="shared" si="37"/>
        <v>22886.67</v>
      </c>
      <c r="P38" s="246">
        <f t="shared" si="37"/>
        <v>0</v>
      </c>
      <c r="Q38" s="246">
        <f t="shared" si="37"/>
        <v>0</v>
      </c>
      <c r="R38" s="246">
        <f t="shared" si="37"/>
        <v>0</v>
      </c>
      <c r="S38" s="246">
        <f t="shared" si="37"/>
        <v>0</v>
      </c>
      <c r="T38" s="246">
        <f t="shared" si="37"/>
        <v>0</v>
      </c>
      <c r="U38" s="246">
        <f t="shared" si="37"/>
        <v>481341.94000000006</v>
      </c>
      <c r="V38" s="246">
        <f t="shared" si="37"/>
        <v>0</v>
      </c>
      <c r="W38" s="246">
        <f t="shared" si="37"/>
        <v>0</v>
      </c>
      <c r="X38" s="246">
        <f t="shared" si="37"/>
        <v>399547.96</v>
      </c>
      <c r="Y38" s="246">
        <f t="shared" si="37"/>
        <v>0</v>
      </c>
      <c r="Z38" s="246">
        <f t="shared" si="37"/>
        <v>0</v>
      </c>
      <c r="AA38" s="246">
        <f t="shared" si="37"/>
        <v>90457.54</v>
      </c>
      <c r="AB38" s="246">
        <f t="shared" si="37"/>
        <v>31318.32</v>
      </c>
      <c r="AC38" s="246">
        <f t="shared" si="37"/>
        <v>0</v>
      </c>
      <c r="AD38" s="246">
        <f t="shared" si="37"/>
        <v>0</v>
      </c>
      <c r="AE38" s="246">
        <f t="shared" si="37"/>
        <v>0</v>
      </c>
      <c r="AF38" s="246">
        <f t="shared" si="37"/>
        <v>521323.82000000007</v>
      </c>
      <c r="AG38" s="246">
        <f t="shared" si="37"/>
        <v>522549.1145</v>
      </c>
      <c r="AH38" s="246">
        <f t="shared" si="37"/>
        <v>0</v>
      </c>
      <c r="AI38" s="246">
        <f t="shared" si="37"/>
        <v>0</v>
      </c>
      <c r="AJ38" s="246">
        <f t="shared" si="37"/>
        <v>24633.556000000004</v>
      </c>
      <c r="AK38" s="246">
        <f t="shared" si="37"/>
        <v>44205.3</v>
      </c>
      <c r="AL38" s="246">
        <f t="shared" si="37"/>
        <v>8841.06</v>
      </c>
      <c r="AM38" s="246">
        <f t="shared" si="37"/>
        <v>44205.3</v>
      </c>
      <c r="AN38" s="246">
        <f t="shared" si="37"/>
        <v>9283.113000000001</v>
      </c>
      <c r="AO38" s="246">
        <f t="shared" si="37"/>
        <v>89294.70599999999</v>
      </c>
      <c r="AP38" s="246">
        <f t="shared" si="37"/>
        <v>45531.459</v>
      </c>
      <c r="AQ38" s="246">
        <f t="shared" si="37"/>
        <v>33153.975</v>
      </c>
      <c r="AR38" s="246">
        <f t="shared" si="37"/>
        <v>33153.975</v>
      </c>
      <c r="AS38" s="246">
        <f t="shared" si="37"/>
        <v>25419.945</v>
      </c>
      <c r="AT38" s="246">
        <f t="shared" si="37"/>
        <v>11441.520000000004</v>
      </c>
      <c r="AU38" s="246">
        <f t="shared" si="37"/>
        <v>86086</v>
      </c>
      <c r="AV38" s="246">
        <f t="shared" si="37"/>
        <v>0</v>
      </c>
      <c r="AW38" s="246">
        <f t="shared" si="37"/>
        <v>16210.470000000001</v>
      </c>
      <c r="AX38" s="246">
        <f t="shared" si="37"/>
        <v>26203.145999999997</v>
      </c>
      <c r="AY38" s="246">
        <f t="shared" si="37"/>
        <v>0</v>
      </c>
      <c r="AZ38" s="246">
        <f t="shared" si="37"/>
        <v>0</v>
      </c>
      <c r="BA38" s="246">
        <f t="shared" si="37"/>
        <v>0</v>
      </c>
      <c r="BB38" s="246">
        <f t="shared" si="37"/>
        <v>0</v>
      </c>
      <c r="BC38" s="246">
        <f t="shared" si="37"/>
        <v>473029.969</v>
      </c>
      <c r="BD38" s="246">
        <f t="shared" si="37"/>
        <v>10054.291</v>
      </c>
      <c r="BE38" s="246">
        <f t="shared" si="37"/>
        <v>483084.25999999995</v>
      </c>
      <c r="BF38" s="427">
        <f>SUM(BF26:BF37)</f>
        <v>64098.41050000004</v>
      </c>
      <c r="BG38" s="246">
        <f>SUM(BG26:BG37)</f>
        <v>-39981.87999999999</v>
      </c>
    </row>
    <row r="39" spans="1:59" ht="13.5" thickBot="1">
      <c r="A39" s="244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245"/>
    </row>
    <row r="40" spans="1:59" s="15" customFormat="1" ht="13.5" thickBot="1">
      <c r="A40" s="232" t="s">
        <v>54</v>
      </c>
      <c r="B40" s="233"/>
      <c r="C40" s="124">
        <f aca="true" t="shared" si="38" ref="C40:BF40">C38+C24</f>
        <v>1731030.5280000002</v>
      </c>
      <c r="D40" s="124">
        <f t="shared" si="38"/>
        <v>102795.57640265005</v>
      </c>
      <c r="E40" s="124">
        <f t="shared" si="38"/>
        <v>74749.45000000001</v>
      </c>
      <c r="F40" s="124">
        <f t="shared" si="38"/>
        <v>12647.48</v>
      </c>
      <c r="G40" s="124">
        <f t="shared" si="38"/>
        <v>636975.5599999999</v>
      </c>
      <c r="H40" s="124">
        <f t="shared" si="38"/>
        <v>0</v>
      </c>
      <c r="I40" s="124">
        <f t="shared" si="38"/>
        <v>101160.09999999999</v>
      </c>
      <c r="J40" s="124">
        <f t="shared" si="38"/>
        <v>17122.920000000002</v>
      </c>
      <c r="K40" s="124">
        <f t="shared" si="38"/>
        <v>168434.9</v>
      </c>
      <c r="L40" s="124">
        <f t="shared" si="38"/>
        <v>28505.269999999997</v>
      </c>
      <c r="M40" s="124">
        <f t="shared" si="38"/>
        <v>428213.4</v>
      </c>
      <c r="N40" s="124">
        <f t="shared" si="38"/>
        <v>41152.21000000001</v>
      </c>
      <c r="O40" s="124">
        <f t="shared" si="38"/>
        <v>123897.84</v>
      </c>
      <c r="P40" s="124">
        <f t="shared" si="38"/>
        <v>10116.76</v>
      </c>
      <c r="Q40" s="124">
        <f t="shared" si="38"/>
        <v>0</v>
      </c>
      <c r="R40" s="124">
        <f t="shared" si="38"/>
        <v>0</v>
      </c>
      <c r="S40" s="124">
        <f t="shared" si="38"/>
        <v>0</v>
      </c>
      <c r="T40" s="124">
        <f t="shared" si="38"/>
        <v>0</v>
      </c>
      <c r="U40" s="124">
        <f t="shared" si="38"/>
        <v>1533431.25</v>
      </c>
      <c r="V40" s="124">
        <f t="shared" si="38"/>
        <v>109544.64000000001</v>
      </c>
      <c r="W40" s="124">
        <f t="shared" si="38"/>
        <v>72547.87</v>
      </c>
      <c r="X40" s="124">
        <f t="shared" si="38"/>
        <v>598352.6100000001</v>
      </c>
      <c r="Y40" s="124">
        <f t="shared" si="38"/>
        <v>98168.81</v>
      </c>
      <c r="Z40" s="124">
        <f t="shared" si="38"/>
        <v>163462.2</v>
      </c>
      <c r="AA40" s="124">
        <f t="shared" si="38"/>
        <v>423086.11999999994</v>
      </c>
      <c r="AB40" s="124">
        <f t="shared" si="38"/>
        <v>123798.70999999999</v>
      </c>
      <c r="AC40" s="124">
        <f t="shared" si="38"/>
        <v>0</v>
      </c>
      <c r="AD40" s="124">
        <f t="shared" si="38"/>
        <v>0</v>
      </c>
      <c r="AE40" s="124">
        <f t="shared" si="38"/>
        <v>0</v>
      </c>
      <c r="AF40" s="124">
        <f t="shared" si="38"/>
        <v>1479416.32</v>
      </c>
      <c r="AG40" s="124">
        <f t="shared" si="38"/>
        <v>1691756.5364026502</v>
      </c>
      <c r="AH40" s="124">
        <f t="shared" si="38"/>
        <v>0</v>
      </c>
      <c r="AI40" s="124">
        <f t="shared" si="38"/>
        <v>0</v>
      </c>
      <c r="AJ40" s="124">
        <f t="shared" si="38"/>
        <v>59028.68998250001</v>
      </c>
      <c r="AK40" s="124">
        <f t="shared" si="38"/>
        <v>132635.806</v>
      </c>
      <c r="AL40" s="124">
        <f t="shared" si="38"/>
        <v>37389.0668264</v>
      </c>
      <c r="AM40" s="124">
        <f t="shared" si="38"/>
        <v>186041.19942968502</v>
      </c>
      <c r="AN40" s="124">
        <f t="shared" si="38"/>
        <v>18568.263</v>
      </c>
      <c r="AO40" s="124">
        <f t="shared" si="38"/>
        <v>275978.1494312314</v>
      </c>
      <c r="AP40" s="124">
        <f t="shared" si="38"/>
        <v>308894.2498532954</v>
      </c>
      <c r="AQ40" s="124">
        <f t="shared" si="38"/>
        <v>66315.225</v>
      </c>
      <c r="AR40" s="124">
        <f t="shared" si="38"/>
        <v>66315.225</v>
      </c>
      <c r="AS40" s="124">
        <f t="shared" si="38"/>
        <v>50842.075</v>
      </c>
      <c r="AT40" s="124">
        <f t="shared" si="38"/>
        <v>46050.42060000001</v>
      </c>
      <c r="AU40" s="124">
        <f t="shared" si="38"/>
        <v>351310.932</v>
      </c>
      <c r="AV40" s="124">
        <f t="shared" si="38"/>
        <v>1417</v>
      </c>
      <c r="AW40" s="124">
        <f t="shared" si="38"/>
        <v>53727.89</v>
      </c>
      <c r="AX40" s="124">
        <f t="shared" si="38"/>
        <v>93425.43819999999</v>
      </c>
      <c r="AY40" s="124">
        <f t="shared" si="38"/>
        <v>34852.3056</v>
      </c>
      <c r="AZ40" s="124">
        <f t="shared" si="38"/>
        <v>0</v>
      </c>
      <c r="BA40" s="124">
        <f t="shared" si="38"/>
        <v>0</v>
      </c>
      <c r="BB40" s="124">
        <f t="shared" si="38"/>
        <v>0</v>
      </c>
      <c r="BC40" s="124">
        <f t="shared" si="38"/>
        <v>1723763.2459406117</v>
      </c>
      <c r="BD40" s="124">
        <f t="shared" si="38"/>
        <v>24098.3719568284</v>
      </c>
      <c r="BE40" s="124">
        <f t="shared" si="38"/>
        <v>1747861.6178974402</v>
      </c>
      <c r="BF40" s="124">
        <f t="shared" si="38"/>
        <v>2923.6084877099565</v>
      </c>
      <c r="BG40" s="124">
        <f>BG38+BG24</f>
        <v>-133978.69</v>
      </c>
    </row>
    <row r="41" ht="12.75">
      <c r="A41" s="151"/>
    </row>
    <row r="42" ht="12.75">
      <c r="A42" s="151"/>
    </row>
    <row r="43" ht="12.75">
      <c r="A43" s="151"/>
    </row>
  </sheetData>
  <sheetProtection/>
  <mergeCells count="57">
    <mergeCell ref="A23:BG23"/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BF3:BF6"/>
    <mergeCell ref="V5:V6"/>
    <mergeCell ref="W5:W6"/>
    <mergeCell ref="X5:X6"/>
    <mergeCell ref="Y5:Y6"/>
    <mergeCell ref="Z5:Z6"/>
    <mergeCell ref="AA5:AA6"/>
    <mergeCell ref="AB5:AB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J3:AJ6"/>
    <mergeCell ref="AK3:BE4"/>
    <mergeCell ref="AP5:AP6"/>
    <mergeCell ref="AQ5:AQ6"/>
    <mergeCell ref="AR5:AR6"/>
    <mergeCell ref="AS5:AS6"/>
    <mergeCell ref="AT5:AT6"/>
    <mergeCell ref="AU5:AU6"/>
    <mergeCell ref="BC5:BC6"/>
    <mergeCell ref="BD5:BD6"/>
    <mergeCell ref="BE5:BE6"/>
    <mergeCell ref="AV5:AV6"/>
    <mergeCell ref="AW5:AW6"/>
    <mergeCell ref="AX5:AX6"/>
    <mergeCell ref="AZ5:AZ6"/>
    <mergeCell ref="BA5:BA6"/>
    <mergeCell ref="BB5:B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N50" sqref="N50"/>
    </sheetView>
  </sheetViews>
  <sheetFormatPr defaultColWidth="9.00390625" defaultRowHeight="12.75"/>
  <cols>
    <col min="1" max="1" width="10.00390625" style="62" customWidth="1"/>
    <col min="2" max="2" width="8.375" style="62" customWidth="1"/>
    <col min="3" max="3" width="11.875" style="62" customWidth="1"/>
    <col min="4" max="4" width="10.75390625" style="62" customWidth="1"/>
    <col min="5" max="5" width="11.625" style="62" customWidth="1"/>
    <col min="6" max="6" width="9.875" style="62" customWidth="1"/>
    <col min="7" max="7" width="11.875" style="62" customWidth="1"/>
    <col min="8" max="9" width="11.375" style="62" customWidth="1"/>
    <col min="10" max="10" width="11.00390625" style="62" customWidth="1"/>
    <col min="11" max="11" width="9.875" style="62" customWidth="1"/>
    <col min="12" max="12" width="11.75390625" style="62" customWidth="1"/>
    <col min="13" max="13" width="10.125" style="62" customWidth="1"/>
    <col min="14" max="14" width="11.375" style="62" customWidth="1"/>
    <col min="15" max="15" width="12.625" style="62" customWidth="1"/>
    <col min="16" max="16" width="10.375" style="62" customWidth="1"/>
    <col min="17" max="17" width="10.75390625" style="62" customWidth="1"/>
    <col min="18" max="16384" width="9.125" style="62" customWidth="1"/>
  </cols>
  <sheetData>
    <row r="1" spans="2:9" ht="20.25" customHeight="1">
      <c r="B1" s="334" t="s">
        <v>55</v>
      </c>
      <c r="C1" s="334"/>
      <c r="D1" s="334"/>
      <c r="E1" s="334"/>
      <c r="F1" s="334"/>
      <c r="G1" s="334"/>
      <c r="H1" s="334"/>
      <c r="I1" s="18"/>
    </row>
    <row r="2" spans="2:12" ht="21" customHeight="1">
      <c r="B2" s="334" t="s">
        <v>56</v>
      </c>
      <c r="C2" s="334"/>
      <c r="D2" s="334"/>
      <c r="E2" s="334"/>
      <c r="F2" s="334"/>
      <c r="G2" s="334"/>
      <c r="H2" s="334"/>
      <c r="I2" s="18"/>
      <c r="K2" s="61"/>
      <c r="L2" s="61"/>
    </row>
    <row r="5" spans="1:14" ht="12.75">
      <c r="A5" s="335" t="s">
        <v>119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</row>
    <row r="6" spans="1:14" ht="12.75">
      <c r="A6" s="336" t="s">
        <v>123</v>
      </c>
      <c r="B6" s="336"/>
      <c r="C6" s="336"/>
      <c r="D6" s="336"/>
      <c r="E6" s="336"/>
      <c r="F6" s="336"/>
      <c r="G6" s="336"/>
      <c r="H6" s="41"/>
      <c r="I6" s="41"/>
      <c r="J6" s="41"/>
      <c r="K6" s="41"/>
      <c r="L6" s="41"/>
      <c r="M6" s="41"/>
      <c r="N6" s="41"/>
    </row>
    <row r="7" spans="1:15" ht="13.5" thickBot="1">
      <c r="A7" s="337" t="s">
        <v>57</v>
      </c>
      <c r="B7" s="337"/>
      <c r="C7" s="337"/>
      <c r="D7" s="337"/>
      <c r="E7" s="337">
        <v>11.66</v>
      </c>
      <c r="F7" s="337"/>
      <c r="I7" s="128"/>
      <c r="J7" s="128"/>
      <c r="K7" s="128"/>
      <c r="L7" s="128"/>
      <c r="M7" s="128"/>
      <c r="N7" s="128"/>
      <c r="O7" s="128"/>
    </row>
    <row r="8" spans="1:17" ht="12.75" customHeight="1">
      <c r="A8" s="288" t="s">
        <v>58</v>
      </c>
      <c r="B8" s="309" t="s">
        <v>1</v>
      </c>
      <c r="C8" s="312" t="s">
        <v>124</v>
      </c>
      <c r="D8" s="323" t="s">
        <v>3</v>
      </c>
      <c r="E8" s="326" t="s">
        <v>60</v>
      </c>
      <c r="F8" s="327"/>
      <c r="G8" s="330" t="s">
        <v>111</v>
      </c>
      <c r="H8" s="331"/>
      <c r="I8" s="164"/>
      <c r="J8" s="411" t="s">
        <v>10</v>
      </c>
      <c r="K8" s="412"/>
      <c r="L8" s="412"/>
      <c r="M8" s="412"/>
      <c r="N8" s="412"/>
      <c r="O8" s="413"/>
      <c r="P8" s="407" t="s">
        <v>61</v>
      </c>
      <c r="Q8" s="407" t="s">
        <v>12</v>
      </c>
    </row>
    <row r="9" spans="1:17" ht="12.75">
      <c r="A9" s="289"/>
      <c r="B9" s="310"/>
      <c r="C9" s="313"/>
      <c r="D9" s="324"/>
      <c r="E9" s="328"/>
      <c r="F9" s="329"/>
      <c r="G9" s="332"/>
      <c r="H9" s="333"/>
      <c r="I9" s="165"/>
      <c r="J9" s="414"/>
      <c r="K9" s="415"/>
      <c r="L9" s="415"/>
      <c r="M9" s="415"/>
      <c r="N9" s="415"/>
      <c r="O9" s="416"/>
      <c r="P9" s="408"/>
      <c r="Q9" s="408"/>
    </row>
    <row r="10" spans="1:17" ht="26.25" customHeight="1">
      <c r="A10" s="289"/>
      <c r="B10" s="310"/>
      <c r="C10" s="313"/>
      <c r="D10" s="324"/>
      <c r="E10" s="315" t="s">
        <v>62</v>
      </c>
      <c r="F10" s="316"/>
      <c r="G10" s="129" t="s">
        <v>63</v>
      </c>
      <c r="H10" s="317" t="s">
        <v>7</v>
      </c>
      <c r="I10" s="405" t="s">
        <v>117</v>
      </c>
      <c r="J10" s="319" t="s">
        <v>64</v>
      </c>
      <c r="K10" s="321" t="s">
        <v>112</v>
      </c>
      <c r="L10" s="321" t="s">
        <v>65</v>
      </c>
      <c r="M10" s="321" t="s">
        <v>37</v>
      </c>
      <c r="N10" s="322" t="s">
        <v>113</v>
      </c>
      <c r="O10" s="318" t="s">
        <v>39</v>
      </c>
      <c r="P10" s="408"/>
      <c r="Q10" s="408"/>
    </row>
    <row r="11" spans="1:17" ht="66.75" customHeight="1" thickBot="1">
      <c r="A11" s="308"/>
      <c r="B11" s="311"/>
      <c r="C11" s="314"/>
      <c r="D11" s="325"/>
      <c r="E11" s="130" t="s">
        <v>67</v>
      </c>
      <c r="F11" s="131" t="s">
        <v>21</v>
      </c>
      <c r="G11" s="132" t="s">
        <v>114</v>
      </c>
      <c r="H11" s="318"/>
      <c r="I11" s="406"/>
      <c r="J11" s="320"/>
      <c r="K11" s="322"/>
      <c r="L11" s="322"/>
      <c r="M11" s="322"/>
      <c r="N11" s="410"/>
      <c r="O11" s="404"/>
      <c r="P11" s="409"/>
      <c r="Q11" s="409"/>
    </row>
    <row r="12" spans="1:17" ht="13.5" thickBot="1">
      <c r="A12" s="20">
        <v>1</v>
      </c>
      <c r="B12" s="21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1">
        <v>8</v>
      </c>
      <c r="I12" s="20">
        <v>9</v>
      </c>
      <c r="J12" s="21">
        <v>10</v>
      </c>
      <c r="K12" s="20">
        <v>11</v>
      </c>
      <c r="L12" s="21">
        <v>12</v>
      </c>
      <c r="M12" s="20">
        <v>13</v>
      </c>
      <c r="N12" s="21">
        <v>14</v>
      </c>
      <c r="O12" s="20">
        <v>15</v>
      </c>
      <c r="P12" s="20">
        <v>16</v>
      </c>
      <c r="Q12" s="21">
        <v>17</v>
      </c>
    </row>
    <row r="13" spans="1:17" ht="13.5" thickBot="1">
      <c r="A13" s="295" t="s">
        <v>115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133"/>
      <c r="P13" s="134"/>
      <c r="Q13" s="134"/>
    </row>
    <row r="14" spans="1:19" s="15" customFormat="1" ht="13.5" thickBot="1">
      <c r="A14" s="34" t="s">
        <v>54</v>
      </c>
      <c r="B14" s="35"/>
      <c r="C14" s="135">
        <f>'2011 полн'!C8</f>
        <v>860543.5200000001</v>
      </c>
      <c r="D14" s="135">
        <f>'2011 полн'!D8</f>
        <v>99566.59390265006</v>
      </c>
      <c r="E14" s="135">
        <f>'2011 полн'!U8</f>
        <v>647463.73</v>
      </c>
      <c r="F14" s="135">
        <f>'2011 полн'!V8</f>
        <v>109544.64000000001</v>
      </c>
      <c r="G14" s="135">
        <f>'2011 полн'!AF8</f>
        <v>591423.04</v>
      </c>
      <c r="H14" s="135">
        <f>'2011 полн'!AG8</f>
        <v>800534.2739026501</v>
      </c>
      <c r="I14" s="135">
        <f>'2011 полн'!AJ8</f>
        <v>19572.615080000003</v>
      </c>
      <c r="J14" s="135">
        <f>'2011 полн'!AK8</f>
        <v>58806.456000000006</v>
      </c>
      <c r="K14" s="135">
        <f>'2011 полн'!AL8</f>
        <v>19705.0068264</v>
      </c>
      <c r="L14" s="135">
        <f>'2011 полн'!AM8+'2011 полн'!AO8+'2011 полн'!AP8+'2011 полн'!AT8+'2011 полн'!AX8+34852.31</f>
        <v>507392.3415142119</v>
      </c>
      <c r="M14" s="135">
        <f>'2011 полн'!AU8+'2011 полн'!AV8+'2011 полн'!AW8</f>
        <v>261760.35199999996</v>
      </c>
      <c r="N14" s="135">
        <f>'2011 полн'!BD8</f>
        <v>8829.0737312034</v>
      </c>
      <c r="O14" s="135">
        <f>J14+K14+L14+M14++N14</f>
        <v>856493.2300718153</v>
      </c>
      <c r="P14" s="135">
        <f>H14+I14-O14</f>
        <v>-36386.34108916519</v>
      </c>
      <c r="Q14" s="135">
        <f>'2011 полн'!BG8</f>
        <v>-56040.690000000024</v>
      </c>
      <c r="R14" s="37"/>
      <c r="S14" s="32"/>
    </row>
    <row r="15" spans="1:19" ht="12.75">
      <c r="A15" s="4" t="s">
        <v>110</v>
      </c>
      <c r="B15" s="136"/>
      <c r="C15" s="33"/>
      <c r="D15" s="137"/>
      <c r="E15" s="138"/>
      <c r="F15" s="139"/>
      <c r="G15" s="140"/>
      <c r="H15" s="139"/>
      <c r="I15" s="163"/>
      <c r="J15" s="140"/>
      <c r="K15" s="141"/>
      <c r="L15" s="141"/>
      <c r="M15" s="142"/>
      <c r="N15" s="144"/>
      <c r="O15" s="145"/>
      <c r="P15" s="146"/>
      <c r="Q15" s="146"/>
      <c r="R15" s="61"/>
      <c r="S15" s="61"/>
    </row>
    <row r="16" spans="1:19" ht="12.75">
      <c r="A16" s="73" t="s">
        <v>45</v>
      </c>
      <c r="B16" s="147">
        <f>'2011 полн'!B10</f>
        <v>3684.8</v>
      </c>
      <c r="C16" s="24">
        <f>10.2*B16</f>
        <v>37584.96</v>
      </c>
      <c r="D16" s="148">
        <f>'2011 полн'!D10</f>
        <v>166.974</v>
      </c>
      <c r="E16" s="141">
        <f>'2011 полн'!U10</f>
        <v>32138.88</v>
      </c>
      <c r="F16" s="141">
        <f>'2011 полн'!V10</f>
        <v>0</v>
      </c>
      <c r="G16" s="149">
        <f>'2011 полн'!AF10</f>
        <v>27630.61</v>
      </c>
      <c r="H16" s="149">
        <f>'2011 полн'!AG10</f>
        <v>27797.584</v>
      </c>
      <c r="I16" s="149">
        <f>'2011 полн'!AJ10</f>
        <v>746.126</v>
      </c>
      <c r="J16" s="149">
        <f>'2011 полн'!AK10</f>
        <v>2468.8160000000003</v>
      </c>
      <c r="K16" s="141">
        <f>'2011 полн'!AL10</f>
        <v>736.96</v>
      </c>
      <c r="L16" s="141">
        <f>'2011 полн'!AM10+'2011 полн'!AN10+'2011 полн'!AO10+'2011 полн'!AP10+'2011 полн'!AQ10+'2011 полн'!AR10+'2011 полн'!AS10+'2011 полн'!AT10+'2011 полн'!AX10</f>
        <v>37569.228</v>
      </c>
      <c r="M16" s="142">
        <f>'2011 полн'!AU10+'2011 полн'!AV10+'2011 полн'!AW10</f>
        <v>9042</v>
      </c>
      <c r="N16" s="150">
        <f>'2011 полн'!BD10</f>
        <v>413.717</v>
      </c>
      <c r="O16" s="150">
        <f>J16+K16+L16+M16+N16</f>
        <v>50230.721</v>
      </c>
      <c r="P16" s="146">
        <f>H16+I16-O16</f>
        <v>-21687.011</v>
      </c>
      <c r="Q16" s="146">
        <f>'2011 полн'!BG10</f>
        <v>-4508.27</v>
      </c>
      <c r="R16" s="61"/>
      <c r="S16" s="61"/>
    </row>
    <row r="17" spans="1:19" ht="12.75">
      <c r="A17" s="73" t="s">
        <v>46</v>
      </c>
      <c r="B17" s="147">
        <f>'2011 полн'!B11</f>
        <v>3684.8</v>
      </c>
      <c r="C17" s="24">
        <f aca="true" t="shared" si="0" ref="C17:C27">10.2*B17</f>
        <v>37584.96</v>
      </c>
      <c r="D17" s="148">
        <f>'2011 полн'!D11</f>
        <v>166.974</v>
      </c>
      <c r="E17" s="141">
        <f>'2011 полн'!U11</f>
        <v>31612.359999999997</v>
      </c>
      <c r="F17" s="141">
        <f>'2011 полн'!V11</f>
        <v>0</v>
      </c>
      <c r="G17" s="149">
        <f>'2011 полн'!AF11</f>
        <v>27370.52</v>
      </c>
      <c r="H17" s="149">
        <f>'2011 полн'!AG11</f>
        <v>27537.494</v>
      </c>
      <c r="I17" s="149">
        <f>'2011 полн'!AJ11</f>
        <v>746.126</v>
      </c>
      <c r="J17" s="149">
        <f>'2011 полн'!AK11</f>
        <v>2468.8160000000003</v>
      </c>
      <c r="K17" s="141">
        <f>'2011 полн'!AL11</f>
        <v>736.96</v>
      </c>
      <c r="L17" s="141">
        <f>'2011 полн'!AM11+'2011 полн'!AN11+'2011 полн'!AO11+'2011 полн'!AP11+'2011 полн'!AQ11+'2011 полн'!AR11+'2011 полн'!AS11+'2011 полн'!AT11+'2011 полн'!AX11</f>
        <v>26869.268000000004</v>
      </c>
      <c r="M17" s="142">
        <f>'2011 полн'!AU11+'2011 полн'!AV11+'2011 полн'!AW11</f>
        <v>4291</v>
      </c>
      <c r="N17" s="150">
        <f>'2011 полн'!BD11</f>
        <v>413.717</v>
      </c>
      <c r="O17" s="150">
        <f>J17+K17+L17+M17+N17</f>
        <v>34779.761000000006</v>
      </c>
      <c r="P17" s="146">
        <f>H17+I17-O17</f>
        <v>-6496.141000000007</v>
      </c>
      <c r="Q17" s="146">
        <f>'2011 полн'!BG11</f>
        <v>-4241.8399999999965</v>
      </c>
      <c r="R17" s="61"/>
      <c r="S17" s="61"/>
    </row>
    <row r="18" spans="1:19" ht="12.75">
      <c r="A18" s="73" t="s">
        <v>47</v>
      </c>
      <c r="B18" s="147">
        <f>'2011 полн'!B12</f>
        <v>3684.8</v>
      </c>
      <c r="C18" s="24">
        <f t="shared" si="0"/>
        <v>37584.96</v>
      </c>
      <c r="D18" s="148">
        <f>'2011 полн'!D12</f>
        <v>166.974</v>
      </c>
      <c r="E18" s="141">
        <f>'2011 полн'!U12</f>
        <v>31875.62</v>
      </c>
      <c r="F18" s="141">
        <f>'2011 полн'!V12</f>
        <v>0</v>
      </c>
      <c r="G18" s="149">
        <f>'2011 полн'!AF12</f>
        <v>30534.38</v>
      </c>
      <c r="H18" s="149">
        <f>'2011 полн'!AG12</f>
        <v>30701.354</v>
      </c>
      <c r="I18" s="149">
        <f>'2011 полн'!AJ12</f>
        <v>746.126</v>
      </c>
      <c r="J18" s="149">
        <f>'2011 полн'!AK12</f>
        <v>2468.8160000000003</v>
      </c>
      <c r="K18" s="141">
        <f>'2011 полн'!AL12</f>
        <v>736.96</v>
      </c>
      <c r="L18" s="141">
        <f>'2011 полн'!AM12+'2011 полн'!AN12+'2011 полн'!AO12+'2011 полн'!AP12+'2011 полн'!AQ12+'2011 полн'!AR12+'2011 полн'!AS12+'2011 полн'!AT12+'2011 полн'!AX12</f>
        <v>38504.928</v>
      </c>
      <c r="M18" s="142">
        <f>'2011 полн'!AU12+'2011 полн'!AV12+'2011 полн'!AW12</f>
        <v>0</v>
      </c>
      <c r="N18" s="150">
        <f>'2011 полн'!BD12</f>
        <v>413.717</v>
      </c>
      <c r="O18" s="150">
        <f>J18+K18+L18+M18+N18</f>
        <v>42124.420999999995</v>
      </c>
      <c r="P18" s="146">
        <f>H18+I18-O18</f>
        <v>-10676.940999999995</v>
      </c>
      <c r="Q18" s="146">
        <f>'2011 полн'!BG12</f>
        <v>-1341.239999999998</v>
      </c>
      <c r="R18" s="61"/>
      <c r="S18" s="61"/>
    </row>
    <row r="19" spans="1:19" ht="12.75">
      <c r="A19" s="73" t="s">
        <v>48</v>
      </c>
      <c r="B19" s="147">
        <f>'2011 полн'!B13</f>
        <v>3684.8</v>
      </c>
      <c r="C19" s="24">
        <f t="shared" si="0"/>
        <v>37584.96</v>
      </c>
      <c r="D19" s="148">
        <f>'2011 полн'!D13</f>
        <v>166.974</v>
      </c>
      <c r="E19" s="141">
        <f>'2011 полн'!U13</f>
        <v>31860.589999999997</v>
      </c>
      <c r="F19" s="141">
        <f>'2011 полн'!V13</f>
        <v>0</v>
      </c>
      <c r="G19" s="149">
        <f>'2011 полн'!AF13</f>
        <v>27940.25</v>
      </c>
      <c r="H19" s="149">
        <f>'2011 полн'!AG13</f>
        <v>28107.224</v>
      </c>
      <c r="I19" s="149">
        <f>'2011 полн'!AJ13</f>
        <v>746.126</v>
      </c>
      <c r="J19" s="149">
        <f>'2011 полн'!AK13</f>
        <v>2468.8160000000003</v>
      </c>
      <c r="K19" s="141">
        <f>'2011 полн'!AL13</f>
        <v>736.96</v>
      </c>
      <c r="L19" s="141">
        <f>'2011 полн'!AM13+'2011 полн'!AN13+'2011 полн'!AO13+'2011 полн'!AP13+'2011 полн'!AQ13+'2011 полн'!AR13+'2011 полн'!AS13+'2011 полн'!AT13+'2011 полн'!AX13</f>
        <v>22798.408000000003</v>
      </c>
      <c r="M19" s="142">
        <f>'2011 полн'!AU13+'2011 полн'!AV13+'2011 полн'!AW13</f>
        <v>939</v>
      </c>
      <c r="N19" s="150">
        <f>'2011 полн'!BD13</f>
        <v>413.717</v>
      </c>
      <c r="O19" s="150">
        <f>J19+K19+L19+M19+N19</f>
        <v>27356.901000000005</v>
      </c>
      <c r="P19" s="146">
        <f>H19+I19-O19</f>
        <v>1496.4489999999932</v>
      </c>
      <c r="Q19" s="146">
        <f>'2011 полн'!BG13</f>
        <v>-3920.3399999999965</v>
      </c>
      <c r="R19" s="61"/>
      <c r="S19" s="61"/>
    </row>
    <row r="20" spans="1:19" ht="12.75">
      <c r="A20" s="73" t="s">
        <v>49</v>
      </c>
      <c r="B20" s="147">
        <f>'2011 полн'!B14</f>
        <v>3684.8</v>
      </c>
      <c r="C20" s="24">
        <f t="shared" si="0"/>
        <v>37584.96</v>
      </c>
      <c r="D20" s="148">
        <f>'2011 полн'!D14</f>
        <v>166.974</v>
      </c>
      <c r="E20" s="141">
        <f>'2011 полн'!U14</f>
        <v>31878.02</v>
      </c>
      <c r="F20" s="141">
        <f>'2011 полн'!V14</f>
        <v>0</v>
      </c>
      <c r="G20" s="149">
        <f>'2011 полн'!AF14</f>
        <v>28537.85</v>
      </c>
      <c r="H20" s="149">
        <f>'2011 полн'!AG14</f>
        <v>28704.823999999997</v>
      </c>
      <c r="I20" s="149">
        <f>'2011 полн'!AJ14</f>
        <v>746.126</v>
      </c>
      <c r="J20" s="149">
        <f>'2011 полн'!AK14</f>
        <v>2468.8160000000003</v>
      </c>
      <c r="K20" s="141">
        <f>'2011 полн'!AL14</f>
        <v>736.96</v>
      </c>
      <c r="L20" s="141">
        <f>'2011 полн'!AM14+'2011 полн'!AN14+'2011 полн'!AO14+'2011 полн'!AP14+'2011 полн'!AQ14+'2011 полн'!AR14+'2011 полн'!AS14+'2011 полн'!AT14+'2011 полн'!AX14</f>
        <v>22922.388000000003</v>
      </c>
      <c r="M20" s="142">
        <f>'2011 полн'!AU14+'2011 полн'!AV14+'2011 полн'!AW14</f>
        <v>4680</v>
      </c>
      <c r="N20" s="150">
        <f>'2011 полн'!BD14</f>
        <v>413.717</v>
      </c>
      <c r="O20" s="150">
        <f>J20+K20+L20+M20+N20</f>
        <v>31221.881000000005</v>
      </c>
      <c r="P20" s="146">
        <f>H20+I20-O20</f>
        <v>-1770.9310000000078</v>
      </c>
      <c r="Q20" s="146">
        <f>'2011 полн'!BG14</f>
        <v>-3340.170000000002</v>
      </c>
      <c r="R20" s="61"/>
      <c r="S20" s="61"/>
    </row>
    <row r="21" spans="1:19" ht="12.75">
      <c r="A21" s="73" t="s">
        <v>50</v>
      </c>
      <c r="B21" s="147">
        <f>'2011 полн'!B15</f>
        <v>3684.8</v>
      </c>
      <c r="C21" s="24">
        <f t="shared" si="0"/>
        <v>37584.96</v>
      </c>
      <c r="D21" s="148">
        <f>'2011 полн'!D15</f>
        <v>166.974</v>
      </c>
      <c r="E21" s="141">
        <f>'2011 полн'!U15</f>
        <v>31877.99</v>
      </c>
      <c r="F21" s="141">
        <f>'2011 полн'!V15</f>
        <v>0</v>
      </c>
      <c r="G21" s="149">
        <f>'2011 полн'!AF15</f>
        <v>27871.66</v>
      </c>
      <c r="H21" s="149">
        <f>'2011 полн'!AG15</f>
        <v>28038.634</v>
      </c>
      <c r="I21" s="149">
        <f>'2011 полн'!AJ15</f>
        <v>746.126</v>
      </c>
      <c r="J21" s="149">
        <f>'2011 полн'!AK15</f>
        <v>2468.8160000000003</v>
      </c>
      <c r="K21" s="141">
        <f>'2011 полн'!AL15</f>
        <v>736.96</v>
      </c>
      <c r="L21" s="141">
        <f>'2011 полн'!AM15+'2011 полн'!AN15+'2011 полн'!AO15+'2011 полн'!AP15+'2011 полн'!AQ15+'2011 полн'!AR15+'2011 полн'!AS15+'2011 полн'!AT15+'2011 полн'!AX15</f>
        <v>22177.908000000003</v>
      </c>
      <c r="M21" s="142">
        <f>'2011 полн'!AU15+'2011 полн'!AV15+'2011 полн'!AW15</f>
        <v>0</v>
      </c>
      <c r="N21" s="150">
        <f>'2011 полн'!BD15</f>
        <v>413.717</v>
      </c>
      <c r="O21" s="150">
        <f>J21+K21+L21+M21+N21</f>
        <v>25797.401000000005</v>
      </c>
      <c r="P21" s="146">
        <f>H21+I21-O21</f>
        <v>2987.358999999993</v>
      </c>
      <c r="Q21" s="146">
        <f>'2011 полн'!BG15</f>
        <v>-4006.3300000000017</v>
      </c>
      <c r="R21" s="61"/>
      <c r="S21" s="61"/>
    </row>
    <row r="22" spans="1:17" ht="12.75">
      <c r="A22" s="73" t="s">
        <v>51</v>
      </c>
      <c r="B22" s="147">
        <f>'2011 полн'!B16</f>
        <v>3684.8</v>
      </c>
      <c r="C22" s="24">
        <f t="shared" si="0"/>
        <v>37584.96</v>
      </c>
      <c r="D22" s="148">
        <f>'2011 полн'!D16</f>
        <v>166.974</v>
      </c>
      <c r="E22" s="141">
        <f>'2011 полн'!U16</f>
        <v>31881.17</v>
      </c>
      <c r="F22" s="141">
        <f>'2011 полн'!V16</f>
        <v>0</v>
      </c>
      <c r="G22" s="149">
        <f>'2011 полн'!AF16</f>
        <v>28487.12</v>
      </c>
      <c r="H22" s="149">
        <f>'2011 полн'!AG16</f>
        <v>28654.093999999997</v>
      </c>
      <c r="I22" s="149">
        <f>'2011 полн'!AJ16</f>
        <v>746.126</v>
      </c>
      <c r="J22" s="149">
        <f>'2011 полн'!AK16</f>
        <v>2468.8160000000003</v>
      </c>
      <c r="K22" s="141">
        <f>'2011 полн'!AL16</f>
        <v>736.96</v>
      </c>
      <c r="L22" s="141">
        <f>'2011 полн'!AM16+'2011 полн'!AN16+'2011 полн'!AO16+'2011 полн'!AP16+'2011 полн'!AQ16+'2011 полн'!AR16+'2011 полн'!AS16+'2011 полн'!AT16+'2011 полн'!AX16</f>
        <v>22308.198000000004</v>
      </c>
      <c r="M22" s="142">
        <f>'2011 полн'!AU16+'2011 полн'!AV16+'2011 полн'!AW16</f>
        <v>0</v>
      </c>
      <c r="N22" s="150">
        <f>'2011 полн'!BD16</f>
        <v>413.717</v>
      </c>
      <c r="O22" s="150">
        <f>J22+K22+L22+M22+N22</f>
        <v>25927.691000000006</v>
      </c>
      <c r="P22" s="146">
        <f>H22+I22-O22</f>
        <v>3472.5289999999914</v>
      </c>
      <c r="Q22" s="146">
        <f>'2011 полн'!BG16</f>
        <v>-3394.0499999999993</v>
      </c>
    </row>
    <row r="23" spans="1:17" ht="12.75">
      <c r="A23" s="73" t="s">
        <v>52</v>
      </c>
      <c r="B23" s="147">
        <f>'2011 полн'!B17</f>
        <v>3684.8</v>
      </c>
      <c r="C23" s="24">
        <f t="shared" si="0"/>
        <v>37584.96</v>
      </c>
      <c r="D23" s="148">
        <f>'2011 полн'!D17</f>
        <v>166.974</v>
      </c>
      <c r="E23" s="141">
        <f>'2011 полн'!U17</f>
        <v>31882.07</v>
      </c>
      <c r="F23" s="141">
        <f>'2011 полн'!V17</f>
        <v>0</v>
      </c>
      <c r="G23" s="149">
        <f>'2011 полн'!AF17</f>
        <v>33153.87</v>
      </c>
      <c r="H23" s="149">
        <f>'2011 полн'!AG17</f>
        <v>33320.844000000005</v>
      </c>
      <c r="I23" s="149">
        <f>'2011 полн'!AJ17</f>
        <v>746.126</v>
      </c>
      <c r="J23" s="149">
        <f>'2011 полн'!AK17</f>
        <v>2468.8160000000003</v>
      </c>
      <c r="K23" s="141">
        <f>'2011 полн'!AL17</f>
        <v>736.96</v>
      </c>
      <c r="L23" s="141">
        <f>'2011 полн'!AM17+'2011 полн'!AN17+'2011 полн'!AO17+'2011 полн'!AP17+'2011 полн'!AQ17+'2011 полн'!AR17+'2011 полн'!AS17+'2011 полн'!AT17+'2011 полн'!AX17</f>
        <v>23099.308000000005</v>
      </c>
      <c r="M23" s="142">
        <f>'2011 полн'!AU17+'2011 полн'!AV17+'2011 полн'!AW17</f>
        <v>449</v>
      </c>
      <c r="N23" s="150">
        <f>'2011 полн'!BD17</f>
        <v>413.717</v>
      </c>
      <c r="O23" s="150">
        <f>J23+K23+L23+M23+N23</f>
        <v>27167.801000000007</v>
      </c>
      <c r="P23" s="146">
        <f>H23+I23-O23</f>
        <v>6899.168999999994</v>
      </c>
      <c r="Q23" s="146">
        <f>'2011 полн'!BG17</f>
        <v>1271.800000000003</v>
      </c>
    </row>
    <row r="24" spans="1:17" ht="12.75">
      <c r="A24" s="73" t="s">
        <v>53</v>
      </c>
      <c r="B24" s="147">
        <f>'2011 полн'!B18</f>
        <v>3684.8</v>
      </c>
      <c r="C24" s="24">
        <f t="shared" si="0"/>
        <v>37584.96</v>
      </c>
      <c r="D24" s="148">
        <f>'2011 полн'!D18</f>
        <v>166.974</v>
      </c>
      <c r="E24" s="141">
        <f>'2011 полн'!U18</f>
        <v>32312.64</v>
      </c>
      <c r="F24" s="141">
        <f>'2011 полн'!V18</f>
        <v>0</v>
      </c>
      <c r="G24" s="149">
        <f>'2011 полн'!AF18</f>
        <v>37464.32</v>
      </c>
      <c r="H24" s="149">
        <f>'2011 полн'!AG18</f>
        <v>37631.294</v>
      </c>
      <c r="I24" s="149">
        <f>'2011 полн'!AJ18</f>
        <v>746.126</v>
      </c>
      <c r="J24" s="149">
        <f>'2011 полн'!AK18</f>
        <v>2468.8160000000003</v>
      </c>
      <c r="K24" s="141">
        <f>'2011 полн'!AL18</f>
        <v>736.96</v>
      </c>
      <c r="L24" s="141">
        <f>'2011 полн'!AM18+'2011 полн'!AN18+'2011 полн'!AO18+'2011 полн'!AP18+'2011 полн'!AQ18+'2011 полн'!AR18+'2011 полн'!AS18+'2011 полн'!AT18+'2011 полн'!AX18</f>
        <v>22739.878000000004</v>
      </c>
      <c r="M24" s="142">
        <f>'2011 полн'!AU18+'2011 полн'!AV18+'2011 полн'!AW18</f>
        <v>3583</v>
      </c>
      <c r="N24" s="150">
        <f>'2011 полн'!BD18</f>
        <v>413.717</v>
      </c>
      <c r="O24" s="150">
        <f>J24+K24+L24+M24+N24</f>
        <v>29942.371000000006</v>
      </c>
      <c r="P24" s="146">
        <f>H24+I24-O24</f>
        <v>8435.048999999992</v>
      </c>
      <c r="Q24" s="146">
        <f>'2011 полн'!BG18</f>
        <v>5151.68</v>
      </c>
    </row>
    <row r="25" spans="1:17" ht="12.75">
      <c r="A25" s="73" t="s">
        <v>41</v>
      </c>
      <c r="B25" s="147">
        <f>'2011 полн'!B19</f>
        <v>3684.8</v>
      </c>
      <c r="C25" s="24">
        <f t="shared" si="0"/>
        <v>37584.96</v>
      </c>
      <c r="D25" s="148">
        <f>'2011 полн'!D19</f>
        <v>166.974</v>
      </c>
      <c r="E25" s="141">
        <f>'2011 полн'!U19</f>
        <v>32346.76</v>
      </c>
      <c r="F25" s="141">
        <f>'2011 полн'!V19</f>
        <v>0</v>
      </c>
      <c r="G25" s="149">
        <f>'2011 полн'!AF19</f>
        <v>32008.36</v>
      </c>
      <c r="H25" s="149">
        <f>'2011 полн'!AG19</f>
        <v>32175.334</v>
      </c>
      <c r="I25" s="149">
        <f>'2011 полн'!AJ19</f>
        <v>746.126</v>
      </c>
      <c r="J25" s="149">
        <f>'2011 полн'!AK19</f>
        <v>2468.8160000000003</v>
      </c>
      <c r="K25" s="141">
        <f>'2011 полн'!AL19</f>
        <v>736.96</v>
      </c>
      <c r="L25" s="141">
        <f>'2011 полн'!AM19+'2011 полн'!AN19+'2011 полн'!AO19+'2011 полн'!AP19+'2011 полн'!AQ19+'2011 полн'!AR19+'2011 полн'!AS19+'2011 полн'!AT19+'2011 полн'!AX19</f>
        <v>29391.333000000002</v>
      </c>
      <c r="M25" s="142">
        <f>'2011 полн'!AU19+'2011 полн'!AV19+'2011 полн'!AW19</f>
        <v>4560</v>
      </c>
      <c r="N25" s="150">
        <f>'2011 полн'!BD19</f>
        <v>413.717</v>
      </c>
      <c r="O25" s="150">
        <f>J25+K25+L25+M25+N25</f>
        <v>37570.826</v>
      </c>
      <c r="P25" s="146">
        <f>H25+I25-O25</f>
        <v>-4649.366000000002</v>
      </c>
      <c r="Q25" s="146">
        <f>'2011 полн'!BG19</f>
        <v>-338.3999999999978</v>
      </c>
    </row>
    <row r="26" spans="1:17" ht="12.75">
      <c r="A26" s="73" t="s">
        <v>42</v>
      </c>
      <c r="B26" s="147">
        <f>'2011 полн'!B20</f>
        <v>3683.5</v>
      </c>
      <c r="C26" s="24">
        <f t="shared" si="0"/>
        <v>37571.7</v>
      </c>
      <c r="D26" s="148">
        <f>'2011 полн'!D20</f>
        <v>166.974</v>
      </c>
      <c r="E26" s="141">
        <f>'2011 полн'!U20</f>
        <v>32347.680000000004</v>
      </c>
      <c r="F26" s="141">
        <f>'2011 полн'!V20</f>
        <v>0</v>
      </c>
      <c r="G26" s="149">
        <f>'2011 полн'!AF20</f>
        <v>33456.96</v>
      </c>
      <c r="H26" s="149">
        <f>'2011 полн'!AG20</f>
        <v>33623.934</v>
      </c>
      <c r="I26" s="149">
        <f>'2011 полн'!AJ20</f>
        <v>746.126</v>
      </c>
      <c r="J26" s="149">
        <f>'2011 полн'!AK20</f>
        <v>2467.945</v>
      </c>
      <c r="K26" s="141">
        <f>'2011 полн'!AL20</f>
        <v>736.7</v>
      </c>
      <c r="L26" s="141">
        <f>'2011 полн'!AM20+'2011 полн'!AN20+'2011 полн'!AO20+'2011 полн'!AP20+'2011 полн'!AQ20+'2011 полн'!AR20+'2011 полн'!AS20+'2011 полн'!AT20+'2011 полн'!AX20</f>
        <v>26512.785</v>
      </c>
      <c r="M26" s="142">
        <f>'2011 полн'!AU20+'2011 полн'!AV20+'2011 полн'!AW20</f>
        <v>7507</v>
      </c>
      <c r="N26" s="150">
        <f>'2011 полн'!BD20</f>
        <v>413.717</v>
      </c>
      <c r="O26" s="150">
        <f>J26+K26+L26+M26+N26</f>
        <v>37638.147</v>
      </c>
      <c r="P26" s="146">
        <f>H26+I26-O26</f>
        <v>-3268.0869999999995</v>
      </c>
      <c r="Q26" s="146">
        <f>'2011 полн'!BG20</f>
        <v>1109.2799999999952</v>
      </c>
    </row>
    <row r="27" spans="1:17" ht="13.5" thickBot="1">
      <c r="A27" s="203" t="s">
        <v>43</v>
      </c>
      <c r="B27" s="220">
        <f>'2011 полн'!B21</f>
        <v>3683.5</v>
      </c>
      <c r="C27" s="24">
        <f t="shared" si="0"/>
        <v>37571.7</v>
      </c>
      <c r="D27" s="221">
        <f>'2011 полн'!D21</f>
        <v>166.974</v>
      </c>
      <c r="E27" s="222">
        <f>'2011 полн'!U21</f>
        <v>52611.8</v>
      </c>
      <c r="F27" s="222">
        <f>'2011 полн'!V21</f>
        <v>0</v>
      </c>
      <c r="G27" s="223">
        <f>'2011 полн'!AF21</f>
        <v>32213.560000000005</v>
      </c>
      <c r="H27" s="223">
        <f>'2011 полн'!AG21</f>
        <v>32380.534000000003</v>
      </c>
      <c r="I27" s="223">
        <f>'2011 полн'!AJ21</f>
        <v>6615.1329025</v>
      </c>
      <c r="J27" s="223">
        <f>'2011 полн'!AK21</f>
        <v>2467.945</v>
      </c>
      <c r="K27" s="222">
        <f>'2011 полн'!AL21</f>
        <v>736.7</v>
      </c>
      <c r="L27" s="222">
        <f>'2011 полн'!AM21+'2011 полн'!AN21+'2011 полн'!AO21+'2011 полн'!AP21+'2011 полн'!AQ21+'2011 полн'!AR21+'2011 полн'!AS21+'2011 полн'!AT21+'2011 полн'!AX21</f>
        <v>27309.445</v>
      </c>
      <c r="M27" s="224">
        <f>'2011 полн'!AU21+'2011 полн'!AV21+'2011 полн'!AW21</f>
        <v>7348</v>
      </c>
      <c r="N27" s="225">
        <f>'2011 полн'!BD21</f>
        <v>664.120225625</v>
      </c>
      <c r="O27" s="150">
        <f>J27+K27+L27+M27+N27</f>
        <v>38526.210225625</v>
      </c>
      <c r="P27" s="146">
        <f>H27+I27-O27</f>
        <v>469.456676875001</v>
      </c>
      <c r="Q27" s="226">
        <f>'2011 полн'!BG21</f>
        <v>-20398.239999999998</v>
      </c>
    </row>
    <row r="28" spans="1:19" s="15" customFormat="1" ht="13.5" thickBot="1">
      <c r="A28" s="26" t="s">
        <v>5</v>
      </c>
      <c r="B28" s="27"/>
      <c r="C28" s="30">
        <f aca="true" t="shared" si="1" ref="C28:P28">SUM(C16:C27)</f>
        <v>450993.00000000006</v>
      </c>
      <c r="D28" s="30">
        <f t="shared" si="1"/>
        <v>2003.6879999999994</v>
      </c>
      <c r="E28" s="30">
        <f t="shared" si="1"/>
        <v>404625.58</v>
      </c>
      <c r="F28" s="30">
        <f t="shared" si="1"/>
        <v>0</v>
      </c>
      <c r="G28" s="30">
        <f t="shared" si="1"/>
        <v>366669.46</v>
      </c>
      <c r="H28" s="30">
        <f t="shared" si="1"/>
        <v>368673.148</v>
      </c>
      <c r="I28" s="30">
        <f t="shared" si="1"/>
        <v>14822.5189025</v>
      </c>
      <c r="J28" s="30">
        <f t="shared" si="1"/>
        <v>29624.05</v>
      </c>
      <c r="K28" s="30">
        <f t="shared" si="1"/>
        <v>8843</v>
      </c>
      <c r="L28" s="30">
        <f t="shared" si="1"/>
        <v>322203.075</v>
      </c>
      <c r="M28" s="30">
        <f t="shared" si="1"/>
        <v>42399</v>
      </c>
      <c r="N28" s="30">
        <f t="shared" si="1"/>
        <v>5215.007225625</v>
      </c>
      <c r="O28" s="30">
        <f t="shared" si="1"/>
        <v>408284.132225625</v>
      </c>
      <c r="P28" s="30">
        <f t="shared" si="1"/>
        <v>-24788.465323125038</v>
      </c>
      <c r="Q28" s="30">
        <f>SUM(Q16:Q27)</f>
        <v>-37956.119999999995</v>
      </c>
      <c r="R28" s="32"/>
      <c r="S28" s="32"/>
    </row>
    <row r="29" spans="1:17" ht="13.5" thickBot="1">
      <c r="A29" s="295" t="s">
        <v>68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133"/>
      <c r="P29" s="134"/>
      <c r="Q29" s="134"/>
    </row>
    <row r="30" spans="1:19" s="15" customFormat="1" ht="13.5" thickBot="1">
      <c r="A30" s="34" t="s">
        <v>54</v>
      </c>
      <c r="B30" s="35"/>
      <c r="C30" s="135">
        <f aca="true" t="shared" si="2" ref="C30:Q30">C28+C14</f>
        <v>1311536.5200000003</v>
      </c>
      <c r="D30" s="135">
        <f t="shared" si="2"/>
        <v>101570.28190265005</v>
      </c>
      <c r="E30" s="135">
        <f t="shared" si="2"/>
        <v>1052089.31</v>
      </c>
      <c r="F30" s="135">
        <f t="shared" si="2"/>
        <v>109544.64000000001</v>
      </c>
      <c r="G30" s="135">
        <f>G28+G14</f>
        <v>958092.5</v>
      </c>
      <c r="H30" s="135">
        <f t="shared" si="2"/>
        <v>1169207.42190265</v>
      </c>
      <c r="I30" s="135">
        <f t="shared" si="2"/>
        <v>34395.1339825</v>
      </c>
      <c r="J30" s="135">
        <f t="shared" si="2"/>
        <v>88430.50600000001</v>
      </c>
      <c r="K30" s="135">
        <f t="shared" si="2"/>
        <v>28548.0068264</v>
      </c>
      <c r="L30" s="135">
        <f t="shared" si="2"/>
        <v>829595.4165142119</v>
      </c>
      <c r="M30" s="135">
        <f t="shared" si="2"/>
        <v>304159.35199999996</v>
      </c>
      <c r="N30" s="135">
        <f t="shared" si="2"/>
        <v>14044.080956828398</v>
      </c>
      <c r="O30" s="135">
        <f t="shared" si="2"/>
        <v>1264777.3622974404</v>
      </c>
      <c r="P30" s="135">
        <f t="shared" si="2"/>
        <v>-61174.80641229023</v>
      </c>
      <c r="Q30" s="135">
        <f t="shared" si="2"/>
        <v>-93996.81000000003</v>
      </c>
      <c r="R30" s="37"/>
      <c r="S30" s="32"/>
    </row>
    <row r="31" spans="1:19" ht="12.75">
      <c r="A31" s="4" t="s">
        <v>121</v>
      </c>
      <c r="B31" s="136"/>
      <c r="C31" s="33"/>
      <c r="D31" s="137"/>
      <c r="E31" s="138"/>
      <c r="F31" s="139"/>
      <c r="G31" s="140"/>
      <c r="H31" s="139"/>
      <c r="I31" s="163"/>
      <c r="J31" s="140"/>
      <c r="K31" s="141"/>
      <c r="L31" s="141"/>
      <c r="M31" s="142"/>
      <c r="N31" s="144"/>
      <c r="O31" s="145"/>
      <c r="P31" s="146"/>
      <c r="Q31" s="146"/>
      <c r="R31" s="61"/>
      <c r="S31" s="61"/>
    </row>
    <row r="32" spans="1:19" ht="12.75">
      <c r="A32" s="73" t="s">
        <v>45</v>
      </c>
      <c r="B32" s="147">
        <f>'2011 полн'!B26</f>
        <v>3683.5</v>
      </c>
      <c r="C32" s="24">
        <f>10.2*B32</f>
        <v>37571.7</v>
      </c>
      <c r="D32" s="148">
        <f>'2011 полн'!D26</f>
        <v>166.974</v>
      </c>
      <c r="E32" s="141">
        <f>'2011 полн'!U26</f>
        <v>37404.71000000001</v>
      </c>
      <c r="F32" s="141">
        <f>'2011 полн'!V26</f>
        <v>0</v>
      </c>
      <c r="G32" s="149">
        <f>'2011 полн'!AF26</f>
        <v>51651.700000000004</v>
      </c>
      <c r="H32" s="149">
        <f>'2011 полн'!AG26</f>
        <v>51818.674000000006</v>
      </c>
      <c r="I32" s="149">
        <f>'2011 полн'!AJ26</f>
        <v>1045.6350000000002</v>
      </c>
      <c r="J32" s="141">
        <f>'2011 полн'!AK26</f>
        <v>3683.5</v>
      </c>
      <c r="K32" s="141">
        <f>'2011 полн'!AL26</f>
        <v>736.7</v>
      </c>
      <c r="L32" s="141">
        <f>'2011 полн'!AM26+'2011 полн'!AN26+'2011 полн'!AO26+'2011 полн'!AP26+'2011 полн'!AQ26+'2011 полн'!AR26+'2011 полн'!AS26+'2011 полн'!AT26</f>
        <v>26406.445</v>
      </c>
      <c r="M32" s="142">
        <f>'2011 полн'!AU26+'2011 полн'!AV26+'2011 полн'!AW26+'2011 полн'!AX26</f>
        <v>2932.1059999999998</v>
      </c>
      <c r="N32" s="150">
        <f>'2011 полн'!BD26</f>
        <v>491.517</v>
      </c>
      <c r="O32" s="150">
        <f>'2011 полн'!BE26</f>
        <v>34250.268</v>
      </c>
      <c r="P32" s="146">
        <f>H32+I32-O32</f>
        <v>18614.041000000012</v>
      </c>
      <c r="Q32" s="146">
        <f>I32+J32-P32</f>
        <v>-13884.906000000012</v>
      </c>
      <c r="R32" s="61"/>
      <c r="S32" s="61"/>
    </row>
    <row r="33" spans="1:19" ht="12.75">
      <c r="A33" s="73" t="s">
        <v>46</v>
      </c>
      <c r="B33" s="147">
        <f>'2011 полн'!B27</f>
        <v>3683.5</v>
      </c>
      <c r="C33" s="24">
        <f aca="true" t="shared" si="3" ref="C33:C43">10.2*B33</f>
        <v>37571.7</v>
      </c>
      <c r="D33" s="148">
        <f>'2011 полн'!D27</f>
        <v>166.974</v>
      </c>
      <c r="E33" s="141">
        <f>'2011 полн'!U27</f>
        <v>37404.71</v>
      </c>
      <c r="F33" s="141">
        <f>'2011 полн'!V27</f>
        <v>0</v>
      </c>
      <c r="G33" s="149">
        <f>'2011 полн'!AF27</f>
        <v>50795.86</v>
      </c>
      <c r="H33" s="149">
        <f>'2011 полн'!AG27</f>
        <v>50962.834</v>
      </c>
      <c r="I33" s="149">
        <f>'2011 полн'!AJ27</f>
        <v>1045.6350000000002</v>
      </c>
      <c r="J33" s="141">
        <f>'2011 полн'!AK27</f>
        <v>3683.5</v>
      </c>
      <c r="K33" s="141">
        <f>'2011 полн'!AL27</f>
        <v>736.7</v>
      </c>
      <c r="L33" s="141">
        <f>'2011 полн'!AM27+'2011 полн'!AN27+'2011 полн'!AO27+'2011 полн'!AP27+'2011 полн'!AQ27+'2011 полн'!AR27+'2011 полн'!AS27+'2011 полн'!AT27</f>
        <v>26406.445</v>
      </c>
      <c r="M33" s="142">
        <f>'2011 полн'!AU27+'2011 полн'!AV27+'2011 полн'!AW27+'2011 полн'!AX27</f>
        <v>3470.1059999999998</v>
      </c>
      <c r="N33" s="150">
        <f>'2011 полн'!BD27</f>
        <v>491.517</v>
      </c>
      <c r="O33" s="150">
        <f>'2011 полн'!BE27</f>
        <v>34788.268</v>
      </c>
      <c r="P33" s="146">
        <f>H33+I33-O33</f>
        <v>17220.20100000001</v>
      </c>
      <c r="Q33" s="146">
        <f>I33+J33-P33</f>
        <v>-12491.066000000008</v>
      </c>
      <c r="R33" s="61"/>
      <c r="S33" s="61"/>
    </row>
    <row r="34" spans="1:19" ht="12.75">
      <c r="A34" s="73" t="s">
        <v>47</v>
      </c>
      <c r="B34" s="147">
        <f>'2011 полн'!B28</f>
        <v>3683.5</v>
      </c>
      <c r="C34" s="24">
        <f t="shared" si="3"/>
        <v>37571.7</v>
      </c>
      <c r="D34" s="148">
        <f>'2011 полн'!D28</f>
        <v>166.974</v>
      </c>
      <c r="E34" s="141">
        <f>'2011 полн'!U28</f>
        <v>37407.72</v>
      </c>
      <c r="F34" s="141">
        <f>'2011 полн'!V28</f>
        <v>0</v>
      </c>
      <c r="G34" s="149">
        <f>'2011 полн'!AF28</f>
        <v>38721.45</v>
      </c>
      <c r="H34" s="149">
        <f>'2011 полн'!AG28</f>
        <v>38888.424</v>
      </c>
      <c r="I34" s="149">
        <f>'2011 полн'!AJ28</f>
        <v>3044.29</v>
      </c>
      <c r="J34" s="141">
        <f>'2011 полн'!AK28</f>
        <v>3683.5</v>
      </c>
      <c r="K34" s="141">
        <f>'2011 полн'!AL28</f>
        <v>736.7</v>
      </c>
      <c r="L34" s="141">
        <f>'2011 полн'!AM28+'2011 полн'!AN28+'2011 полн'!AO28+'2011 полн'!AP28+'2011 полн'!AQ28+'2011 полн'!AR28+'2011 полн'!AS28+'2011 полн'!AT28</f>
        <v>26406.445</v>
      </c>
      <c r="M34" s="142">
        <f>'2011 полн'!AU28+'2011 полн'!AV28+'2011 полн'!AW28+'2011 полн'!AX28</f>
        <v>1499.526</v>
      </c>
      <c r="N34" s="150">
        <f>'2011 полн'!BD28</f>
        <v>844.99</v>
      </c>
      <c r="O34" s="150">
        <f>'2011 полн'!BE28</f>
        <v>33171.161</v>
      </c>
      <c r="P34" s="146">
        <f>H34+I34-O34</f>
        <v>8761.553</v>
      </c>
      <c r="Q34" s="146">
        <f>I34+J34-P34</f>
        <v>-2033.763</v>
      </c>
      <c r="R34" s="61"/>
      <c r="S34" s="61"/>
    </row>
    <row r="35" spans="1:19" ht="12.75">
      <c r="A35" s="73" t="s">
        <v>48</v>
      </c>
      <c r="B35" s="147">
        <f>'2011 полн'!B29</f>
        <v>3683.5</v>
      </c>
      <c r="C35" s="24">
        <f t="shared" si="3"/>
        <v>37571.7</v>
      </c>
      <c r="D35" s="148">
        <f>'2011 полн'!D29</f>
        <v>166.974</v>
      </c>
      <c r="E35" s="141">
        <f>'2011 полн'!U29</f>
        <v>37404.71</v>
      </c>
      <c r="F35" s="141">
        <f>'2011 полн'!V29</f>
        <v>0</v>
      </c>
      <c r="G35" s="149">
        <f>'2011 полн'!AF29</f>
        <v>39063.83</v>
      </c>
      <c r="H35" s="149">
        <f>'2011 полн'!AG29</f>
        <v>39230.804000000004</v>
      </c>
      <c r="I35" s="149">
        <f>'2011 полн'!AJ29</f>
        <v>1711.8500000000001</v>
      </c>
      <c r="J35" s="141">
        <f>'2011 полн'!AK29</f>
        <v>3683.5</v>
      </c>
      <c r="K35" s="141">
        <f>'2011 полн'!AL29</f>
        <v>736.7</v>
      </c>
      <c r="L35" s="141">
        <f>'2011 полн'!AM29+'2011 полн'!AN29+'2011 полн'!AO29+'2011 полн'!AP29+'2011 полн'!AQ29+'2011 полн'!AR29+'2011 полн'!AS29+'2011 полн'!AT29</f>
        <v>22170.42</v>
      </c>
      <c r="M35" s="142">
        <f>'2011 полн'!AU29+'2011 полн'!AV29+'2011 полн'!AW29+'2011 полн'!AX29</f>
        <v>555.106</v>
      </c>
      <c r="N35" s="150">
        <f>'2011 полн'!BD29</f>
        <v>794.99</v>
      </c>
      <c r="O35" s="150">
        <f>'2011 полн'!BE29</f>
        <v>27940.716</v>
      </c>
      <c r="P35" s="146">
        <f>H35+I35-O35</f>
        <v>13001.938000000002</v>
      </c>
      <c r="Q35" s="146">
        <f>I35+J35-P35</f>
        <v>-7606.588000000002</v>
      </c>
      <c r="R35" s="61"/>
      <c r="S35" s="61"/>
    </row>
    <row r="36" spans="1:19" ht="12.75">
      <c r="A36" s="73" t="s">
        <v>49</v>
      </c>
      <c r="B36" s="147">
        <f>'2011 полн'!B30</f>
        <v>3683.5</v>
      </c>
      <c r="C36" s="24">
        <f t="shared" si="3"/>
        <v>37571.7</v>
      </c>
      <c r="D36" s="148">
        <f>'2011 полн'!D30</f>
        <v>166.974</v>
      </c>
      <c r="E36" s="141">
        <f>'2011 полн'!U30</f>
        <v>37404.71000000001</v>
      </c>
      <c r="F36" s="141">
        <f>'2011 полн'!V30</f>
        <v>0</v>
      </c>
      <c r="G36" s="149">
        <f>'2011 полн'!AF30</f>
        <v>34630.89</v>
      </c>
      <c r="H36" s="149">
        <f>'2011 полн'!AG30</f>
        <v>34797.864</v>
      </c>
      <c r="I36" s="149">
        <f>'2011 полн'!AJ30</f>
        <v>1711.8500000000001</v>
      </c>
      <c r="J36" s="141">
        <f>'2011 полн'!AK30</f>
        <v>3683.5</v>
      </c>
      <c r="K36" s="141">
        <f>'2011 полн'!AL30</f>
        <v>736.7</v>
      </c>
      <c r="L36" s="141">
        <f>'2011 полн'!AM30+'2011 полн'!AN30+'2011 полн'!AO30+'2011 полн'!AP30+'2011 полн'!AQ30+'2011 полн'!AR30+'2011 полн'!AS30+'2011 полн'!AT30</f>
        <v>22170.42</v>
      </c>
      <c r="M36" s="142">
        <f>'2011 полн'!AU30+'2011 полн'!AV30+'2011 полн'!AW30+'2011 полн'!AX30</f>
        <v>55.106</v>
      </c>
      <c r="N36" s="150">
        <f>'2011 полн'!BD30</f>
        <v>794.99</v>
      </c>
      <c r="O36" s="150">
        <f>'2011 полн'!BE30</f>
        <v>27440.716</v>
      </c>
      <c r="P36" s="146">
        <f>H36+I36-O36</f>
        <v>9068.998</v>
      </c>
      <c r="Q36" s="146">
        <f>I36+J36-P36</f>
        <v>-3673.6479999999992</v>
      </c>
      <c r="R36" s="61"/>
      <c r="S36" s="61"/>
    </row>
    <row r="37" spans="1:19" ht="12.75">
      <c r="A37" s="73" t="s">
        <v>50</v>
      </c>
      <c r="B37" s="147">
        <f>'2011 полн'!B31</f>
        <v>3683.5</v>
      </c>
      <c r="C37" s="24">
        <f t="shared" si="3"/>
        <v>37571.7</v>
      </c>
      <c r="D37" s="148">
        <f>'2011 полн'!D31</f>
        <v>166.974</v>
      </c>
      <c r="E37" s="141">
        <f>'2011 полн'!U31</f>
        <v>37404.71000000001</v>
      </c>
      <c r="F37" s="141">
        <f>'2011 полн'!V31</f>
        <v>0</v>
      </c>
      <c r="G37" s="149">
        <f>'2011 полн'!AF31</f>
        <v>31650.2</v>
      </c>
      <c r="H37" s="149">
        <f>'2011 полн'!AG31</f>
        <v>31817.174</v>
      </c>
      <c r="I37" s="149">
        <f>'2011 полн'!AJ31</f>
        <v>1711.8500000000001</v>
      </c>
      <c r="J37" s="141">
        <f>'2011 полн'!AK31</f>
        <v>3683.5</v>
      </c>
      <c r="K37" s="141">
        <f>'2011 полн'!AL31</f>
        <v>736.7</v>
      </c>
      <c r="L37" s="141">
        <f>'2011 полн'!AM31+'2011 полн'!AN31+'2011 полн'!AO31+'2011 полн'!AP31+'2011 полн'!AQ31+'2011 полн'!AR31+'2011 полн'!AS31+'2011 полн'!AT31</f>
        <v>22170.42</v>
      </c>
      <c r="M37" s="142">
        <f>'2011 полн'!AU31+'2011 полн'!AV31+'2011 полн'!AW31+'2011 полн'!AX31</f>
        <v>3341.356</v>
      </c>
      <c r="N37" s="150">
        <f>'2011 полн'!BD31</f>
        <v>794.99</v>
      </c>
      <c r="O37" s="150">
        <f>'2011 полн'!BE31</f>
        <v>30726.966</v>
      </c>
      <c r="P37" s="146">
        <f>H37+I37-O37</f>
        <v>2802.0579999999973</v>
      </c>
      <c r="Q37" s="146">
        <f>I37+J37-P37</f>
        <v>2593.292000000003</v>
      </c>
      <c r="R37" s="61"/>
      <c r="S37" s="61"/>
    </row>
    <row r="38" spans="1:19" ht="12.75">
      <c r="A38" s="73" t="s">
        <v>51</v>
      </c>
      <c r="B38" s="147">
        <f>'2011 полн'!B32</f>
        <v>3683.5</v>
      </c>
      <c r="C38" s="24">
        <f t="shared" si="3"/>
        <v>37571.7</v>
      </c>
      <c r="D38" s="148">
        <f>'2011 полн'!D32</f>
        <v>223.45050000000003</v>
      </c>
      <c r="E38" s="141">
        <f>'2011 полн'!U32</f>
        <v>42782.66</v>
      </c>
      <c r="F38" s="141">
        <f>'2011 полн'!V32</f>
        <v>0</v>
      </c>
      <c r="G38" s="149">
        <f>'2011 полн'!AF32</f>
        <v>39962.909999999996</v>
      </c>
      <c r="H38" s="149">
        <f>'2011 полн'!AG32</f>
        <v>40186.360499999995</v>
      </c>
      <c r="I38" s="149">
        <f>'2011 полн'!AJ32</f>
        <v>1711.8500000000001</v>
      </c>
      <c r="J38" s="141">
        <f>'2011 полн'!AK32</f>
        <v>3683.5</v>
      </c>
      <c r="K38" s="141">
        <f>'2011 полн'!AL32</f>
        <v>736.7</v>
      </c>
      <c r="L38" s="141">
        <f>'2011 полн'!AM32+'2011 полн'!AN32+'2011 полн'!AO32+'2011 полн'!AP32+'2011 полн'!AQ32+'2011 полн'!AR32+'2011 полн'!AS32+'2011 полн'!AT32</f>
        <v>22170.42</v>
      </c>
      <c r="M38" s="142">
        <f>'2011 полн'!AU32+'2011 полн'!AV32+'2011 полн'!AW32+'2011 полн'!AX32</f>
        <v>5211.11</v>
      </c>
      <c r="N38" s="150">
        <f>'2011 полн'!BD32</f>
        <v>794.99</v>
      </c>
      <c r="O38" s="150">
        <f>'2011 полн'!BE32</f>
        <v>32596.72</v>
      </c>
      <c r="P38" s="146">
        <f>H38+I38-O38</f>
        <v>9301.490499999993</v>
      </c>
      <c r="Q38" s="146">
        <f>I38+J38-P38</f>
        <v>-3906.1404999999922</v>
      </c>
      <c r="R38" s="61"/>
      <c r="S38" s="61"/>
    </row>
    <row r="39" spans="1:19" ht="12.75">
      <c r="A39" s="73" t="s">
        <v>52</v>
      </c>
      <c r="B39" s="147">
        <f>'2011 полн'!B33</f>
        <v>3683.5</v>
      </c>
      <c r="C39" s="24">
        <f t="shared" si="3"/>
        <v>37571.7</v>
      </c>
      <c r="D39" s="148">
        <f>'2011 полн'!D33</f>
        <v>0</v>
      </c>
      <c r="E39" s="141">
        <f>'2011 полн'!U33</f>
        <v>42782.64</v>
      </c>
      <c r="F39" s="141">
        <f>'2011 полн'!V33</f>
        <v>0</v>
      </c>
      <c r="G39" s="149">
        <f>'2011 полн'!AF33</f>
        <v>49345.700000000004</v>
      </c>
      <c r="H39" s="149">
        <f>'2011 полн'!AG33</f>
        <v>49345.700000000004</v>
      </c>
      <c r="I39" s="149">
        <f>'2011 полн'!AJ33</f>
        <v>2621.86</v>
      </c>
      <c r="J39" s="141">
        <f>'2011 полн'!AK33</f>
        <v>3683.5</v>
      </c>
      <c r="K39" s="141">
        <f>'2011 полн'!AL33</f>
        <v>736.7</v>
      </c>
      <c r="L39" s="141">
        <f>'2011 полн'!AM33+'2011 полн'!AN33+'2011 полн'!AO33+'2011 полн'!AP33+'2011 полн'!AQ33+'2011 полн'!AR33+'2011 полн'!AS33+'2011 полн'!AT33</f>
        <v>22170.42</v>
      </c>
      <c r="M39" s="142">
        <f>'2011 полн'!AU33+'2011 полн'!AV33+'2011 полн'!AW33+'2011 полн'!AX33</f>
        <v>17696.43</v>
      </c>
      <c r="N39" s="150">
        <f>'2011 полн'!BD33</f>
        <v>1244.99</v>
      </c>
      <c r="O39" s="150">
        <f>'2011 полн'!BE33</f>
        <v>45532.03999999999</v>
      </c>
      <c r="P39" s="146">
        <f>H39+I39-O39</f>
        <v>6435.520000000011</v>
      </c>
      <c r="Q39" s="146">
        <f>I39+J39-P39</f>
        <v>-130.16000000001077</v>
      </c>
      <c r="R39" s="61"/>
      <c r="S39" s="61"/>
    </row>
    <row r="40" spans="1:19" ht="12.75">
      <c r="A40" s="73" t="s">
        <v>53</v>
      </c>
      <c r="B40" s="147">
        <f>'2011 полн'!B34</f>
        <v>3683.5</v>
      </c>
      <c r="C40" s="24">
        <f t="shared" si="3"/>
        <v>37571.7</v>
      </c>
      <c r="D40" s="148">
        <f>'2011 полн'!D34</f>
        <v>0</v>
      </c>
      <c r="E40" s="141">
        <f>'2011 полн'!U34</f>
        <v>42782.66</v>
      </c>
      <c r="F40" s="141">
        <f>'2011 полн'!V34</f>
        <v>0</v>
      </c>
      <c r="G40" s="149">
        <f>'2011 полн'!AF34</f>
        <v>34190.26</v>
      </c>
      <c r="H40" s="149">
        <f>'2011 полн'!AG34</f>
        <v>34190.26</v>
      </c>
      <c r="I40" s="149">
        <f>'2011 полн'!AJ34</f>
        <v>2311.8500000000004</v>
      </c>
      <c r="J40" s="141">
        <f>'2011 полн'!AK34</f>
        <v>3683.5</v>
      </c>
      <c r="K40" s="141">
        <f>'2011 полн'!AL34</f>
        <v>736.7</v>
      </c>
      <c r="L40" s="141">
        <f>'2011 полн'!AM34+'2011 полн'!AN34+'2011 полн'!AO34+'2011 полн'!AP34+'2011 полн'!AQ34+'2011 полн'!AR34+'2011 полн'!AS34+'2011 полн'!AT34</f>
        <v>22170.42</v>
      </c>
      <c r="M40" s="142">
        <f>'2011 полн'!AU34+'2011 полн'!AV34+'2011 полн'!AW34+'2011 полн'!AX34</f>
        <v>92003.11</v>
      </c>
      <c r="N40" s="150">
        <f>'2011 полн'!BD34</f>
        <v>944.99</v>
      </c>
      <c r="O40" s="150">
        <f>'2011 полн'!BE34</f>
        <v>119538.72</v>
      </c>
      <c r="P40" s="146">
        <f>H40+I40-O40</f>
        <v>-83036.61</v>
      </c>
      <c r="Q40" s="146">
        <f>I40+J40-P40</f>
        <v>89031.96</v>
      </c>
      <c r="R40" s="61"/>
      <c r="S40" s="61"/>
    </row>
    <row r="41" spans="1:19" ht="12.75">
      <c r="A41" s="73" t="s">
        <v>41</v>
      </c>
      <c r="B41" s="147">
        <f>'2011 полн'!B35</f>
        <v>3683.5</v>
      </c>
      <c r="C41" s="24">
        <f t="shared" si="3"/>
        <v>37571.7</v>
      </c>
      <c r="D41" s="148">
        <f>'2011 полн'!D35</f>
        <v>0</v>
      </c>
      <c r="E41" s="141">
        <f>'2011 полн'!U35</f>
        <v>42841.42</v>
      </c>
      <c r="F41" s="141">
        <f>'2011 полн'!V35</f>
        <v>0</v>
      </c>
      <c r="G41" s="149">
        <f>'2011 полн'!AF35</f>
        <v>49034.90000000001</v>
      </c>
      <c r="H41" s="149">
        <f>'2011 полн'!AG35</f>
        <v>49034.90000000001</v>
      </c>
      <c r="I41" s="149">
        <f>'2011 полн'!AJ35</f>
        <v>2311.8500000000004</v>
      </c>
      <c r="J41" s="141">
        <f>'2011 полн'!AK35</f>
        <v>3683.5</v>
      </c>
      <c r="K41" s="141">
        <f>'2011 полн'!AL35</f>
        <v>736.7</v>
      </c>
      <c r="L41" s="141">
        <f>'2011 полн'!AM35+'2011 полн'!AN35+'2011 полн'!AO35+'2011 полн'!AP35+'2011 полн'!AQ35+'2011 полн'!AR35+'2011 полн'!AS35+'2011 полн'!AT35</f>
        <v>26406.445</v>
      </c>
      <c r="M41" s="142">
        <f>'2011 полн'!AU35+'2011 полн'!AV35+'2011 полн'!AW35+'2011 полн'!AX35</f>
        <v>1304.05</v>
      </c>
      <c r="N41" s="150">
        <f>'2011 полн'!BD35</f>
        <v>944.99</v>
      </c>
      <c r="O41" s="150">
        <f>'2011 полн'!BE35</f>
        <v>33075.685</v>
      </c>
      <c r="P41" s="146">
        <f>H41+I41-O41</f>
        <v>18271.06500000001</v>
      </c>
      <c r="Q41" s="146">
        <f>I41+J41-P41</f>
        <v>-12275.71500000001</v>
      </c>
      <c r="R41" s="61"/>
      <c r="S41" s="61"/>
    </row>
    <row r="42" spans="1:19" ht="12.75">
      <c r="A42" s="73" t="s">
        <v>42</v>
      </c>
      <c r="B42" s="147">
        <f>'2011 полн'!B36</f>
        <v>3683.5</v>
      </c>
      <c r="C42" s="24">
        <f t="shared" si="3"/>
        <v>37571.7</v>
      </c>
      <c r="D42" s="148">
        <f>'2011 полн'!D36</f>
        <v>0</v>
      </c>
      <c r="E42" s="141">
        <f>'2011 полн'!U36</f>
        <v>42841.41</v>
      </c>
      <c r="F42" s="141">
        <f>'2011 полн'!V36</f>
        <v>0</v>
      </c>
      <c r="G42" s="149">
        <f>'2011 полн'!AF36</f>
        <v>49506.189999999995</v>
      </c>
      <c r="H42" s="149">
        <f>'2011 полн'!AG36</f>
        <v>49506.189999999995</v>
      </c>
      <c r="I42" s="149">
        <f>'2011 полн'!AJ36</f>
        <v>2311.8500000000004</v>
      </c>
      <c r="J42" s="141">
        <f>'2011 полн'!AK36</f>
        <v>3683.5</v>
      </c>
      <c r="K42" s="141">
        <f>'2011 полн'!AL36</f>
        <v>736.7</v>
      </c>
      <c r="L42" s="141">
        <f>'2011 полн'!AM36+'2011 полн'!AN36+'2011 полн'!AO36+'2011 полн'!AP36+'2011 полн'!AQ36+'2011 полн'!AR36+'2011 полн'!AS36+'2011 полн'!AT36</f>
        <v>26406.445</v>
      </c>
      <c r="M42" s="142">
        <f>'2011 полн'!AU36+'2011 полн'!AV36+'2011 полн'!AW36+'2011 полн'!AX36</f>
        <v>122.94</v>
      </c>
      <c r="N42" s="150">
        <f>'2011 полн'!BD36</f>
        <v>944.99</v>
      </c>
      <c r="O42" s="150">
        <f>'2011 полн'!BE36</f>
        <v>31894.574999999997</v>
      </c>
      <c r="P42" s="146">
        <f>H42+I42-O42</f>
        <v>19923.464999999997</v>
      </c>
      <c r="Q42" s="146">
        <f>I42+J42-P42</f>
        <v>-13928.114999999996</v>
      </c>
      <c r="R42" s="61"/>
      <c r="S42" s="61"/>
    </row>
    <row r="43" spans="1:19" ht="13.5" thickBot="1">
      <c r="A43" s="73" t="s">
        <v>43</v>
      </c>
      <c r="B43" s="147">
        <f>'2011 полн'!B37</f>
        <v>3686.8</v>
      </c>
      <c r="C43" s="24">
        <f t="shared" si="3"/>
        <v>37605.36</v>
      </c>
      <c r="D43" s="148">
        <f>'2011 полн'!D37</f>
        <v>0</v>
      </c>
      <c r="E43" s="141">
        <f>'2011 полн'!U37</f>
        <v>42879.88</v>
      </c>
      <c r="F43" s="141">
        <f>'2011 полн'!V37</f>
        <v>0</v>
      </c>
      <c r="G43" s="149">
        <f>'2011 полн'!AF37</f>
        <v>52769.93000000001</v>
      </c>
      <c r="H43" s="149">
        <f>'2011 полн'!AG37</f>
        <v>52769.93000000001</v>
      </c>
      <c r="I43" s="149">
        <f>'2011 полн'!AJ37</f>
        <v>3093.186</v>
      </c>
      <c r="J43" s="141">
        <f>'2011 полн'!AK37</f>
        <v>3686.8</v>
      </c>
      <c r="K43" s="141">
        <f>'2011 полн'!AL37</f>
        <v>737.3600000000001</v>
      </c>
      <c r="L43" s="141">
        <f>'2011 полн'!AM37+'2011 полн'!AN37+'2011 полн'!AO37+'2011 полн'!AP37+'2011 полн'!AQ37+'2011 полн'!AR37+'2011 полн'!AS37+'2011 полн'!AT37</f>
        <v>26429.248</v>
      </c>
      <c r="M43" s="142">
        <f>'2011 полн'!AU37+'2011 полн'!AV37+'2011 полн'!AW37+'2011 полн'!AX37</f>
        <v>308.67</v>
      </c>
      <c r="N43" s="150">
        <f>'2011 полн'!BD37</f>
        <v>966.347</v>
      </c>
      <c r="O43" s="150">
        <f>'2011 полн'!BE37</f>
        <v>32128.424999999996</v>
      </c>
      <c r="P43" s="146">
        <f>H43+I43-O43</f>
        <v>23734.691000000013</v>
      </c>
      <c r="Q43" s="146">
        <f>I43+J43-P43</f>
        <v>-16954.705000000013</v>
      </c>
      <c r="R43" s="61"/>
      <c r="S43" s="61"/>
    </row>
    <row r="44" spans="1:19" s="15" customFormat="1" ht="13.5" thickBot="1">
      <c r="A44" s="26" t="s">
        <v>5</v>
      </c>
      <c r="B44" s="27"/>
      <c r="C44" s="30">
        <f aca="true" t="shared" si="4" ref="C44:P44">SUM(C32:C43)</f>
        <v>450894.06000000006</v>
      </c>
      <c r="D44" s="30">
        <f t="shared" si="4"/>
        <v>1225.2945</v>
      </c>
      <c r="E44" s="30">
        <f t="shared" si="4"/>
        <v>481341.94000000006</v>
      </c>
      <c r="F44" s="30">
        <f t="shared" si="4"/>
        <v>0</v>
      </c>
      <c r="G44" s="30">
        <f t="shared" si="4"/>
        <v>521323.82000000007</v>
      </c>
      <c r="H44" s="30">
        <f t="shared" si="4"/>
        <v>522549.1145</v>
      </c>
      <c r="I44" s="30">
        <f t="shared" si="4"/>
        <v>24633.556000000004</v>
      </c>
      <c r="J44" s="30">
        <f t="shared" si="4"/>
        <v>44205.3</v>
      </c>
      <c r="K44" s="30">
        <f t="shared" si="4"/>
        <v>8841.06</v>
      </c>
      <c r="L44" s="30">
        <f t="shared" si="4"/>
        <v>291483.99299999996</v>
      </c>
      <c r="M44" s="30">
        <f t="shared" si="4"/>
        <v>128499.61600000001</v>
      </c>
      <c r="N44" s="30">
        <f t="shared" si="4"/>
        <v>10054.291</v>
      </c>
      <c r="O44" s="30">
        <f t="shared" si="4"/>
        <v>483084.25999999995</v>
      </c>
      <c r="P44" s="30">
        <f t="shared" si="4"/>
        <v>64098.41050000004</v>
      </c>
      <c r="Q44" s="30">
        <f>SUM(Q32:Q43)</f>
        <v>4740.445499999962</v>
      </c>
      <c r="R44" s="32"/>
      <c r="S44" s="32"/>
    </row>
    <row r="45" spans="1:17" ht="13.5" thickBot="1">
      <c r="A45" s="295" t="s">
        <v>68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133"/>
      <c r="P45" s="134"/>
      <c r="Q45" s="134"/>
    </row>
    <row r="46" spans="1:19" s="15" customFormat="1" ht="13.5" thickBot="1">
      <c r="A46" s="34" t="s">
        <v>54</v>
      </c>
      <c r="B46" s="35"/>
      <c r="C46" s="135">
        <f aca="true" t="shared" si="5" ref="C46:P46">C44+C30</f>
        <v>1762430.5800000003</v>
      </c>
      <c r="D46" s="135">
        <f t="shared" si="5"/>
        <v>102795.57640265005</v>
      </c>
      <c r="E46" s="135">
        <f t="shared" si="5"/>
        <v>1533431.25</v>
      </c>
      <c r="F46" s="135">
        <f t="shared" si="5"/>
        <v>109544.64000000001</v>
      </c>
      <c r="G46" s="135">
        <f t="shared" si="5"/>
        <v>1479416.32</v>
      </c>
      <c r="H46" s="135">
        <f t="shared" si="5"/>
        <v>1691756.5364026502</v>
      </c>
      <c r="I46" s="135">
        <f t="shared" si="5"/>
        <v>59028.68998250001</v>
      </c>
      <c r="J46" s="135">
        <f t="shared" si="5"/>
        <v>132635.806</v>
      </c>
      <c r="K46" s="135">
        <f t="shared" si="5"/>
        <v>37389.0668264</v>
      </c>
      <c r="L46" s="135">
        <f t="shared" si="5"/>
        <v>1121079.4095142118</v>
      </c>
      <c r="M46" s="135">
        <f t="shared" si="5"/>
        <v>432658.968</v>
      </c>
      <c r="N46" s="135">
        <f t="shared" si="5"/>
        <v>24098.3719568284</v>
      </c>
      <c r="O46" s="135">
        <f t="shared" si="5"/>
        <v>1747861.6222974404</v>
      </c>
      <c r="P46" s="135">
        <f t="shared" si="5"/>
        <v>2923.604087709813</v>
      </c>
      <c r="Q46" s="135">
        <f>Q44+Q30</f>
        <v>-89256.36450000007</v>
      </c>
      <c r="R46" s="37"/>
      <c r="S46" s="32"/>
    </row>
    <row r="47" spans="1:19" s="15" customFormat="1" ht="12.75">
      <c r="A47" s="20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2"/>
    </row>
    <row r="48" spans="1:4" ht="12.75">
      <c r="A48" s="15" t="s">
        <v>69</v>
      </c>
      <c r="D48" s="151" t="s">
        <v>122</v>
      </c>
    </row>
    <row r="49" spans="1:4" ht="12.75">
      <c r="A49" s="71" t="s">
        <v>70</v>
      </c>
      <c r="B49" s="71" t="s">
        <v>71</v>
      </c>
      <c r="C49" s="152" t="s">
        <v>72</v>
      </c>
      <c r="D49" s="152"/>
    </row>
    <row r="50" spans="1:4" ht="12.75">
      <c r="A50" s="153">
        <v>356059.63</v>
      </c>
      <c r="B50" s="154">
        <v>305937.04</v>
      </c>
      <c r="C50" s="155">
        <f>A50-B50</f>
        <v>50122.590000000026</v>
      </c>
      <c r="D50" s="156"/>
    </row>
    <row r="51" ht="12.75">
      <c r="A51" s="38"/>
    </row>
    <row r="52" spans="1:7" ht="12.75">
      <c r="A52" s="62" t="s">
        <v>73</v>
      </c>
      <c r="G52" s="62" t="s">
        <v>74</v>
      </c>
    </row>
    <row r="53" ht="12.75">
      <c r="A53" s="61"/>
    </row>
    <row r="54" ht="12.75">
      <c r="A54" s="61"/>
    </row>
    <row r="55" ht="12.75">
      <c r="A55" s="62" t="s">
        <v>116</v>
      </c>
    </row>
    <row r="56" ht="12.75">
      <c r="A56" s="62" t="s">
        <v>75</v>
      </c>
    </row>
  </sheetData>
  <sheetProtection/>
  <mergeCells count="27">
    <mergeCell ref="A45:N45"/>
    <mergeCell ref="G8:H9"/>
    <mergeCell ref="B1:H1"/>
    <mergeCell ref="B2:H2"/>
    <mergeCell ref="A5:N5"/>
    <mergeCell ref="A6:G6"/>
    <mergeCell ref="A7:D7"/>
    <mergeCell ref="E7:F7"/>
    <mergeCell ref="J8:O9"/>
    <mergeCell ref="N10:N11"/>
    <mergeCell ref="P8:P11"/>
    <mergeCell ref="Q8:Q11"/>
    <mergeCell ref="E10:F10"/>
    <mergeCell ref="H10:H11"/>
    <mergeCell ref="J10:J11"/>
    <mergeCell ref="K10:K11"/>
    <mergeCell ref="L10:L11"/>
    <mergeCell ref="M10:M11"/>
    <mergeCell ref="O10:O11"/>
    <mergeCell ref="A13:N13"/>
    <mergeCell ref="A29:N29"/>
    <mergeCell ref="I10:I11"/>
    <mergeCell ref="A8:A11"/>
    <mergeCell ref="B8:B11"/>
    <mergeCell ref="C8:C11"/>
    <mergeCell ref="D8:D11"/>
    <mergeCell ref="E8:F9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2012-09-14T04:09:21Z</cp:lastPrinted>
  <dcterms:created xsi:type="dcterms:W3CDTF">2010-04-03T04:08:20Z</dcterms:created>
  <dcterms:modified xsi:type="dcterms:W3CDTF">2013-03-24T15:23:20Z</dcterms:modified>
  <cp:category/>
  <cp:version/>
  <cp:contentType/>
  <cp:contentStatus/>
</cp:coreProperties>
</file>