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firstSheet="4" activeTab="6"/>
  </bookViews>
  <sheets>
    <sheet name="Лист1" sheetId="1" r:id="rId1"/>
    <sheet name="Лист2" sheetId="2" r:id="rId2"/>
    <sheet name="2011 полн" sheetId="3" r:id="rId3"/>
    <sheet name="2011 печать" sheetId="4" r:id="rId4"/>
    <sheet name="2011 печать (для жителей)" sheetId="5" r:id="rId5"/>
    <sheet name="2012 полн " sheetId="6" r:id="rId6"/>
    <sheet name="2012  для просмотра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 refMode="R1C1"/>
</workbook>
</file>

<file path=xl/sharedStrings.xml><?xml version="1.0" encoding="utf-8"?>
<sst xmlns="http://schemas.openxmlformats.org/spreadsheetml/2006/main" count="517" uniqueCount="134">
  <si>
    <t>№ п/п</t>
  </si>
  <si>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</si>
  <si>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</si>
  <si>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</si>
  <si>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</si>
  <si>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</si>
  <si>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</si>
  <si>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</si>
  <si>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</si>
  <si>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</si>
  <si>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</si>
  <si>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</si>
  <si>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</si>
  <si>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</si>
  <si>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</si>
  <si>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</si>
  <si>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</si>
  <si>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</si>
  <si>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</si>
  <si>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</si>
  <si>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</si>
  <si>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</si>
  <si>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</si>
  <si>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</si>
  <si>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</si>
  <si>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</si>
  <si>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НДС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</si>
  <si>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</si>
  <si>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</si>
  <si>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</si>
  <si>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</si>
  <si>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</si>
  <si>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</si>
  <si>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</si>
  <si>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</si>
  <si>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</si>
  <si>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</si>
  <si>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</si>
  <si>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</si>
  <si>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</si>
  <si>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</si>
  <si>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</si>
  <si>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</si>
  <si>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</si>
  <si>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</si>
  <si>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</si>
  <si>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</si>
  <si>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</si>
  <si>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</si>
  <si>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</si>
  <si>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</si>
  <si>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</si>
  <si>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</si>
  <si>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</si>
  <si>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</si>
  <si>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</si>
  <si>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</si>
  <si>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</si>
  <si>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</si>
  <si>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</si>
  <si>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Собрано по отоплению</t>
  </si>
  <si>
    <t>Собрано по лифтам</t>
  </si>
  <si>
    <t>Собрано квартплаты от населения</t>
  </si>
  <si>
    <t>на начало отчетного периода</t>
  </si>
  <si>
    <t>на конец отчетного периода</t>
  </si>
  <si>
    <t>Доходы по нежил.помещениям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</si>
  <si>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</si>
  <si>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</si>
  <si>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</si>
  <si>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</si>
  <si>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</si>
  <si>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</si>
  <si>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</si>
  <si>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</si>
  <si>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</si>
  <si>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</si>
  <si>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</si>
  <si>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</si>
  <si>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</si>
  <si>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</si>
  <si>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</si>
  <si>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</si>
  <si>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</si>
  <si>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</si>
  <si>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</si>
  <si>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</si>
  <si>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</si>
  <si>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</si>
  <si>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</si>
  <si>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</si>
  <si>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</si>
  <si>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</si>
  <si>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от населения</t>
  </si>
  <si>
    <t>Услуга начисления</t>
  </si>
  <si>
    <t>Расходы по нежилым помещениям</t>
  </si>
  <si>
    <t>Собрано по содержанию и тек.рем.</t>
  </si>
  <si>
    <t>Исп. В.В. Колмогорова</t>
  </si>
  <si>
    <t>тел. 3-48-80</t>
  </si>
  <si>
    <t>Доходы по нежилым помещениям</t>
  </si>
  <si>
    <t>*по состоянию на 01.12.2011 г.</t>
  </si>
  <si>
    <t>на 01.12.2011 г.</t>
  </si>
  <si>
    <t>Выписка по лицевому счету по адресу г. Таштагол ул. Макаренко, д.12</t>
  </si>
  <si>
    <t>на 01.01.2011 г.</t>
  </si>
  <si>
    <t>Дотация, целевое финансирование</t>
  </si>
  <si>
    <t>Аварийное обслуживание</t>
  </si>
  <si>
    <t>2008 год</t>
  </si>
  <si>
    <t>декабрь</t>
  </si>
  <si>
    <t>2009 год</t>
  </si>
  <si>
    <t>2010 год</t>
  </si>
  <si>
    <t>Лицевой счет по адресу г. Таштагол, ул. Макаренко, д.12</t>
  </si>
  <si>
    <t>НАЧИСЛЕНИЕ КВАРТПЛАТЫ</t>
  </si>
  <si>
    <t>Отопление</t>
  </si>
  <si>
    <t>Услуга по управлению</t>
  </si>
  <si>
    <t>Услуги начисления</t>
  </si>
  <si>
    <t>Сан. Содержание</t>
  </si>
  <si>
    <t>Тех. обслуживание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</si>
  <si>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</si>
  <si>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</si>
  <si>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</si>
  <si>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</si>
  <si>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</si>
  <si>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</si>
  <si>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</si>
  <si>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 xml:space="preserve"> </t>
  </si>
  <si>
    <t>Выписка по лицевому счету по адресу г. Таштагол ул. Макаренко, д.12 (ПРЕДВАРИТЕЛЬНЫЕ СВЕДЕНИЯ)</t>
  </si>
  <si>
    <t>*по состоянию на 01.01.2012 г.</t>
  </si>
  <si>
    <t>на 01.01.2012 г.</t>
  </si>
  <si>
    <t xml:space="preserve">Выписка по лицевому счету по адресу г. Таштагол ул. Макаренко, д.12 </t>
  </si>
  <si>
    <t>Долг Жилина</t>
  </si>
  <si>
    <t>Долг(-)/ переплата(+)  ООО "Единый сервисный центр"</t>
  </si>
  <si>
    <t>2012 год</t>
  </si>
  <si>
    <t>*по состоянию на 01.04.2013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</si>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</sst>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1" fillId="0" borderId="18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2" fillId="33" borderId="19" xfId="34" applyNumberFormat="1" applyFont="1" applyFill="1" applyBorder="1" applyAlignment="1">
      <alignment horizontal="center" vertical="center" wrapText="1"/>
      <protection/>
    </xf>
    <xf numFmtId="4" fontId="7" fillId="0" borderId="20" xfId="0" applyNumberFormat="1" applyFont="1" applyFill="1" applyBorder="1" applyAlignment="1">
      <alignment/>
    </xf>
    <xf numFmtId="4" fontId="2" fillId="0" borderId="21" xfId="34" applyNumberFormat="1" applyFont="1" applyFill="1" applyBorder="1" applyAlignment="1">
      <alignment horizontal="center" vertical="center" wrapText="1"/>
      <protection/>
    </xf>
    <xf numFmtId="2" fontId="0" fillId="0" borderId="22" xfId="0" applyNumberFormat="1" applyBorder="1" applyAlignment="1">
      <alignment horizontal="center"/>
    </xf>
    <xf numFmtId="4" fontId="1" fillId="0" borderId="2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0" fillId="0" borderId="20" xfId="0" applyNumberForma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2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5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37" borderId="16" xfId="0" applyNumberFormat="1" applyFont="1" applyFill="1" applyBorder="1" applyAlignment="1">
      <alignment/>
    </xf>
    <xf numFmtId="2" fontId="1" fillId="36" borderId="23" xfId="0" applyNumberFormat="1" applyFont="1" applyFill="1" applyBorder="1" applyAlignment="1">
      <alignment horizontal="center" vertical="center" wrapText="1"/>
    </xf>
    <xf numFmtId="2" fontId="1" fillId="36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43" fontId="0" fillId="37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4" fontId="1" fillId="0" borderId="38" xfId="0" applyNumberFormat="1" applyFont="1" applyFill="1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2" fontId="6" fillId="33" borderId="1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wrapText="1"/>
    </xf>
    <xf numFmtId="0" fontId="1" fillId="0" borderId="4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33" xfId="0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4" fontId="0" fillId="0" borderId="47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4" fontId="2" fillId="0" borderId="48" xfId="34" applyNumberFormat="1" applyFont="1" applyFill="1" applyBorder="1" applyAlignment="1">
      <alignment horizontal="right" vertical="center" wrapText="1"/>
      <protection/>
    </xf>
    <xf numFmtId="4" fontId="1" fillId="0" borderId="15" xfId="0" applyNumberFormat="1" applyFont="1" applyFill="1" applyBorder="1" applyAlignment="1">
      <alignment horizontal="right" wrapText="1"/>
    </xf>
    <xf numFmtId="4" fontId="1" fillId="0" borderId="49" xfId="0" applyNumberFormat="1" applyFont="1" applyFill="1" applyBorder="1" applyAlignment="1">
      <alignment horizontal="right" wrapText="1"/>
    </xf>
    <xf numFmtId="4" fontId="1" fillId="0" borderId="50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0" fontId="1" fillId="36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0" fillId="33" borderId="33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wrapText="1"/>
    </xf>
    <xf numFmtId="4" fontId="1" fillId="36" borderId="20" xfId="0" applyNumberFormat="1" applyFont="1" applyFill="1" applyBorder="1" applyAlignment="1">
      <alignment wrapText="1"/>
    </xf>
    <xf numFmtId="4" fontId="1" fillId="33" borderId="20" xfId="0" applyNumberFormat="1" applyFont="1" applyFill="1" applyBorder="1" applyAlignment="1">
      <alignment wrapText="1"/>
    </xf>
    <xf numFmtId="4" fontId="1" fillId="33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wrapText="1"/>
    </xf>
    <xf numFmtId="4" fontId="2" fillId="0" borderId="20" xfId="34" applyNumberFormat="1" applyFont="1" applyFill="1" applyBorder="1" applyAlignment="1">
      <alignment vertical="center" wrapText="1"/>
      <protection/>
    </xf>
    <xf numFmtId="0" fontId="0" fillId="36" borderId="20" xfId="0" applyFont="1" applyFill="1" applyBorder="1" applyAlignment="1">
      <alignment vertical="center" wrapText="1"/>
    </xf>
    <xf numFmtId="4" fontId="0" fillId="36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 horizontal="right"/>
    </xf>
    <xf numFmtId="4" fontId="0" fillId="0" borderId="22" xfId="0" applyNumberFormat="1" applyFont="1" applyBorder="1" applyAlignment="1">
      <alignment horizontal="center" wrapText="1"/>
    </xf>
    <xf numFmtId="4" fontId="0" fillId="0" borderId="22" xfId="0" applyNumberFormat="1" applyFont="1" applyFill="1" applyBorder="1" applyAlignment="1">
      <alignment horizontal="center"/>
    </xf>
    <xf numFmtId="4" fontId="0" fillId="37" borderId="20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right" vertical="center" wrapText="1"/>
    </xf>
    <xf numFmtId="4" fontId="2" fillId="33" borderId="20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right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0" fontId="0" fillId="36" borderId="20" xfId="0" applyFont="1" applyFill="1" applyBorder="1" applyAlignment="1">
      <alignment horizontal="right"/>
    </xf>
    <xf numFmtId="4" fontId="0" fillId="36" borderId="20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right"/>
    </xf>
    <xf numFmtId="4" fontId="1" fillId="36" borderId="51" xfId="0" applyNumberFormat="1" applyFont="1" applyFill="1" applyBorder="1" applyAlignment="1">
      <alignment horizontal="right"/>
    </xf>
    <xf numFmtId="4" fontId="1" fillId="33" borderId="51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38" borderId="20" xfId="34" applyNumberFormat="1" applyFont="1" applyFill="1" applyBorder="1" applyAlignment="1">
      <alignment horizontal="center" vertical="center" wrapText="1"/>
      <protection/>
    </xf>
    <xf numFmtId="4" fontId="0" fillId="36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2" fillId="0" borderId="25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Fill="1" applyBorder="1" applyAlignment="1">
      <alignment horizontal="right" vertical="center" wrapText="1"/>
    </xf>
    <xf numFmtId="4" fontId="0" fillId="0" borderId="45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0" fontId="1" fillId="0" borderId="52" xfId="0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6" fillId="0" borderId="19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" fontId="2" fillId="0" borderId="22" xfId="0" applyNumberFormat="1" applyFont="1" applyBorder="1" applyAlignment="1">
      <alignment wrapText="1"/>
    </xf>
    <xf numFmtId="4" fontId="7" fillId="0" borderId="16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textRotation="90"/>
    </xf>
    <xf numFmtId="0" fontId="1" fillId="36" borderId="51" xfId="0" applyFont="1" applyFill="1" applyBorder="1" applyAlignment="1">
      <alignment horizontal="center" textRotation="90"/>
    </xf>
    <xf numFmtId="0" fontId="1" fillId="36" borderId="5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9" fillId="33" borderId="23" xfId="0" applyNumberFormat="1" applyFont="1" applyFill="1" applyBorder="1" applyAlignment="1">
      <alignment horizontal="center" vertical="center" wrapText="1"/>
    </xf>
    <xf numFmtId="2" fontId="9" fillId="33" borderId="54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41" xfId="0" applyNumberFormat="1" applyFont="1" applyFill="1" applyBorder="1" applyAlignment="1">
      <alignment horizontal="center" vertical="center" wrapText="1"/>
    </xf>
    <xf numFmtId="2" fontId="1" fillId="35" borderId="23" xfId="0" applyNumberFormat="1" applyFont="1" applyFill="1" applyBorder="1" applyAlignment="1">
      <alignment horizontal="center" vertical="center" wrapText="1"/>
    </xf>
    <xf numFmtId="2" fontId="1" fillId="35" borderId="24" xfId="0" applyNumberFormat="1" applyFont="1" applyFill="1" applyBorder="1" applyAlignment="1">
      <alignment horizontal="center" vertical="center" wrapText="1"/>
    </xf>
    <xf numFmtId="2" fontId="1" fillId="36" borderId="60" xfId="0" applyNumberFormat="1" applyFont="1" applyFill="1" applyBorder="1" applyAlignment="1">
      <alignment horizontal="center" vertical="center" wrapText="1"/>
    </xf>
    <xf numFmtId="2" fontId="1" fillId="36" borderId="61" xfId="0" applyNumberFormat="1" applyFont="1" applyFill="1" applyBorder="1" applyAlignment="1">
      <alignment horizontal="center" vertical="center" wrapText="1"/>
    </xf>
    <xf numFmtId="2" fontId="1" fillId="36" borderId="23" xfId="0" applyNumberFormat="1" applyFont="1" applyFill="1" applyBorder="1" applyAlignment="1">
      <alignment horizontal="center" vertical="center" wrapText="1"/>
    </xf>
    <xf numFmtId="2" fontId="1" fillId="36" borderId="24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6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5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0" fillId="0" borderId="0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 wrapText="1"/>
    </xf>
    <xf numFmtId="0" fontId="1" fillId="0" borderId="57" xfId="0" applyFont="1" applyFill="1" applyBorder="1" applyAlignment="1">
      <alignment horizontal="center" textRotation="90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  <xf numFmtId="4" fontId="1" fillId="33" borderId="54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 vertical="center" wrapText="1"/>
    </xf>
    <xf numFmtId="2" fontId="9" fillId="0" borderId="54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39" borderId="66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69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textRotation="90"/>
    </xf>
    <xf numFmtId="0" fontId="1" fillId="34" borderId="24" xfId="0" applyFont="1" applyFill="1" applyBorder="1" applyAlignment="1">
      <alignment horizontal="center" textRotation="90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0" fontId="1" fillId="39" borderId="68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44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textRotation="90"/>
    </xf>
    <xf numFmtId="0" fontId="1" fillId="0" borderId="24" xfId="0" applyFont="1" applyFill="1" applyBorder="1" applyAlignment="1">
      <alignment horizontal="center" textRotation="90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37" borderId="23" xfId="0" applyNumberFormat="1" applyFont="1" applyFill="1" applyBorder="1" applyAlignment="1">
      <alignment horizontal="center" vertical="center" wrapText="1"/>
    </xf>
    <xf numFmtId="2" fontId="1" fillId="37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4" fontId="2" fillId="33" borderId="36" xfId="0" applyNumberFormat="1" applyFont="1" applyFill="1" applyBorder="1" applyAlignment="1">
      <alignment horizontal="right" wrapText="1"/>
    </xf>
    <xf numFmtId="164" fontId="2" fillId="36" borderId="20" xfId="0" applyNumberFormat="1" applyFont="1" applyFill="1" applyBorder="1" applyAlignment="1">
      <alignment/>
    </xf>
    <xf numFmtId="43" fontId="0" fillId="37" borderId="2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4" fontId="2" fillId="34" borderId="22" xfId="0" applyNumberFormat="1" applyFont="1" applyFill="1" applyBorder="1" applyAlignment="1">
      <alignment wrapText="1"/>
    </xf>
    <xf numFmtId="4" fontId="0" fillId="33" borderId="19" xfId="0" applyNumberFormat="1" applyFont="1" applyFill="1" applyBorder="1" applyAlignment="1">
      <alignment horizontal="center"/>
    </xf>
    <xf numFmtId="4" fontId="0" fillId="40" borderId="22" xfId="0" applyNumberFormat="1" applyFont="1" applyFill="1" applyBorder="1" applyAlignment="1">
      <alignment horizontal="center" wrapText="1"/>
    </xf>
    <xf numFmtId="164" fontId="2" fillId="36" borderId="20" xfId="0" applyNumberFormat="1" applyFont="1" applyFill="1" applyBorder="1" applyAlignment="1">
      <alignment horizontal="right"/>
    </xf>
    <xf numFmtId="4" fontId="0" fillId="41" borderId="22" xfId="0" applyNumberFormat="1" applyFont="1" applyFill="1" applyBorder="1" applyAlignment="1">
      <alignment horizontal="center" wrapText="1"/>
    </xf>
    <xf numFmtId="4" fontId="0" fillId="39" borderId="22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2;&#1072;&#1082;&#1072;&#1088;&#1077;&#1085;&#1082;&#1086;,%2012%20&#1089;%202010%20&#1075;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80">
          <cell r="O80">
            <v>299.54623802000003</v>
          </cell>
        </row>
      </sheetData>
      <sheetData sheetId="7">
        <row r="81">
          <cell r="O81">
            <v>299.410134106</v>
          </cell>
        </row>
      </sheetData>
      <sheetData sheetId="8">
        <row r="81">
          <cell r="O81">
            <v>299.3648501074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85">
          <cell r="F85">
            <v>10.4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83">
          <cell r="J83">
            <v>633.546</v>
          </cell>
        </row>
        <row r="169">
          <cell r="J169">
            <v>114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84">
          <cell r="I84">
            <v>633.88066</v>
          </cell>
        </row>
      </sheetData>
      <sheetData sheetId="9">
        <row r="84">
          <cell r="I84">
            <v>633.88066</v>
          </cell>
          <cell r="M84">
            <v>301.771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85">
          <cell r="M85">
            <v>301.771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81">
          <cell r="J81">
            <v>633.546</v>
          </cell>
        </row>
        <row r="175">
          <cell r="J175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F3" t="str">
            <v>Доходы по нежил.помещениям</v>
          </cell>
        </row>
        <row r="9">
          <cell r="B9">
            <v>4791.2</v>
          </cell>
          <cell r="D9">
            <v>9983.0018144</v>
          </cell>
          <cell r="S9">
            <v>29235.53</v>
          </cell>
          <cell r="T9">
            <v>4887.54</v>
          </cell>
          <cell r="AB9">
            <v>595.4100000000001</v>
          </cell>
          <cell r="AC9">
            <v>15465.9518144</v>
          </cell>
          <cell r="AD9">
            <v>0</v>
          </cell>
          <cell r="AG9">
            <v>2874.72</v>
          </cell>
          <cell r="AH9">
            <v>1014.0670623999999</v>
          </cell>
          <cell r="AI9">
            <v>4081.1341599999996</v>
          </cell>
          <cell r="AJ9">
            <v>734.6041487999998</v>
          </cell>
          <cell r="AK9">
            <v>4749.1524288</v>
          </cell>
          <cell r="AL9">
            <v>854.847437184</v>
          </cell>
          <cell r="AM9">
            <v>8722.0010952</v>
          </cell>
          <cell r="AN9">
            <v>1569.9601971359998</v>
          </cell>
          <cell r="AP9">
            <v>0</v>
          </cell>
          <cell r="AS9">
            <v>4761.55</v>
          </cell>
          <cell r="AU9">
            <v>857.079</v>
          </cell>
          <cell r="AX9">
            <v>0</v>
          </cell>
          <cell r="BB9">
            <v>30219.115529519997</v>
          </cell>
          <cell r="BD9">
            <v>-14753.163715119998</v>
          </cell>
          <cell r="BE9">
            <v>-28640.12</v>
          </cell>
        </row>
        <row r="10">
          <cell r="B10">
            <v>4791.2</v>
          </cell>
          <cell r="D10">
            <v>9983.0018144</v>
          </cell>
          <cell r="S10">
            <v>27716.690000000002</v>
          </cell>
          <cell r="T10">
            <v>4634.85</v>
          </cell>
          <cell r="AB10">
            <v>16739.809999999998</v>
          </cell>
          <cell r="AC10">
            <v>31357.6618144</v>
          </cell>
          <cell r="AD10">
            <v>0</v>
          </cell>
          <cell r="AG10">
            <v>2874.72</v>
          </cell>
          <cell r="AH10">
            <v>963.0312</v>
          </cell>
          <cell r="AI10">
            <v>4081.1341599999996</v>
          </cell>
          <cell r="AJ10">
            <v>734.6041487999998</v>
          </cell>
          <cell r="AK10">
            <v>4749.1524288</v>
          </cell>
          <cell r="AL10">
            <v>854.847437184</v>
          </cell>
          <cell r="AM10">
            <v>8722.0010952</v>
          </cell>
          <cell r="AN10">
            <v>1569.9601971359998</v>
          </cell>
          <cell r="AP10">
            <v>0</v>
          </cell>
          <cell r="AS10">
            <v>13712</v>
          </cell>
          <cell r="AU10">
            <v>2468.16</v>
          </cell>
          <cell r="AX10">
            <v>0</v>
          </cell>
          <cell r="BB10">
            <v>40729.610667119996</v>
          </cell>
          <cell r="BD10">
            <v>-9371.948852719997</v>
          </cell>
          <cell r="BE10">
            <v>-10976.880000000005</v>
          </cell>
        </row>
        <row r="11">
          <cell r="B11">
            <v>4791.2</v>
          </cell>
          <cell r="D11">
            <v>9961.036558</v>
          </cell>
          <cell r="S11">
            <v>28013.289999999997</v>
          </cell>
          <cell r="T11">
            <v>4792.13</v>
          </cell>
          <cell r="AB11">
            <v>29150.86</v>
          </cell>
          <cell r="AC11">
            <v>43904.026558</v>
          </cell>
          <cell r="AD11">
            <v>0</v>
          </cell>
          <cell r="AG11">
            <v>2874.72</v>
          </cell>
          <cell r="AH11">
            <v>982.4159775999999</v>
          </cell>
          <cell r="AI11">
            <v>4069.2619839999998</v>
          </cell>
          <cell r="AJ11">
            <v>732.4671571199999</v>
          </cell>
          <cell r="AK11">
            <v>4735.34993984</v>
          </cell>
          <cell r="AL11">
            <v>852.3629891712</v>
          </cell>
          <cell r="AM11">
            <v>8696.652293359999</v>
          </cell>
          <cell r="AN11">
            <v>1565.3974128047998</v>
          </cell>
          <cell r="AP11">
            <v>0</v>
          </cell>
          <cell r="AS11">
            <v>13103</v>
          </cell>
          <cell r="AU11">
            <v>2358.54</v>
          </cell>
          <cell r="AX11">
            <v>0</v>
          </cell>
          <cell r="BB11">
            <v>39970.167753896</v>
          </cell>
          <cell r="BD11">
            <v>3933.8588041039984</v>
          </cell>
          <cell r="BE11">
            <v>1137.5700000000033</v>
          </cell>
        </row>
        <row r="14">
          <cell r="B14">
            <v>4791.7</v>
          </cell>
          <cell r="D14">
            <v>5181.025625</v>
          </cell>
          <cell r="S14">
            <v>28122.030000000002</v>
          </cell>
          <cell r="T14">
            <v>4792.15</v>
          </cell>
          <cell r="AB14">
            <v>19425.83</v>
          </cell>
          <cell r="AC14">
            <v>29399.005625</v>
          </cell>
          <cell r="AG14">
            <v>2587.518</v>
          </cell>
          <cell r="AH14">
            <v>853.88094</v>
          </cell>
          <cell r="AI14">
            <v>3531.2233149999997</v>
          </cell>
          <cell r="AJ14">
            <v>635.6201967</v>
          </cell>
          <cell r="AK14">
            <v>3454.1209035</v>
          </cell>
          <cell r="AL14">
            <v>621.74176263</v>
          </cell>
          <cell r="AM14">
            <v>7949.5548842</v>
          </cell>
          <cell r="AN14">
            <v>1430.919879156</v>
          </cell>
          <cell r="AP14">
            <v>0</v>
          </cell>
          <cell r="AR14">
            <v>0</v>
          </cell>
          <cell r="AS14">
            <v>6597</v>
          </cell>
          <cell r="AU14">
            <v>1187.47</v>
          </cell>
          <cell r="AX14">
            <v>839.216</v>
          </cell>
          <cell r="BA14">
            <v>0</v>
          </cell>
          <cell r="BB14">
            <v>28849.049881186</v>
          </cell>
          <cell r="BD14">
            <v>549.955743814</v>
          </cell>
          <cell r="BE14">
            <v>-8696.2</v>
          </cell>
        </row>
        <row r="15">
          <cell r="B15">
            <v>4791.7</v>
          </cell>
          <cell r="D15">
            <v>5181.025625</v>
          </cell>
          <cell r="S15">
            <v>26882.629999999997</v>
          </cell>
          <cell r="T15">
            <v>4839.44</v>
          </cell>
          <cell r="AB15">
            <v>23232.83</v>
          </cell>
          <cell r="AC15">
            <v>33253.295625</v>
          </cell>
          <cell r="AG15">
            <v>2587.518</v>
          </cell>
          <cell r="AH15">
            <v>877.1686020000001</v>
          </cell>
          <cell r="AI15">
            <v>3531.2433149999997</v>
          </cell>
          <cell r="AJ15">
            <v>635.6237967</v>
          </cell>
          <cell r="AK15">
            <v>3453.7231924</v>
          </cell>
          <cell r="AL15">
            <v>621.6701746319999</v>
          </cell>
          <cell r="AM15">
            <v>7947.724454799999</v>
          </cell>
          <cell r="AN15">
            <v>1430.5904018639997</v>
          </cell>
          <cell r="AP15">
            <v>0</v>
          </cell>
          <cell r="AR15">
            <v>0</v>
          </cell>
          <cell r="AS15">
            <v>3905</v>
          </cell>
          <cell r="AU15">
            <v>702.9</v>
          </cell>
          <cell r="AX15">
            <v>672.364</v>
          </cell>
          <cell r="BA15">
            <v>0</v>
          </cell>
          <cell r="BB15">
            <v>25693.161937396</v>
          </cell>
          <cell r="BD15">
            <v>7560.133687604</v>
          </cell>
          <cell r="BE15">
            <v>-3649.7999999999956</v>
          </cell>
        </row>
        <row r="16">
          <cell r="B16">
            <v>4791.7</v>
          </cell>
          <cell r="D16">
            <v>5181.025625</v>
          </cell>
          <cell r="S16">
            <v>28069.27</v>
          </cell>
          <cell r="T16">
            <v>4912.5599999999995</v>
          </cell>
          <cell r="AB16">
            <v>31525.59</v>
          </cell>
          <cell r="AC16">
            <v>41619.175625</v>
          </cell>
          <cell r="AG16">
            <v>2587.518</v>
          </cell>
          <cell r="AH16">
            <v>870.3643880000001</v>
          </cell>
          <cell r="AI16">
            <v>3533.2797875</v>
          </cell>
          <cell r="AJ16">
            <v>635.99036175</v>
          </cell>
          <cell r="AK16">
            <v>3332.8190179999997</v>
          </cell>
          <cell r="AL16">
            <v>599.90742324</v>
          </cell>
          <cell r="AM16">
            <v>7670.414400699999</v>
          </cell>
          <cell r="AN16">
            <v>1380.6745921259997</v>
          </cell>
          <cell r="AP16">
            <v>0</v>
          </cell>
          <cell r="AR16">
            <v>0</v>
          </cell>
          <cell r="AS16">
            <v>31672</v>
          </cell>
          <cell r="AU16">
            <v>5700.96</v>
          </cell>
          <cell r="AX16">
            <v>632.716</v>
          </cell>
          <cell r="BA16">
            <v>0</v>
          </cell>
          <cell r="BB16">
            <v>57983.927971316</v>
          </cell>
          <cell r="BD16">
            <v>-16364.752346315996</v>
          </cell>
          <cell r="BE16">
            <v>3456.3199999999997</v>
          </cell>
        </row>
        <row r="17">
          <cell r="B17">
            <v>4791.7</v>
          </cell>
          <cell r="D17">
            <v>5181.025625</v>
          </cell>
          <cell r="S17">
            <v>29510.420000000002</v>
          </cell>
          <cell r="T17">
            <v>5035.39</v>
          </cell>
          <cell r="AB17">
            <v>27027.239999999998</v>
          </cell>
          <cell r="AC17">
            <v>37243.655625</v>
          </cell>
          <cell r="AG17">
            <v>2587.518</v>
          </cell>
          <cell r="AH17">
            <v>884.931156</v>
          </cell>
          <cell r="AI17">
            <v>3638.7690629999997</v>
          </cell>
          <cell r="AJ17">
            <v>654.9784313399999</v>
          </cell>
          <cell r="AK17">
            <v>3379.7489278</v>
          </cell>
          <cell r="AL17">
            <v>608.3548070039999</v>
          </cell>
          <cell r="AM17">
            <v>7777.494520599999</v>
          </cell>
          <cell r="AN17">
            <v>1399.9490137079997</v>
          </cell>
          <cell r="AP17">
            <v>0</v>
          </cell>
          <cell r="AR17">
            <v>0</v>
          </cell>
          <cell r="AS17">
            <v>7286.65</v>
          </cell>
          <cell r="AU17">
            <v>1311.597</v>
          </cell>
          <cell r="AX17">
            <v>507.16400000000004</v>
          </cell>
          <cell r="BA17">
            <v>0</v>
          </cell>
          <cell r="BB17">
            <v>32181.450919452003</v>
          </cell>
          <cell r="BD17">
            <v>5062.204705547996</v>
          </cell>
          <cell r="BE17">
            <v>-2483.180000000004</v>
          </cell>
        </row>
        <row r="18">
          <cell r="B18">
            <v>4793.3</v>
          </cell>
          <cell r="D18">
            <v>4388.885000000005</v>
          </cell>
          <cell r="S18">
            <v>31796.97</v>
          </cell>
          <cell r="T18">
            <v>5276.1900000000005</v>
          </cell>
          <cell r="AB18">
            <v>25080.92</v>
          </cell>
          <cell r="AC18">
            <v>34745.995</v>
          </cell>
          <cell r="AG18">
            <v>2875.98</v>
          </cell>
          <cell r="AH18">
            <v>968.2466000000001</v>
          </cell>
          <cell r="AI18">
            <v>4074.305</v>
          </cell>
          <cell r="AJ18">
            <v>733.3748999999999</v>
          </cell>
          <cell r="AK18">
            <v>3978.439</v>
          </cell>
          <cell r="AL18">
            <v>716.11902</v>
          </cell>
          <cell r="AM18">
            <v>9155.203</v>
          </cell>
          <cell r="AN18">
            <v>1647.93654</v>
          </cell>
          <cell r="AP18">
            <v>0</v>
          </cell>
          <cell r="AR18">
            <v>0</v>
          </cell>
          <cell r="AS18">
            <v>14692.43</v>
          </cell>
          <cell r="AU18">
            <v>2644.6374</v>
          </cell>
          <cell r="AX18">
            <v>434.47600000000006</v>
          </cell>
          <cell r="BA18">
            <v>0</v>
          </cell>
          <cell r="BB18">
            <v>41921.14746000001</v>
          </cell>
          <cell r="BD18">
            <v>-7175.152460000005</v>
          </cell>
          <cell r="BE18">
            <v>-6716.050000000003</v>
          </cell>
        </row>
        <row r="19">
          <cell r="B19">
            <v>4793.3</v>
          </cell>
          <cell r="D19">
            <v>4335.9950000000035</v>
          </cell>
          <cell r="S19">
            <v>31705.729999999996</v>
          </cell>
          <cell r="T19">
            <v>5420.320000000001</v>
          </cell>
          <cell r="AB19">
            <v>24451.870000000003</v>
          </cell>
          <cell r="AC19">
            <v>34208.185000000005</v>
          </cell>
          <cell r="AG19">
            <v>2875.98</v>
          </cell>
          <cell r="AH19">
            <v>968.6779970000001</v>
          </cell>
          <cell r="AI19">
            <v>4074.305</v>
          </cell>
          <cell r="AJ19">
            <v>733.3748999999999</v>
          </cell>
          <cell r="AK19">
            <v>3978.439</v>
          </cell>
          <cell r="AL19">
            <v>716.11902</v>
          </cell>
          <cell r="AM19">
            <v>9155.203</v>
          </cell>
          <cell r="AN19">
            <v>1647.93654</v>
          </cell>
          <cell r="AP19">
            <v>0</v>
          </cell>
          <cell r="AQ19">
            <v>20681.23</v>
          </cell>
          <cell r="AR19">
            <v>3722.6214</v>
          </cell>
          <cell r="AS19">
            <v>8646.16</v>
          </cell>
          <cell r="AU19">
            <v>1556.3088</v>
          </cell>
          <cell r="AX19">
            <v>384.91600000000005</v>
          </cell>
          <cell r="BA19">
            <v>0</v>
          </cell>
          <cell r="BB19">
            <v>59141.271657000005</v>
          </cell>
          <cell r="BD19">
            <v>-24933.086657</v>
          </cell>
          <cell r="BE19">
            <v>-7253.859999999993</v>
          </cell>
        </row>
        <row r="20">
          <cell r="B20">
            <v>4793.3</v>
          </cell>
          <cell r="D20">
            <v>4365.725000000002</v>
          </cell>
          <cell r="S20">
            <v>31675.980000000003</v>
          </cell>
          <cell r="T20">
            <v>5420.34</v>
          </cell>
          <cell r="AB20">
            <v>36483.729999999996</v>
          </cell>
          <cell r="AC20">
            <v>46269.795</v>
          </cell>
          <cell r="AF20">
            <v>633.88066</v>
          </cell>
          <cell r="AG20">
            <v>2875.98</v>
          </cell>
          <cell r="AH20">
            <v>953.1572916000001</v>
          </cell>
          <cell r="AI20">
            <v>4016.0424385</v>
          </cell>
          <cell r="AJ20">
            <v>722.88763893</v>
          </cell>
          <cell r="AK20">
            <v>3940.6438295000003</v>
          </cell>
          <cell r="AL20">
            <v>709.31588931</v>
          </cell>
          <cell r="AM20">
            <v>9067.313051199999</v>
          </cell>
          <cell r="AN20">
            <v>1632.1163492159997</v>
          </cell>
          <cell r="AP20">
            <v>0</v>
          </cell>
          <cell r="AR20">
            <v>0</v>
          </cell>
          <cell r="AS20">
            <v>19630</v>
          </cell>
          <cell r="AT20">
            <v>488</v>
          </cell>
          <cell r="AU20">
            <v>3621.24</v>
          </cell>
          <cell r="AX20">
            <v>409.696</v>
          </cell>
          <cell r="BA20">
            <v>0</v>
          </cell>
          <cell r="BB20">
            <v>48066.39248825601</v>
          </cell>
          <cell r="BC20">
            <v>299.54623802000003</v>
          </cell>
          <cell r="BD20">
            <v>-1462.2630662760089</v>
          </cell>
          <cell r="BE20">
            <v>4807.749999999993</v>
          </cell>
        </row>
        <row r="21">
          <cell r="B21">
            <v>4793.3</v>
          </cell>
          <cell r="D21">
            <v>4359.4150000000045</v>
          </cell>
          <cell r="S21">
            <v>31682.309999999998</v>
          </cell>
          <cell r="T21">
            <v>5420.320000000001</v>
          </cell>
          <cell r="AB21">
            <v>29629.980000000003</v>
          </cell>
          <cell r="AC21">
            <v>39409.71500000001</v>
          </cell>
          <cell r="AF21">
            <v>633.88066</v>
          </cell>
          <cell r="AG21">
            <v>2875.98</v>
          </cell>
          <cell r="AH21">
            <v>957.4616750000001</v>
          </cell>
          <cell r="AI21">
            <v>4014.2497442999997</v>
          </cell>
          <cell r="AJ21">
            <v>722.5649539739999</v>
          </cell>
          <cell r="AK21">
            <v>3938.6546099999996</v>
          </cell>
          <cell r="AL21">
            <v>708.9578297999999</v>
          </cell>
          <cell r="AM21">
            <v>9063.650969999999</v>
          </cell>
          <cell r="AN21">
            <v>1631.4571745999997</v>
          </cell>
          <cell r="AP21">
            <v>0</v>
          </cell>
          <cell r="AR21">
            <v>0</v>
          </cell>
          <cell r="AS21">
            <v>3800</v>
          </cell>
          <cell r="AU21">
            <v>684</v>
          </cell>
          <cell r="AX21">
            <v>484.036</v>
          </cell>
          <cell r="BA21">
            <v>0</v>
          </cell>
          <cell r="BB21">
            <v>28881.012957674</v>
          </cell>
          <cell r="BC21">
            <v>299.410134106</v>
          </cell>
          <cell r="BD21">
            <v>10863.172568220014</v>
          </cell>
          <cell r="BE21">
            <v>-2052.3299999999945</v>
          </cell>
        </row>
        <row r="22">
          <cell r="B22">
            <v>4793.3</v>
          </cell>
          <cell r="D22">
            <v>4361.885000000005</v>
          </cell>
          <cell r="S22">
            <v>31692.27</v>
          </cell>
          <cell r="T22">
            <v>5407.889999999999</v>
          </cell>
          <cell r="AB22">
            <v>29966.86</v>
          </cell>
          <cell r="AC22">
            <v>39736.63500000001</v>
          </cell>
          <cell r="AF22">
            <v>633.88066</v>
          </cell>
          <cell r="AG22">
            <v>2875.98</v>
          </cell>
          <cell r="AH22">
            <v>958.3724020000001</v>
          </cell>
          <cell r="AI22">
            <v>4013.5571124499997</v>
          </cell>
          <cell r="AJ22">
            <v>722.440280241</v>
          </cell>
          <cell r="AK22">
            <v>3937.8987065899996</v>
          </cell>
          <cell r="AL22">
            <v>708.8217671861998</v>
          </cell>
          <cell r="AM22">
            <v>9061.8199294</v>
          </cell>
          <cell r="AN22">
            <v>1631.127587292</v>
          </cell>
          <cell r="AP22">
            <v>0</v>
          </cell>
          <cell r="AR22">
            <v>0</v>
          </cell>
          <cell r="AU22">
            <v>0</v>
          </cell>
          <cell r="AX22">
            <v>576.548</v>
          </cell>
          <cell r="BA22">
            <v>0</v>
          </cell>
          <cell r="BB22">
            <v>24486.5657851592</v>
          </cell>
          <cell r="BC22">
            <v>299.3648501074</v>
          </cell>
          <cell r="BD22">
            <v>15584.585024733411</v>
          </cell>
          <cell r="BE22">
            <v>-1725.4099999999999</v>
          </cell>
        </row>
        <row r="23">
          <cell r="B23">
            <v>4793.3</v>
          </cell>
          <cell r="D23">
            <v>4339.254999999997</v>
          </cell>
          <cell r="S23">
            <v>31693.24</v>
          </cell>
          <cell r="T23">
            <v>5429.55</v>
          </cell>
          <cell r="AB23">
            <v>33268.04</v>
          </cell>
          <cell r="AC23">
            <v>43036.845</v>
          </cell>
          <cell r="AF23">
            <v>633.88066</v>
          </cell>
          <cell r="AG23">
            <v>2875.98</v>
          </cell>
          <cell r="AH23">
            <v>958.6600000000001</v>
          </cell>
          <cell r="AI23">
            <v>4059.9251</v>
          </cell>
          <cell r="AJ23">
            <v>730.786518</v>
          </cell>
          <cell r="AK23">
            <v>3978.439</v>
          </cell>
          <cell r="AL23">
            <v>716.11902</v>
          </cell>
          <cell r="AM23">
            <v>9139.766949152543</v>
          </cell>
          <cell r="AN23">
            <v>1645.1580508474576</v>
          </cell>
          <cell r="AP23">
            <v>0</v>
          </cell>
          <cell r="AR23">
            <v>0</v>
          </cell>
          <cell r="AS23">
            <v>1154.01</v>
          </cell>
          <cell r="AT23">
            <v>72.88</v>
          </cell>
          <cell r="AU23">
            <v>220.84019999999998</v>
          </cell>
          <cell r="AX23">
            <v>702.0999999999999</v>
          </cell>
          <cell r="BA23">
            <v>0</v>
          </cell>
          <cell r="BB23">
            <v>26254.664837999997</v>
          </cell>
          <cell r="BC23">
            <v>301.69264200000003</v>
          </cell>
          <cell r="BD23">
            <v>17114.368180000005</v>
          </cell>
          <cell r="BE23">
            <v>1574.7999999999993</v>
          </cell>
        </row>
        <row r="24">
          <cell r="B24">
            <v>4793.3</v>
          </cell>
          <cell r="D24">
            <v>4330.955000000006</v>
          </cell>
          <cell r="S24">
            <v>31755.14</v>
          </cell>
          <cell r="T24">
            <v>5375.95</v>
          </cell>
          <cell r="AB24">
            <v>27791.739999999998</v>
          </cell>
          <cell r="AC24">
            <v>37498.645000000004</v>
          </cell>
          <cell r="AF24">
            <v>633.88066</v>
          </cell>
          <cell r="AG24">
            <v>2875.98</v>
          </cell>
          <cell r="AH24">
            <v>958.6600000000001</v>
          </cell>
          <cell r="AI24">
            <v>4074.305</v>
          </cell>
          <cell r="AJ24">
            <v>733.3748999999999</v>
          </cell>
          <cell r="AK24">
            <v>3978.439</v>
          </cell>
          <cell r="AL24">
            <v>716.11902</v>
          </cell>
          <cell r="AM24">
            <v>9155.203</v>
          </cell>
          <cell r="AN24">
            <v>1647.93654</v>
          </cell>
          <cell r="AP24">
            <v>0</v>
          </cell>
          <cell r="AR24">
            <v>0</v>
          </cell>
          <cell r="AS24">
            <v>5245</v>
          </cell>
          <cell r="AU24">
            <v>944.0999999999999</v>
          </cell>
          <cell r="AX24">
            <v>776.44</v>
          </cell>
          <cell r="BA24">
            <v>0</v>
          </cell>
          <cell r="BB24">
            <v>31105.557459999996</v>
          </cell>
          <cell r="BC24">
            <v>302.12874000000005</v>
          </cell>
          <cell r="BD24">
            <v>6724.83946000001</v>
          </cell>
          <cell r="BE24">
            <v>-3963.4000000000015</v>
          </cell>
        </row>
        <row r="25">
          <cell r="B25">
            <v>4793.3</v>
          </cell>
          <cell r="D25">
            <v>4323.825000000006</v>
          </cell>
          <cell r="S25">
            <v>31762.26</v>
          </cell>
          <cell r="T25">
            <v>5375.96</v>
          </cell>
          <cell r="AB25">
            <v>39560.75</v>
          </cell>
          <cell r="AC25">
            <v>49260.535</v>
          </cell>
          <cell r="AF25">
            <v>633.88066</v>
          </cell>
          <cell r="AG25">
            <v>2875.98</v>
          </cell>
          <cell r="AH25">
            <v>958.6600000000001</v>
          </cell>
          <cell r="AI25">
            <v>4074.305</v>
          </cell>
          <cell r="AJ25">
            <v>733.3748999999999</v>
          </cell>
          <cell r="AK25">
            <v>3978.439</v>
          </cell>
          <cell r="AL25">
            <v>716.11902</v>
          </cell>
          <cell r="AM25">
            <v>9155.203</v>
          </cell>
          <cell r="AN25">
            <v>1647.93654</v>
          </cell>
          <cell r="AP25">
            <v>0</v>
          </cell>
          <cell r="AR25">
            <v>0</v>
          </cell>
          <cell r="AS25">
            <v>0</v>
          </cell>
          <cell r="AU25">
            <v>0</v>
          </cell>
          <cell r="AX25">
            <v>849.1279999999999</v>
          </cell>
          <cell r="BA25">
            <v>0</v>
          </cell>
          <cell r="BB25">
            <v>24989.14546</v>
          </cell>
          <cell r="BC25">
            <v>302.12874000000005</v>
          </cell>
          <cell r="BD25">
            <v>24603.141460000006</v>
          </cell>
          <cell r="BE25">
            <v>7798.490000000002</v>
          </cell>
        </row>
        <row r="30">
          <cell r="B30">
            <v>4793.3</v>
          </cell>
          <cell r="D30">
            <v>4314.725000000005</v>
          </cell>
          <cell r="S30">
            <v>31802.949999999997</v>
          </cell>
          <cell r="T30">
            <v>5344.370000000001</v>
          </cell>
          <cell r="AB30">
            <v>23823.54</v>
          </cell>
          <cell r="AC30">
            <v>33482.63500000001</v>
          </cell>
          <cell r="AF30">
            <v>633.88066</v>
          </cell>
          <cell r="AG30">
            <v>2875.98</v>
          </cell>
          <cell r="AH30">
            <v>958.6600000000001</v>
          </cell>
          <cell r="AI30">
            <v>4793.3</v>
          </cell>
          <cell r="AJ30">
            <v>0</v>
          </cell>
          <cell r="AK30">
            <v>4697.434</v>
          </cell>
          <cell r="AL30">
            <v>0</v>
          </cell>
          <cell r="AM30">
            <v>10784.925000000001</v>
          </cell>
          <cell r="AN30">
            <v>0</v>
          </cell>
          <cell r="AP30">
            <v>0</v>
          </cell>
          <cell r="AS30">
            <v>0</v>
          </cell>
          <cell r="AU30">
            <v>0</v>
          </cell>
          <cell r="AX30">
            <v>889</v>
          </cell>
          <cell r="BA30">
            <v>0</v>
          </cell>
          <cell r="BB30">
            <v>24999.299</v>
          </cell>
          <cell r="BC30">
            <v>301.771</v>
          </cell>
          <cell r="BD30">
            <v>8815.445660000012</v>
          </cell>
          <cell r="BE30">
            <v>-7979.409999999996</v>
          </cell>
        </row>
        <row r="31">
          <cell r="B31">
            <v>4793.3</v>
          </cell>
          <cell r="D31">
            <v>4324.01500000001</v>
          </cell>
          <cell r="S31">
            <v>31830.08</v>
          </cell>
          <cell r="T31">
            <v>5307.950000000001</v>
          </cell>
          <cell r="AB31">
            <v>28013.68</v>
          </cell>
          <cell r="AC31">
            <v>37645.64500000001</v>
          </cell>
          <cell r="AF31">
            <v>633.88066</v>
          </cell>
          <cell r="AG31">
            <v>2875.98</v>
          </cell>
          <cell r="AH31">
            <v>958.6600000000001</v>
          </cell>
          <cell r="AI31">
            <v>4793.3</v>
          </cell>
          <cell r="AJ31">
            <v>0</v>
          </cell>
          <cell r="AK31">
            <v>4697.434</v>
          </cell>
          <cell r="AL31">
            <v>0</v>
          </cell>
          <cell r="AM31">
            <v>10784.925000000001</v>
          </cell>
          <cell r="AN31">
            <v>0</v>
          </cell>
          <cell r="AS31">
            <v>17284</v>
          </cell>
          <cell r="AU31">
            <v>0</v>
          </cell>
          <cell r="AX31">
            <v>712.25</v>
          </cell>
          <cell r="BA31">
            <v>0</v>
          </cell>
          <cell r="BB31">
            <v>42106.549</v>
          </cell>
          <cell r="BC31">
            <v>301.771</v>
          </cell>
          <cell r="BD31">
            <v>-4128.794339999985</v>
          </cell>
          <cell r="BE31">
            <v>-3816.4000000000015</v>
          </cell>
        </row>
        <row r="32">
          <cell r="B32">
            <v>4793.3</v>
          </cell>
          <cell r="D32">
            <v>4324.08500000001</v>
          </cell>
          <cell r="S32">
            <v>31881.719999999998</v>
          </cell>
          <cell r="T32">
            <v>5256.24</v>
          </cell>
          <cell r="AB32">
            <v>37813.78</v>
          </cell>
          <cell r="AC32">
            <v>47394.10500000001</v>
          </cell>
          <cell r="AF32">
            <v>633.88066</v>
          </cell>
          <cell r="AG32">
            <v>2875.98</v>
          </cell>
          <cell r="AH32">
            <v>958.6600000000001</v>
          </cell>
          <cell r="AI32">
            <v>4793.3</v>
          </cell>
          <cell r="AJ32">
            <v>0</v>
          </cell>
          <cell r="AK32">
            <v>4697.434</v>
          </cell>
          <cell r="AL32">
            <v>0</v>
          </cell>
          <cell r="AM32">
            <v>10784.925000000001</v>
          </cell>
          <cell r="AN32">
            <v>0</v>
          </cell>
          <cell r="AS32">
            <v>735</v>
          </cell>
          <cell r="AU32">
            <v>0</v>
          </cell>
          <cell r="AX32">
            <v>670.25</v>
          </cell>
          <cell r="BA32">
            <v>0</v>
          </cell>
          <cell r="BB32">
            <v>25515.549</v>
          </cell>
          <cell r="BC32">
            <v>301.771</v>
          </cell>
          <cell r="BD32">
            <v>22210.665660000013</v>
          </cell>
          <cell r="BE32">
            <v>5932.060000000001</v>
          </cell>
        </row>
        <row r="33">
          <cell r="B33">
            <v>4793.3</v>
          </cell>
          <cell r="D33">
            <v>4279.144999999999</v>
          </cell>
          <cell r="S33">
            <v>32246.809999999998</v>
          </cell>
          <cell r="T33">
            <v>4936.09</v>
          </cell>
          <cell r="AB33">
            <v>27027.239999999998</v>
          </cell>
          <cell r="AC33">
            <v>36242.475</v>
          </cell>
          <cell r="AF33">
            <v>633.88066</v>
          </cell>
          <cell r="AG33">
            <v>2875.98</v>
          </cell>
          <cell r="AH33">
            <v>958.6600000000001</v>
          </cell>
          <cell r="AI33">
            <v>4793.3</v>
          </cell>
          <cell r="AJ33">
            <v>0</v>
          </cell>
          <cell r="AK33">
            <v>4697.434</v>
          </cell>
          <cell r="AL33">
            <v>0</v>
          </cell>
          <cell r="AM33">
            <v>10784.925000000001</v>
          </cell>
          <cell r="AN33">
            <v>0</v>
          </cell>
          <cell r="AO33">
            <v>6268.86</v>
          </cell>
          <cell r="AS33">
            <v>5928</v>
          </cell>
          <cell r="AU33">
            <v>0</v>
          </cell>
          <cell r="AX33">
            <v>537.25</v>
          </cell>
          <cell r="BA33">
            <v>0</v>
          </cell>
          <cell r="BB33">
            <v>36844.409</v>
          </cell>
          <cell r="BC33">
            <v>301.771</v>
          </cell>
          <cell r="BD33">
            <v>-269.8243399999986</v>
          </cell>
          <cell r="BE33">
            <v>-5219.57</v>
          </cell>
        </row>
        <row r="34">
          <cell r="B34">
            <v>4793.3</v>
          </cell>
          <cell r="D34">
            <v>4331.805000000008</v>
          </cell>
          <cell r="S34">
            <v>31953.75</v>
          </cell>
          <cell r="T34">
            <v>5176.49</v>
          </cell>
          <cell r="AB34">
            <v>31067.78</v>
          </cell>
          <cell r="AC34">
            <v>40576.075000000004</v>
          </cell>
          <cell r="AF34">
            <v>633.88066</v>
          </cell>
          <cell r="AG34">
            <v>2875.98</v>
          </cell>
          <cell r="AH34">
            <v>958.6600000000001</v>
          </cell>
          <cell r="AI34">
            <v>4793.3</v>
          </cell>
          <cell r="AJ34">
            <v>0</v>
          </cell>
          <cell r="AK34">
            <v>4697.434</v>
          </cell>
          <cell r="AL34">
            <v>0</v>
          </cell>
          <cell r="AM34">
            <v>10784.925000000001</v>
          </cell>
          <cell r="AN34">
            <v>0</v>
          </cell>
          <cell r="AS34">
            <v>55406</v>
          </cell>
          <cell r="AU34">
            <v>0</v>
          </cell>
          <cell r="AX34">
            <v>460.24999999999994</v>
          </cell>
          <cell r="BA34">
            <v>0</v>
          </cell>
          <cell r="BB34">
            <v>79976.549</v>
          </cell>
          <cell r="BC34">
            <v>301.771</v>
          </cell>
          <cell r="BD34">
            <v>-39068.36433999999</v>
          </cell>
          <cell r="BE34">
            <v>-885.9700000000012</v>
          </cell>
        </row>
        <row r="35">
          <cell r="B35">
            <v>4793.3</v>
          </cell>
          <cell r="D35">
            <v>4332.805000000007</v>
          </cell>
          <cell r="S35">
            <v>31750.179999999997</v>
          </cell>
          <cell r="T35">
            <v>5379.0599999999995</v>
          </cell>
          <cell r="AB35">
            <v>26648.28</v>
          </cell>
          <cell r="AC35">
            <v>36360.145000000004</v>
          </cell>
          <cell r="AF35">
            <v>633.88066</v>
          </cell>
          <cell r="AG35">
            <v>2875.98</v>
          </cell>
          <cell r="AH35">
            <v>958.6600000000001</v>
          </cell>
          <cell r="AI35">
            <v>4793.3</v>
          </cell>
          <cell r="AJ35">
            <v>0</v>
          </cell>
          <cell r="AK35">
            <v>4697.434</v>
          </cell>
          <cell r="AL35">
            <v>0</v>
          </cell>
          <cell r="AM35">
            <v>10784.925000000001</v>
          </cell>
          <cell r="AN35">
            <v>0</v>
          </cell>
          <cell r="AS35">
            <v>26738</v>
          </cell>
          <cell r="AU35">
            <v>0</v>
          </cell>
          <cell r="AX35">
            <v>407.75</v>
          </cell>
          <cell r="BA35">
            <v>0</v>
          </cell>
          <cell r="BB35">
            <v>51256.049</v>
          </cell>
          <cell r="BC35">
            <v>301.771</v>
          </cell>
          <cell r="BD35">
            <v>-14563.794339999993</v>
          </cell>
          <cell r="BE35">
            <v>-5101.899999999998</v>
          </cell>
        </row>
        <row r="36">
          <cell r="B36">
            <v>4793.3</v>
          </cell>
          <cell r="D36">
            <v>4342.415000000012</v>
          </cell>
          <cell r="S36">
            <v>37119.630000000005</v>
          </cell>
          <cell r="T36">
            <v>0</v>
          </cell>
          <cell r="AB36">
            <v>30719.67</v>
          </cell>
          <cell r="AC36">
            <v>35062.08500000001</v>
          </cell>
          <cell r="AF36">
            <v>633.88066</v>
          </cell>
          <cell r="AG36">
            <v>2875.98</v>
          </cell>
          <cell r="AH36">
            <v>958.6600000000001</v>
          </cell>
          <cell r="AI36">
            <v>4793.3</v>
          </cell>
          <cell r="AJ36">
            <v>0</v>
          </cell>
          <cell r="AK36">
            <v>4697.434</v>
          </cell>
          <cell r="AL36">
            <v>0</v>
          </cell>
          <cell r="AM36">
            <v>10784.925000000001</v>
          </cell>
          <cell r="AN36">
            <v>0</v>
          </cell>
          <cell r="AT36">
            <v>127.98</v>
          </cell>
          <cell r="AU36">
            <v>0</v>
          </cell>
          <cell r="AX36">
            <v>434</v>
          </cell>
          <cell r="BA36">
            <v>0</v>
          </cell>
          <cell r="BB36">
            <v>24672.279</v>
          </cell>
          <cell r="BC36">
            <v>301.771</v>
          </cell>
          <cell r="BD36">
            <v>10721.91566000001</v>
          </cell>
          <cell r="BE36">
            <v>-6399.960000000006</v>
          </cell>
        </row>
        <row r="37">
          <cell r="B37">
            <v>4793.3</v>
          </cell>
          <cell r="D37">
            <v>54359.855</v>
          </cell>
          <cell r="S37">
            <v>37102.19</v>
          </cell>
          <cell r="T37">
            <v>0</v>
          </cell>
          <cell r="AB37">
            <v>38475.12</v>
          </cell>
          <cell r="AC37">
            <v>92834.975</v>
          </cell>
          <cell r="AF37">
            <v>633.88066</v>
          </cell>
          <cell r="AG37">
            <v>2875.98</v>
          </cell>
          <cell r="AH37">
            <v>958.6600000000001</v>
          </cell>
          <cell r="AI37">
            <v>4793.3</v>
          </cell>
          <cell r="AJ37">
            <v>0</v>
          </cell>
          <cell r="AK37">
            <v>4697.434</v>
          </cell>
          <cell r="AL37">
            <v>0</v>
          </cell>
          <cell r="AM37">
            <v>10784.925000000001</v>
          </cell>
          <cell r="AN37">
            <v>0</v>
          </cell>
          <cell r="AS37">
            <v>9556</v>
          </cell>
          <cell r="AT37">
            <v>89.8</v>
          </cell>
          <cell r="AU37">
            <v>0</v>
          </cell>
          <cell r="AX37">
            <v>512.75</v>
          </cell>
          <cell r="BA37">
            <v>0</v>
          </cell>
          <cell r="BB37">
            <v>34268.849</v>
          </cell>
          <cell r="BC37">
            <v>301.771</v>
          </cell>
          <cell r="BD37">
            <v>58898.23566</v>
          </cell>
          <cell r="BE37">
            <v>1372.9300000000003</v>
          </cell>
        </row>
        <row r="38">
          <cell r="B38">
            <v>4793.3</v>
          </cell>
          <cell r="D38">
            <v>54359.83500000001</v>
          </cell>
          <cell r="S38">
            <v>37102.20999999999</v>
          </cell>
          <cell r="T38">
            <v>0</v>
          </cell>
          <cell r="AB38">
            <v>31825.7</v>
          </cell>
          <cell r="AC38">
            <v>86185.535</v>
          </cell>
          <cell r="AF38">
            <v>633.88066</v>
          </cell>
          <cell r="AG38">
            <v>2875.98</v>
          </cell>
          <cell r="AH38">
            <v>958.6600000000001</v>
          </cell>
          <cell r="AI38">
            <v>4793.3</v>
          </cell>
          <cell r="AJ38">
            <v>0</v>
          </cell>
          <cell r="AK38">
            <v>4697.434</v>
          </cell>
          <cell r="AL38">
            <v>0</v>
          </cell>
          <cell r="AM38">
            <v>10784.925000000001</v>
          </cell>
          <cell r="AN38">
            <v>0</v>
          </cell>
          <cell r="AT38">
            <v>139054.88</v>
          </cell>
          <cell r="AU38">
            <v>0</v>
          </cell>
          <cell r="AX38">
            <v>610.75</v>
          </cell>
          <cell r="BA38">
            <v>0</v>
          </cell>
          <cell r="BB38">
            <v>163775.929</v>
          </cell>
          <cell r="BC38">
            <v>301.771</v>
          </cell>
          <cell r="BD38">
            <v>-77258.28434</v>
          </cell>
          <cell r="BE38">
            <v>-5276.509999999991</v>
          </cell>
        </row>
        <row r="39">
          <cell r="B39">
            <v>4793.3</v>
          </cell>
          <cell r="D39">
            <v>4306.605000000003</v>
          </cell>
          <cell r="S39">
            <v>37155.44</v>
          </cell>
          <cell r="T39">
            <v>0</v>
          </cell>
          <cell r="AB39">
            <v>36417.17</v>
          </cell>
          <cell r="AC39">
            <v>40723.775</v>
          </cell>
          <cell r="AF39">
            <v>783.88066</v>
          </cell>
          <cell r="AG39">
            <v>2875.98</v>
          </cell>
          <cell r="AH39">
            <v>958.6600000000001</v>
          </cell>
          <cell r="AI39">
            <v>4793.3</v>
          </cell>
          <cell r="AJ39">
            <v>0</v>
          </cell>
          <cell r="AK39">
            <v>4697.434</v>
          </cell>
          <cell r="AL39">
            <v>0</v>
          </cell>
          <cell r="AM39">
            <v>10784.925000000001</v>
          </cell>
          <cell r="AN39">
            <v>0</v>
          </cell>
          <cell r="AS39">
            <v>3466</v>
          </cell>
          <cell r="AT39">
            <v>84</v>
          </cell>
          <cell r="AU39">
            <v>0</v>
          </cell>
          <cell r="AX39">
            <v>743.75</v>
          </cell>
          <cell r="BA39">
            <v>0</v>
          </cell>
          <cell r="BB39">
            <v>28404.049</v>
          </cell>
          <cell r="BC39">
            <v>339.271</v>
          </cell>
          <cell r="BD39">
            <v>12764.335660000004</v>
          </cell>
          <cell r="BE39">
            <v>-738.2700000000041</v>
          </cell>
        </row>
        <row r="40">
          <cell r="B40">
            <v>4793.3</v>
          </cell>
          <cell r="D40">
            <v>4292.745000000006</v>
          </cell>
          <cell r="S40">
            <v>37169.3</v>
          </cell>
          <cell r="T40">
            <v>0</v>
          </cell>
          <cell r="AB40">
            <v>38220.159999999996</v>
          </cell>
          <cell r="AC40">
            <v>42512.905</v>
          </cell>
          <cell r="AF40">
            <v>783.88066</v>
          </cell>
          <cell r="AG40">
            <v>2875.98</v>
          </cell>
          <cell r="AH40">
            <v>958.6600000000001</v>
          </cell>
          <cell r="AI40">
            <v>4793.3</v>
          </cell>
          <cell r="AJ40">
            <v>0</v>
          </cell>
          <cell r="AK40">
            <v>4697.434</v>
          </cell>
          <cell r="AL40">
            <v>0</v>
          </cell>
          <cell r="AM40">
            <v>10784.925000000001</v>
          </cell>
          <cell r="AN40">
            <v>0</v>
          </cell>
          <cell r="AS40">
            <v>743</v>
          </cell>
          <cell r="AT40">
            <v>533</v>
          </cell>
          <cell r="AU40">
            <v>0</v>
          </cell>
          <cell r="AX40">
            <v>822.5</v>
          </cell>
          <cell r="BA40">
            <v>0</v>
          </cell>
          <cell r="BB40">
            <v>26208.799</v>
          </cell>
          <cell r="BC40">
            <v>339.271</v>
          </cell>
          <cell r="BD40">
            <v>16748.71566</v>
          </cell>
          <cell r="BE40">
            <v>1050.8599999999933</v>
          </cell>
        </row>
        <row r="41">
          <cell r="B41">
            <v>4793.3</v>
          </cell>
          <cell r="D41">
            <v>4305.915000000006</v>
          </cell>
          <cell r="S41">
            <v>37156.13</v>
          </cell>
          <cell r="T41">
            <v>0</v>
          </cell>
          <cell r="AB41">
            <v>42418.21</v>
          </cell>
          <cell r="AC41">
            <v>46724.12500000001</v>
          </cell>
          <cell r="AF41">
            <v>783.88066</v>
          </cell>
          <cell r="AG41">
            <v>2875.98</v>
          </cell>
          <cell r="AH41">
            <v>958.6600000000001</v>
          </cell>
          <cell r="AI41">
            <v>4793.3</v>
          </cell>
          <cell r="AJ41">
            <v>0</v>
          </cell>
          <cell r="AK41">
            <v>4697.434</v>
          </cell>
          <cell r="AL41">
            <v>0</v>
          </cell>
          <cell r="AM41">
            <v>10784.925000000001</v>
          </cell>
          <cell r="AN41">
            <v>0</v>
          </cell>
          <cell r="AT41">
            <v>3568.71</v>
          </cell>
          <cell r="AU41">
            <v>642.3678</v>
          </cell>
          <cell r="AX41">
            <v>899.4999999999999</v>
          </cell>
          <cell r="BA41">
            <v>0</v>
          </cell>
          <cell r="BB41">
            <v>29220.8768</v>
          </cell>
          <cell r="BC41">
            <v>339.271</v>
          </cell>
          <cell r="BD41">
            <v>17947.85786000001</v>
          </cell>
          <cell r="BE41">
            <v>5262.080000000002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86">
          <cell r="I86">
            <v>633.88066</v>
          </cell>
        </row>
      </sheetData>
      <sheetData sheetId="2">
        <row r="87">
          <cell r="M87">
            <v>301.771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56">
          <cell r="J56">
            <v>810.6850000000001</v>
          </cell>
          <cell r="S56">
            <v>456.40700000000004</v>
          </cell>
        </row>
        <row r="197">
          <cell r="J197">
            <v>114</v>
          </cell>
          <cell r="S197">
            <v>28.5</v>
          </cell>
        </row>
      </sheetData>
      <sheetData sheetId="4">
        <row r="53">
          <cell r="J53">
            <v>810.6850000000001</v>
          </cell>
          <cell r="S53">
            <v>456.40700000000004</v>
          </cell>
        </row>
        <row r="204">
          <cell r="J204">
            <v>114</v>
          </cell>
          <cell r="S204">
            <v>28.5</v>
          </cell>
        </row>
      </sheetData>
      <sheetData sheetId="5">
        <row r="53">
          <cell r="J53">
            <v>810.6850000000001</v>
          </cell>
          <cell r="S53">
            <v>456.40700000000004</v>
          </cell>
        </row>
        <row r="235">
          <cell r="J235">
            <v>114</v>
          </cell>
          <cell r="S235">
            <v>28.5</v>
          </cell>
        </row>
      </sheetData>
      <sheetData sheetId="6">
        <row r="53">
          <cell r="J53">
            <v>810.6850000000001</v>
          </cell>
          <cell r="S53">
            <v>456.40700000000004</v>
          </cell>
        </row>
        <row r="237">
          <cell r="J237">
            <v>114</v>
          </cell>
          <cell r="S237">
            <v>28.5</v>
          </cell>
        </row>
      </sheetData>
      <sheetData sheetId="7">
        <row r="53">
          <cell r="J53">
            <v>810.6850000000001</v>
          </cell>
          <cell r="S53">
            <v>456.40700000000004</v>
          </cell>
        </row>
        <row r="237">
          <cell r="J237">
            <v>114</v>
          </cell>
          <cell r="S237">
            <v>28.5</v>
          </cell>
        </row>
        <row r="313">
          <cell r="J313">
            <v>600</v>
          </cell>
          <cell r="S313">
            <v>150</v>
          </cell>
        </row>
      </sheetData>
      <sheetData sheetId="8">
        <row r="53">
          <cell r="J53">
            <v>810.6850000000001</v>
          </cell>
          <cell r="S53">
            <v>456.40700000000004</v>
          </cell>
        </row>
        <row r="237">
          <cell r="J237">
            <v>114</v>
          </cell>
          <cell r="S237">
            <v>28.5</v>
          </cell>
        </row>
        <row r="313">
          <cell r="J313">
            <v>200</v>
          </cell>
          <cell r="S313">
            <v>50</v>
          </cell>
        </row>
      </sheetData>
      <sheetData sheetId="9">
        <row r="53">
          <cell r="J53">
            <v>810.6850000000001</v>
          </cell>
          <cell r="S53">
            <v>456.40700000000004</v>
          </cell>
        </row>
        <row r="236">
          <cell r="J236">
            <v>114</v>
          </cell>
          <cell r="S236">
            <v>28.5</v>
          </cell>
        </row>
        <row r="312">
          <cell r="J312">
            <v>200</v>
          </cell>
          <cell r="S312">
            <v>50</v>
          </cell>
        </row>
      </sheetData>
      <sheetData sheetId="10">
        <row r="53">
          <cell r="J53">
            <v>810.6850000000001</v>
          </cell>
          <cell r="S53">
            <v>456.40700000000004</v>
          </cell>
        </row>
        <row r="238">
          <cell r="J238">
            <v>114</v>
          </cell>
          <cell r="S238">
            <v>28.5</v>
          </cell>
        </row>
        <row r="314">
          <cell r="J314">
            <v>200</v>
          </cell>
          <cell r="S314">
            <v>50</v>
          </cell>
        </row>
      </sheetData>
      <sheetData sheetId="11">
        <row r="53">
          <cell r="J53">
            <v>810.6850000000001</v>
          </cell>
          <cell r="S53">
            <v>456.40700000000004</v>
          </cell>
        </row>
        <row r="240">
          <cell r="J240">
            <v>114</v>
          </cell>
          <cell r="S240">
            <v>28.5</v>
          </cell>
        </row>
        <row r="316">
          <cell r="J316">
            <v>200</v>
          </cell>
          <cell r="S316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88">
          <cell r="O88">
            <v>301.69264200000003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80">
          <cell r="I80">
            <v>633.88066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88">
          <cell r="I88">
            <v>633.88066</v>
          </cell>
        </row>
      </sheetData>
      <sheetData sheetId="1">
        <row r="88">
          <cell r="I88">
            <v>633.88066</v>
          </cell>
          <cell r="O88">
            <v>302.12874000000005</v>
          </cell>
        </row>
      </sheetData>
      <sheetData sheetId="2">
        <row r="89">
          <cell r="I89">
            <v>633.88066</v>
          </cell>
          <cell r="O89">
            <v>302.12874000000005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86">
          <cell r="I86">
            <v>633.88066</v>
          </cell>
        </row>
      </sheetData>
      <sheetData sheetId="2">
        <row r="87">
          <cell r="M87">
            <v>301.771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87">
          <cell r="I87">
            <v>633.88066</v>
          </cell>
          <cell r="M87">
            <v>301.771</v>
          </cell>
        </row>
      </sheetData>
      <sheetData sheetId="5">
        <row r="85">
          <cell r="M85">
            <v>301.771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M42">
            <v>69077.97</v>
          </cell>
          <cell r="N42">
            <v>9964.18</v>
          </cell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82">
          <cell r="I82">
            <v>633.546</v>
          </cell>
          <cell r="R82">
            <v>456.40700000000004</v>
          </cell>
        </row>
        <row r="165">
          <cell r="I165">
            <v>114</v>
          </cell>
          <cell r="R165">
            <v>28.5</v>
          </cell>
        </row>
      </sheetData>
      <sheetData sheetId="1">
        <row r="82">
          <cell r="J82">
            <v>633.546</v>
          </cell>
          <cell r="S82">
            <v>456.40700000000004</v>
          </cell>
        </row>
        <row r="166">
          <cell r="S166">
            <v>28.5</v>
          </cell>
        </row>
        <row r="167">
          <cell r="J167">
            <v>114</v>
          </cell>
        </row>
      </sheetData>
      <sheetData sheetId="2">
        <row r="82">
          <cell r="J82">
            <v>633.546</v>
          </cell>
        </row>
        <row r="167">
          <cell r="J167">
            <v>114</v>
          </cell>
        </row>
      </sheetData>
      <sheetData sheetId="4">
        <row r="81">
          <cell r="J81">
            <v>633.546</v>
          </cell>
        </row>
        <row r="167">
          <cell r="J167">
            <v>114</v>
          </cell>
        </row>
      </sheetData>
      <sheetData sheetId="5">
        <row r="81">
          <cell r="J81">
            <v>633.546</v>
          </cell>
        </row>
        <row r="167">
          <cell r="J167">
            <v>114</v>
          </cell>
        </row>
      </sheetData>
      <sheetData sheetId="6">
        <row r="81">
          <cell r="J81">
            <v>633.546</v>
          </cell>
        </row>
        <row r="171">
          <cell r="J171">
            <v>114</v>
          </cell>
        </row>
      </sheetData>
      <sheetData sheetId="7">
        <row r="81">
          <cell r="J81">
            <v>633.546</v>
          </cell>
        </row>
        <row r="175">
          <cell r="J175">
            <v>114</v>
          </cell>
        </row>
      </sheetData>
      <sheetData sheetId="8">
        <row r="81">
          <cell r="J81">
            <v>633.546</v>
          </cell>
        </row>
        <row r="175">
          <cell r="J175">
            <v>114</v>
          </cell>
        </row>
      </sheetData>
      <sheetData sheetId="10">
        <row r="81">
          <cell r="J81">
            <v>633.546</v>
          </cell>
        </row>
        <row r="175">
          <cell r="J175">
            <v>114</v>
          </cell>
        </row>
      </sheetData>
      <sheetData sheetId="11">
        <row r="81">
          <cell r="J81">
            <v>633.546</v>
          </cell>
        </row>
        <row r="195">
          <cell r="J195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K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S42" sqref="AS42"/>
    </sheetView>
  </sheetViews>
  <sheetFormatPr defaultColWidth="9.00390625" defaultRowHeight="12.75"/>
  <cols>
    <col min="1" max="1" width="8.75390625" style="37" bestFit="1" customWidth="1"/>
    <col min="2" max="2" width="9.125" style="37" customWidth="1"/>
    <col min="3" max="3" width="11.75390625" style="37" customWidth="1"/>
    <col min="4" max="4" width="10.375" style="37" customWidth="1"/>
    <col min="5" max="6" width="9.125" style="37" customWidth="1"/>
    <col min="7" max="7" width="10.25390625" style="37" customWidth="1"/>
    <col min="8" max="8" width="9.125" style="37" customWidth="1"/>
    <col min="9" max="9" width="9.875" style="37" customWidth="1"/>
    <col min="10" max="10" width="9.125" style="37" customWidth="1"/>
    <col min="11" max="11" width="10.375" style="37" customWidth="1"/>
    <col min="12" max="14" width="9.125" style="37" customWidth="1"/>
    <col min="15" max="15" width="10.125" style="37" bestFit="1" customWidth="1"/>
    <col min="16" max="18" width="9.125" style="37" customWidth="1"/>
    <col min="19" max="19" width="10.125" style="37" bestFit="1" customWidth="1"/>
    <col min="20" max="20" width="10.125" style="37" customWidth="1"/>
    <col min="21" max="22" width="9.125" style="37" customWidth="1"/>
    <col min="23" max="23" width="10.625" style="37" customWidth="1"/>
    <col min="24" max="24" width="10.125" style="37" customWidth="1"/>
    <col min="25" max="27" width="9.125" style="37" customWidth="1"/>
    <col min="28" max="28" width="10.125" style="37" bestFit="1" customWidth="1"/>
    <col min="29" max="30" width="11.375" style="37" customWidth="1"/>
    <col min="31" max="31" width="9.25390625" style="37" bestFit="1" customWidth="1"/>
    <col min="32" max="32" width="11.25390625" style="37" customWidth="1"/>
    <col min="33" max="33" width="10.25390625" style="37" customWidth="1"/>
    <col min="34" max="34" width="9.25390625" style="37" bestFit="1" customWidth="1"/>
    <col min="35" max="35" width="10.375" style="37" customWidth="1"/>
    <col min="36" max="36" width="9.25390625" style="37" bestFit="1" customWidth="1"/>
    <col min="37" max="37" width="9.875" style="37" customWidth="1"/>
    <col min="38" max="38" width="9.25390625" style="37" bestFit="1" customWidth="1"/>
    <col min="39" max="39" width="10.125" style="37" bestFit="1" customWidth="1"/>
    <col min="40" max="42" width="9.25390625" style="37" bestFit="1" customWidth="1"/>
    <col min="43" max="44" width="9.25390625" style="37" customWidth="1"/>
    <col min="45" max="45" width="10.125" style="37" bestFit="1" customWidth="1"/>
    <col min="46" max="46" width="10.125" style="37" customWidth="1"/>
    <col min="47" max="47" width="9.25390625" style="37" bestFit="1" customWidth="1"/>
    <col min="48" max="49" width="9.25390625" style="37" customWidth="1"/>
    <col min="50" max="50" width="10.625" style="37" customWidth="1"/>
    <col min="51" max="51" width="9.25390625" style="37" bestFit="1" customWidth="1"/>
    <col min="52" max="53" width="10.125" style="37" bestFit="1" customWidth="1"/>
    <col min="54" max="54" width="12.00390625" style="37" customWidth="1"/>
    <col min="55" max="55" width="10.375" style="37" customWidth="1"/>
    <col min="56" max="56" width="10.75390625" style="37" customWidth="1"/>
    <col min="57" max="57" width="14.00390625" style="37" customWidth="1"/>
    <col min="58" max="16384" width="9.125" style="37" customWidth="1"/>
  </cols>
  <sheetData>
    <row r="1" spans="1:18" ht="21" customHeight="1">
      <c r="A1" s="232" t="s">
        <v>109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39"/>
      <c r="P1" s="39"/>
      <c r="Q1" s="39"/>
      <c r="R1" s="39"/>
    </row>
    <row r="2" spans="1:18" ht="13.5" thickBot="1">
      <c r="A2" s="39"/>
      <c r="B2" s="40"/>
      <c r="C2" s="41"/>
      <c r="D2" s="4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57" ht="13.5" customHeight="1">
      <c r="A3" s="233" t="s">
        <v>0</v>
      </c>
      <c r="B3" s="236" t="s">
        <v>1</v>
      </c>
      <c r="C3" s="236" t="s">
        <v>2</v>
      </c>
      <c r="D3" s="236" t="s">
        <v>3</v>
      </c>
      <c r="E3" s="239" t="s">
        <v>110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3" t="s">
        <v>4</v>
      </c>
      <c r="T3" s="243"/>
      <c r="U3" s="244" t="s">
        <v>5</v>
      </c>
      <c r="V3" s="244"/>
      <c r="W3" s="244"/>
      <c r="X3" s="244"/>
      <c r="Y3" s="244"/>
      <c r="Z3" s="244"/>
      <c r="AA3" s="244"/>
      <c r="AB3" s="244"/>
      <c r="AC3" s="246" t="s">
        <v>73</v>
      </c>
      <c r="AD3" s="246" t="s">
        <v>60</v>
      </c>
      <c r="AE3" s="249" t="s">
        <v>61</v>
      </c>
      <c r="AF3" s="252" t="s">
        <v>65</v>
      </c>
      <c r="AG3" s="257" t="s">
        <v>7</v>
      </c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9" t="s">
        <v>87</v>
      </c>
      <c r="BD3" s="262" t="s">
        <v>8</v>
      </c>
      <c r="BE3" s="265" t="s">
        <v>9</v>
      </c>
    </row>
    <row r="4" spans="1:57" ht="36" customHeight="1" thickBot="1">
      <c r="A4" s="234"/>
      <c r="B4" s="237"/>
      <c r="C4" s="237"/>
      <c r="D4" s="237"/>
      <c r="E4" s="240" t="s">
        <v>10</v>
      </c>
      <c r="F4" s="240"/>
      <c r="G4" s="240" t="s">
        <v>11</v>
      </c>
      <c r="H4" s="240"/>
      <c r="I4" s="240" t="s">
        <v>12</v>
      </c>
      <c r="J4" s="240"/>
      <c r="K4" s="240" t="s">
        <v>13</v>
      </c>
      <c r="L4" s="240"/>
      <c r="M4" s="240" t="s">
        <v>14</v>
      </c>
      <c r="N4" s="240"/>
      <c r="O4" s="240" t="s">
        <v>111</v>
      </c>
      <c r="P4" s="240"/>
      <c r="Q4" s="240" t="s">
        <v>15</v>
      </c>
      <c r="R4" s="240"/>
      <c r="S4" s="240"/>
      <c r="T4" s="240"/>
      <c r="U4" s="245"/>
      <c r="V4" s="245"/>
      <c r="W4" s="245"/>
      <c r="X4" s="245"/>
      <c r="Y4" s="245"/>
      <c r="Z4" s="245"/>
      <c r="AA4" s="245"/>
      <c r="AB4" s="245"/>
      <c r="AC4" s="247"/>
      <c r="AD4" s="247"/>
      <c r="AE4" s="250"/>
      <c r="AF4" s="253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60"/>
      <c r="BD4" s="263"/>
      <c r="BE4" s="266"/>
    </row>
    <row r="5" spans="1:57" ht="29.25" customHeight="1" thickBot="1">
      <c r="A5" s="234"/>
      <c r="B5" s="237"/>
      <c r="C5" s="237"/>
      <c r="D5" s="237"/>
      <c r="E5" s="241" t="s">
        <v>16</v>
      </c>
      <c r="F5" s="241" t="s">
        <v>17</v>
      </c>
      <c r="G5" s="241" t="s">
        <v>16</v>
      </c>
      <c r="H5" s="241" t="s">
        <v>17</v>
      </c>
      <c r="I5" s="241" t="s">
        <v>16</v>
      </c>
      <c r="J5" s="241" t="s">
        <v>17</v>
      </c>
      <c r="K5" s="241" t="s">
        <v>16</v>
      </c>
      <c r="L5" s="241" t="s">
        <v>17</v>
      </c>
      <c r="M5" s="241" t="s">
        <v>16</v>
      </c>
      <c r="N5" s="241" t="s">
        <v>17</v>
      </c>
      <c r="O5" s="241" t="s">
        <v>16</v>
      </c>
      <c r="P5" s="241" t="s">
        <v>17</v>
      </c>
      <c r="Q5" s="241" t="s">
        <v>16</v>
      </c>
      <c r="R5" s="241" t="s">
        <v>17</v>
      </c>
      <c r="S5" s="241" t="s">
        <v>16</v>
      </c>
      <c r="T5" s="241" t="s">
        <v>17</v>
      </c>
      <c r="U5" s="255" t="s">
        <v>18</v>
      </c>
      <c r="V5" s="255" t="s">
        <v>19</v>
      </c>
      <c r="W5" s="255" t="s">
        <v>20</v>
      </c>
      <c r="X5" s="255" t="s">
        <v>21</v>
      </c>
      <c r="Y5" s="255" t="s">
        <v>22</v>
      </c>
      <c r="Z5" s="255" t="s">
        <v>23</v>
      </c>
      <c r="AA5" s="255" t="s">
        <v>24</v>
      </c>
      <c r="AB5" s="255" t="s">
        <v>25</v>
      </c>
      <c r="AC5" s="247"/>
      <c r="AD5" s="247"/>
      <c r="AE5" s="250"/>
      <c r="AF5" s="253"/>
      <c r="AG5" s="258" t="s">
        <v>112</v>
      </c>
      <c r="AH5" s="258" t="s">
        <v>113</v>
      </c>
      <c r="AI5" s="258" t="s">
        <v>104</v>
      </c>
      <c r="AJ5" s="258" t="s">
        <v>26</v>
      </c>
      <c r="AK5" s="258" t="s">
        <v>114</v>
      </c>
      <c r="AL5" s="258" t="s">
        <v>26</v>
      </c>
      <c r="AM5" s="258" t="s">
        <v>115</v>
      </c>
      <c r="AN5" s="258" t="s">
        <v>26</v>
      </c>
      <c r="AO5" s="258" t="s">
        <v>27</v>
      </c>
      <c r="AP5" s="258" t="s">
        <v>26</v>
      </c>
      <c r="AQ5" s="269" t="s">
        <v>116</v>
      </c>
      <c r="AR5" s="271" t="s">
        <v>26</v>
      </c>
      <c r="AS5" s="273" t="s">
        <v>117</v>
      </c>
      <c r="AT5" s="275" t="s">
        <v>118</v>
      </c>
      <c r="AU5" s="275" t="s">
        <v>26</v>
      </c>
      <c r="AV5" s="277" t="s">
        <v>119</v>
      </c>
      <c r="AW5" s="278"/>
      <c r="AX5" s="279"/>
      <c r="AY5" s="258" t="s">
        <v>15</v>
      </c>
      <c r="AZ5" s="258" t="s">
        <v>29</v>
      </c>
      <c r="BA5" s="258" t="s">
        <v>26</v>
      </c>
      <c r="BB5" s="258" t="s">
        <v>30</v>
      </c>
      <c r="BC5" s="260"/>
      <c r="BD5" s="263"/>
      <c r="BE5" s="266"/>
    </row>
    <row r="6" spans="1:57" ht="54" customHeight="1" thickBot="1">
      <c r="A6" s="235"/>
      <c r="B6" s="238"/>
      <c r="C6" s="238"/>
      <c r="D6" s="238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56"/>
      <c r="V6" s="256"/>
      <c r="W6" s="256"/>
      <c r="X6" s="256"/>
      <c r="Y6" s="256"/>
      <c r="Z6" s="256"/>
      <c r="AA6" s="256"/>
      <c r="AB6" s="256"/>
      <c r="AC6" s="248"/>
      <c r="AD6" s="248"/>
      <c r="AE6" s="251"/>
      <c r="AF6" s="254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70"/>
      <c r="AR6" s="272"/>
      <c r="AS6" s="274"/>
      <c r="AT6" s="276"/>
      <c r="AU6" s="276"/>
      <c r="AV6" s="133" t="s">
        <v>120</v>
      </c>
      <c r="AW6" s="133" t="s">
        <v>121</v>
      </c>
      <c r="AX6" s="133" t="s">
        <v>122</v>
      </c>
      <c r="AY6" s="268"/>
      <c r="AZ6" s="268"/>
      <c r="BA6" s="268"/>
      <c r="BB6" s="268"/>
      <c r="BC6" s="261"/>
      <c r="BD6" s="264"/>
      <c r="BE6" s="267"/>
    </row>
    <row r="7" spans="1:57" ht="12.75">
      <c r="A7" s="2">
        <v>1</v>
      </c>
      <c r="B7" s="138">
        <v>2</v>
      </c>
      <c r="C7" s="2">
        <v>3</v>
      </c>
      <c r="D7" s="138">
        <v>4</v>
      </c>
      <c r="E7" s="2">
        <v>5</v>
      </c>
      <c r="F7" s="138">
        <v>6</v>
      </c>
      <c r="G7" s="2">
        <v>7</v>
      </c>
      <c r="H7" s="138">
        <v>8</v>
      </c>
      <c r="I7" s="2">
        <v>9</v>
      </c>
      <c r="J7" s="138">
        <v>10</v>
      </c>
      <c r="K7" s="2">
        <v>11</v>
      </c>
      <c r="L7" s="138">
        <v>12</v>
      </c>
      <c r="M7" s="2">
        <v>13</v>
      </c>
      <c r="N7" s="138">
        <v>14</v>
      </c>
      <c r="O7" s="2">
        <v>15</v>
      </c>
      <c r="P7" s="138">
        <v>16</v>
      </c>
      <c r="Q7" s="2">
        <v>17</v>
      </c>
      <c r="R7" s="138">
        <v>18</v>
      </c>
      <c r="S7" s="2">
        <v>19</v>
      </c>
      <c r="T7" s="138">
        <v>20</v>
      </c>
      <c r="U7" s="2">
        <v>21</v>
      </c>
      <c r="V7" s="138">
        <v>22</v>
      </c>
      <c r="W7" s="2">
        <v>23</v>
      </c>
      <c r="X7" s="138">
        <v>24</v>
      </c>
      <c r="Y7" s="2">
        <v>25</v>
      </c>
      <c r="Z7" s="138">
        <v>26</v>
      </c>
      <c r="AA7" s="2">
        <v>27</v>
      </c>
      <c r="AB7" s="138">
        <v>28</v>
      </c>
      <c r="AC7" s="2">
        <v>29</v>
      </c>
      <c r="AD7" s="138">
        <v>30</v>
      </c>
      <c r="AE7" s="2">
        <v>31</v>
      </c>
      <c r="AF7" s="138">
        <v>32</v>
      </c>
      <c r="AG7" s="2">
        <v>33</v>
      </c>
      <c r="AH7" s="138">
        <v>34</v>
      </c>
      <c r="AI7" s="2">
        <v>35</v>
      </c>
      <c r="AJ7" s="138">
        <v>36</v>
      </c>
      <c r="AK7" s="2">
        <v>37</v>
      </c>
      <c r="AL7" s="138">
        <v>38</v>
      </c>
      <c r="AM7" s="2">
        <v>39</v>
      </c>
      <c r="AN7" s="138">
        <v>40</v>
      </c>
      <c r="AO7" s="2">
        <v>41</v>
      </c>
      <c r="AP7" s="138">
        <v>42</v>
      </c>
      <c r="AQ7" s="2">
        <v>43</v>
      </c>
      <c r="AR7" s="138">
        <v>44</v>
      </c>
      <c r="AS7" s="2">
        <v>45</v>
      </c>
      <c r="AT7" s="138">
        <v>46</v>
      </c>
      <c r="AU7" s="2">
        <v>47</v>
      </c>
      <c r="AV7" s="138">
        <v>48</v>
      </c>
      <c r="AW7" s="2">
        <v>49</v>
      </c>
      <c r="AX7" s="138">
        <v>50</v>
      </c>
      <c r="AY7" s="2">
        <v>51</v>
      </c>
      <c r="AZ7" s="138">
        <v>52</v>
      </c>
      <c r="BA7" s="2">
        <v>53</v>
      </c>
      <c r="BB7" s="138">
        <v>54</v>
      </c>
      <c r="BC7" s="2">
        <v>55</v>
      </c>
      <c r="BD7" s="138">
        <v>56</v>
      </c>
      <c r="BE7" s="2">
        <v>57</v>
      </c>
    </row>
    <row r="8" spans="1:57" ht="12.75">
      <c r="A8" s="1" t="s">
        <v>105</v>
      </c>
      <c r="B8" s="157"/>
      <c r="C8" s="157"/>
      <c r="D8" s="157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9"/>
    </row>
    <row r="9" spans="1:57" ht="12.75">
      <c r="A9" s="53" t="s">
        <v>31</v>
      </c>
      <c r="B9" s="54">
        <v>4791.2</v>
      </c>
      <c r="C9" s="160">
        <f>B9*8.65</f>
        <v>41443.88</v>
      </c>
      <c r="D9" s="16">
        <f>C9*0.24088</f>
        <v>9983.0018144</v>
      </c>
      <c r="E9" s="25">
        <v>3379.79</v>
      </c>
      <c r="F9" s="25">
        <v>565.05</v>
      </c>
      <c r="G9" s="25">
        <v>4562.86</v>
      </c>
      <c r="H9" s="25">
        <v>762.77</v>
      </c>
      <c r="I9" s="25">
        <v>10984.42</v>
      </c>
      <c r="J9" s="25">
        <v>1836.38</v>
      </c>
      <c r="K9" s="25">
        <v>7604.62</v>
      </c>
      <c r="L9" s="25">
        <v>1271.33</v>
      </c>
      <c r="M9" s="25">
        <v>2703.84</v>
      </c>
      <c r="N9" s="25">
        <v>452.01</v>
      </c>
      <c r="O9" s="25">
        <v>0</v>
      </c>
      <c r="P9" s="25">
        <v>0</v>
      </c>
      <c r="Q9" s="25">
        <v>0</v>
      </c>
      <c r="R9" s="25">
        <v>0</v>
      </c>
      <c r="S9" s="25">
        <f>E9+G9+I9+K9+M9+O9+Q9</f>
        <v>29235.53</v>
      </c>
      <c r="T9" s="26">
        <f>P9+N9+L9+J9+H9+F9+R9</f>
        <v>4887.54</v>
      </c>
      <c r="U9" s="25">
        <v>68.83</v>
      </c>
      <c r="V9" s="25">
        <v>92.92</v>
      </c>
      <c r="W9" s="25">
        <v>223.71</v>
      </c>
      <c r="X9" s="25">
        <v>154.88</v>
      </c>
      <c r="Y9" s="25">
        <v>55.07</v>
      </c>
      <c r="Z9" s="27">
        <v>0</v>
      </c>
      <c r="AA9" s="27">
        <v>0</v>
      </c>
      <c r="AB9" s="27">
        <f>SUM(U9:AA9)</f>
        <v>595.4100000000001</v>
      </c>
      <c r="AC9" s="161">
        <f>D9+T9+AB9</f>
        <v>15465.9518144</v>
      </c>
      <c r="AD9" s="162">
        <f>P9+Z9</f>
        <v>0</v>
      </c>
      <c r="AE9" s="28">
        <f>R9+AA9</f>
        <v>0</v>
      </c>
      <c r="AF9" s="28"/>
      <c r="AG9" s="29">
        <f>0.6*B9</f>
        <v>2874.72</v>
      </c>
      <c r="AH9" s="29">
        <f>B9*0.2*1.05826</f>
        <v>1014.0670623999999</v>
      </c>
      <c r="AI9" s="29">
        <f>0.8518*B9-0.01</f>
        <v>4081.1341599999996</v>
      </c>
      <c r="AJ9" s="29">
        <f>AI9*0.18</f>
        <v>734.6041487999998</v>
      </c>
      <c r="AK9" s="29">
        <f>1.04*B9*0.9531</f>
        <v>4749.1524288</v>
      </c>
      <c r="AL9" s="29">
        <f>AK9*0.18</f>
        <v>854.847437184</v>
      </c>
      <c r="AM9" s="29">
        <f>(1.91)*B9*0.9531</f>
        <v>8722.0010952</v>
      </c>
      <c r="AN9" s="29">
        <f>AM9*0.18</f>
        <v>1569.9601971359998</v>
      </c>
      <c r="AO9" s="29"/>
      <c r="AP9" s="29">
        <f>AO9*0.18</f>
        <v>0</v>
      </c>
      <c r="AQ9" s="30"/>
      <c r="AR9" s="30"/>
      <c r="AS9" s="31">
        <v>4761.55</v>
      </c>
      <c r="AT9" s="31"/>
      <c r="AU9" s="31">
        <f>(AS9+AT9)*0.18</f>
        <v>857.079</v>
      </c>
      <c r="AV9" s="163"/>
      <c r="AW9" s="164"/>
      <c r="AX9" s="29">
        <f>AV9*AW9*1.12*1.18</f>
        <v>0</v>
      </c>
      <c r="AY9" s="17"/>
      <c r="AZ9" s="32"/>
      <c r="BA9" s="32">
        <f>AZ9*0.18</f>
        <v>0</v>
      </c>
      <c r="BB9" s="32">
        <f>SUM(AG9:BA9)-AV9-AW9</f>
        <v>30219.115529519997</v>
      </c>
      <c r="BC9" s="33"/>
      <c r="BD9" s="114">
        <f>AC9-BB9</f>
        <v>-14753.163715119998</v>
      </c>
      <c r="BE9" s="117">
        <f>AB9-S9</f>
        <v>-28640.12</v>
      </c>
    </row>
    <row r="10" spans="1:57" ht="12.75">
      <c r="A10" s="53" t="s">
        <v>32</v>
      </c>
      <c r="B10" s="54">
        <v>4791.2</v>
      </c>
      <c r="C10" s="160">
        <f>B10*8.65</f>
        <v>41443.88</v>
      </c>
      <c r="D10" s="16">
        <f>C10*0.24088</f>
        <v>9983.0018144</v>
      </c>
      <c r="E10" s="25">
        <v>3204.29</v>
      </c>
      <c r="F10" s="25">
        <v>535.84</v>
      </c>
      <c r="G10" s="25">
        <v>4325.75</v>
      </c>
      <c r="H10" s="25">
        <v>723.34</v>
      </c>
      <c r="I10" s="25">
        <v>10413.7</v>
      </c>
      <c r="J10" s="25">
        <v>1741.43</v>
      </c>
      <c r="K10" s="25">
        <v>7209.55</v>
      </c>
      <c r="L10" s="25">
        <v>1205.59</v>
      </c>
      <c r="M10" s="25">
        <v>2563.4</v>
      </c>
      <c r="N10" s="25">
        <v>428.65</v>
      </c>
      <c r="O10" s="25">
        <v>0</v>
      </c>
      <c r="P10" s="25">
        <v>0</v>
      </c>
      <c r="Q10" s="25">
        <v>0</v>
      </c>
      <c r="R10" s="25">
        <v>0</v>
      </c>
      <c r="S10" s="25">
        <f>E10+G10+I10+K10+M10+O10+Q10</f>
        <v>27716.690000000002</v>
      </c>
      <c r="T10" s="26">
        <f>P10+N10+L10+J10+H10+F10+R10</f>
        <v>4634.85</v>
      </c>
      <c r="U10" s="25">
        <v>1935.15</v>
      </c>
      <c r="V10" s="25">
        <v>2612.6</v>
      </c>
      <c r="W10" s="25">
        <v>6289.05</v>
      </c>
      <c r="X10" s="25">
        <v>4354.17</v>
      </c>
      <c r="Y10" s="25">
        <v>1548.84</v>
      </c>
      <c r="Z10" s="25">
        <v>0</v>
      </c>
      <c r="AA10" s="27">
        <v>0</v>
      </c>
      <c r="AB10" s="71">
        <f>SUM(U10:AA10)</f>
        <v>16739.809999999998</v>
      </c>
      <c r="AC10" s="165">
        <f>D10+T10+AB10</f>
        <v>31357.6618144</v>
      </c>
      <c r="AD10" s="28">
        <f>P10+Z10</f>
        <v>0</v>
      </c>
      <c r="AE10" s="28">
        <f>R10+AA10</f>
        <v>0</v>
      </c>
      <c r="AF10" s="28"/>
      <c r="AG10" s="29">
        <f>0.6*B10</f>
        <v>2874.72</v>
      </c>
      <c r="AH10" s="29">
        <f>B10*0.201</f>
        <v>963.0312</v>
      </c>
      <c r="AI10" s="29">
        <f>0.8518*B10-0.01</f>
        <v>4081.1341599999996</v>
      </c>
      <c r="AJ10" s="29">
        <f>AI10*0.18</f>
        <v>734.6041487999998</v>
      </c>
      <c r="AK10" s="29">
        <f>1.04*B10*0.9531</f>
        <v>4749.1524288</v>
      </c>
      <c r="AL10" s="29">
        <f>AK10*0.18</f>
        <v>854.847437184</v>
      </c>
      <c r="AM10" s="29">
        <f>(1.91)*B10*0.9531</f>
        <v>8722.0010952</v>
      </c>
      <c r="AN10" s="29">
        <f>AM10*0.18</f>
        <v>1569.9601971359998</v>
      </c>
      <c r="AO10" s="29"/>
      <c r="AP10" s="29">
        <f>AO10*0.18</f>
        <v>0</v>
      </c>
      <c r="AQ10" s="30"/>
      <c r="AR10" s="30"/>
      <c r="AS10" s="31">
        <v>13712</v>
      </c>
      <c r="AT10" s="31"/>
      <c r="AU10" s="31">
        <f>(AS10+AT10)*0.18</f>
        <v>2468.16</v>
      </c>
      <c r="AV10" s="163"/>
      <c r="AW10" s="164"/>
      <c r="AX10" s="29">
        <f>AV10*AW10*1.12*1.18</f>
        <v>0</v>
      </c>
      <c r="AY10" s="17"/>
      <c r="AZ10" s="32"/>
      <c r="BA10" s="32">
        <f>AZ10*0.18</f>
        <v>0</v>
      </c>
      <c r="BB10" s="32">
        <f>SUM(AG10:BA10)-AV10-AW10</f>
        <v>40729.610667119996</v>
      </c>
      <c r="BC10" s="33"/>
      <c r="BD10" s="114">
        <f>AC10-BB10</f>
        <v>-9371.948852719997</v>
      </c>
      <c r="BE10" s="117">
        <f>AB10-S10</f>
        <v>-10976.880000000005</v>
      </c>
    </row>
    <row r="11" spans="1:57" ht="12.75">
      <c r="A11" s="53" t="s">
        <v>106</v>
      </c>
      <c r="B11" s="54">
        <v>4791.2</v>
      </c>
      <c r="C11" s="160">
        <f>B11*8.65</f>
        <v>41443.88</v>
      </c>
      <c r="D11" s="16">
        <f>C11*0.24035</f>
        <v>9961.036558</v>
      </c>
      <c r="E11" s="25">
        <v>3238.54</v>
      </c>
      <c r="F11" s="25">
        <v>554.01</v>
      </c>
      <c r="G11" s="25">
        <v>4372.07</v>
      </c>
      <c r="H11" s="25">
        <v>747.89</v>
      </c>
      <c r="I11" s="25">
        <v>10525.19</v>
      </c>
      <c r="J11" s="25">
        <v>1800.53</v>
      </c>
      <c r="K11" s="25">
        <v>7286.65</v>
      </c>
      <c r="L11" s="25">
        <v>1246.51</v>
      </c>
      <c r="M11" s="25">
        <v>2590.84</v>
      </c>
      <c r="N11" s="27">
        <v>443.19</v>
      </c>
      <c r="O11" s="27">
        <v>0</v>
      </c>
      <c r="P11" s="27">
        <v>0</v>
      </c>
      <c r="Q11" s="27">
        <v>0</v>
      </c>
      <c r="R11" s="27">
        <v>0</v>
      </c>
      <c r="S11" s="25">
        <f>E11+G11+I11+K11+M11+O11+Q11</f>
        <v>28013.289999999997</v>
      </c>
      <c r="T11" s="26">
        <f>P11+N11+L11+J11+H11+F11+R11</f>
        <v>4792.13</v>
      </c>
      <c r="U11" s="25">
        <v>3370.13</v>
      </c>
      <c r="V11" s="25">
        <v>4549.71</v>
      </c>
      <c r="W11" s="25">
        <v>10952.98</v>
      </c>
      <c r="X11" s="25">
        <v>7582.68</v>
      </c>
      <c r="Y11" s="25">
        <v>2695.36</v>
      </c>
      <c r="Z11" s="25">
        <v>0</v>
      </c>
      <c r="AA11" s="27">
        <v>0</v>
      </c>
      <c r="AB11" s="71">
        <f>SUM(U11:AA11)</f>
        <v>29150.86</v>
      </c>
      <c r="AC11" s="165">
        <f>D11+T11+AB11</f>
        <v>43904.026558</v>
      </c>
      <c r="AD11" s="28">
        <f>P11+Z11</f>
        <v>0</v>
      </c>
      <c r="AE11" s="28">
        <f>R11+AA11</f>
        <v>0</v>
      </c>
      <c r="AF11" s="28"/>
      <c r="AG11" s="29">
        <f>0.6*B11</f>
        <v>2874.72</v>
      </c>
      <c r="AH11" s="29">
        <f>B11*0.2*1.02524-0.01</f>
        <v>982.4159775999999</v>
      </c>
      <c r="AI11" s="29">
        <f>0.84932*B11</f>
        <v>4069.2619839999998</v>
      </c>
      <c r="AJ11" s="29">
        <f>AI11*0.18</f>
        <v>732.4671571199999</v>
      </c>
      <c r="AK11" s="29">
        <f>1.04*B11*0.95033</f>
        <v>4735.34993984</v>
      </c>
      <c r="AL11" s="29">
        <f>AK11*0.18</f>
        <v>852.3629891712</v>
      </c>
      <c r="AM11" s="29">
        <f>(1.91)*B11*0.95033</f>
        <v>8696.652293359999</v>
      </c>
      <c r="AN11" s="29">
        <f>AM11*0.18</f>
        <v>1565.3974128047998</v>
      </c>
      <c r="AO11" s="29"/>
      <c r="AP11" s="29">
        <f>AO11*0.18</f>
        <v>0</v>
      </c>
      <c r="AQ11" s="30"/>
      <c r="AR11" s="30"/>
      <c r="AS11" s="31">
        <v>13103</v>
      </c>
      <c r="AT11" s="31"/>
      <c r="AU11" s="31">
        <f>(AS11+AT11)*0.18</f>
        <v>2358.54</v>
      </c>
      <c r="AV11" s="163"/>
      <c r="AW11" s="164"/>
      <c r="AX11" s="29">
        <f>AV11*AW11*1.12*1.18</f>
        <v>0</v>
      </c>
      <c r="AY11" s="17"/>
      <c r="AZ11" s="32"/>
      <c r="BA11" s="32">
        <f>AZ11*0.18</f>
        <v>0</v>
      </c>
      <c r="BB11" s="32">
        <f>SUM(AG11:BA11)-AV11-AW11</f>
        <v>39970.167753896</v>
      </c>
      <c r="BC11" s="33"/>
      <c r="BD11" s="114">
        <f>AC11-BB11</f>
        <v>3933.8588041039984</v>
      </c>
      <c r="BE11" s="117">
        <f>AB11-S11</f>
        <v>1137.5700000000033</v>
      </c>
    </row>
    <row r="12" spans="1:57" s="3" customFormat="1" ht="15" customHeight="1">
      <c r="A12" s="166" t="s">
        <v>4</v>
      </c>
      <c r="B12" s="167"/>
      <c r="C12" s="167">
        <f aca="true" t="shared" si="0" ref="C12:BE12">SUM(C9:C11)</f>
        <v>124331.63999999998</v>
      </c>
      <c r="D12" s="167">
        <f t="shared" si="0"/>
        <v>29927.0401868</v>
      </c>
      <c r="E12" s="168">
        <f>SUM(E9:E11)</f>
        <v>9822.619999999999</v>
      </c>
      <c r="F12" s="168">
        <f t="shared" si="0"/>
        <v>1654.8999999999999</v>
      </c>
      <c r="G12" s="168">
        <f t="shared" si="0"/>
        <v>13260.68</v>
      </c>
      <c r="H12" s="168">
        <f t="shared" si="0"/>
        <v>2234</v>
      </c>
      <c r="I12" s="168">
        <f t="shared" si="0"/>
        <v>31923.310000000005</v>
      </c>
      <c r="J12" s="168">
        <f t="shared" si="0"/>
        <v>5378.34</v>
      </c>
      <c r="K12" s="168">
        <f t="shared" si="0"/>
        <v>22100.82</v>
      </c>
      <c r="L12" s="168">
        <f t="shared" si="0"/>
        <v>3723.4300000000003</v>
      </c>
      <c r="M12" s="168">
        <f t="shared" si="0"/>
        <v>7858.08</v>
      </c>
      <c r="N12" s="168">
        <f t="shared" si="0"/>
        <v>1323.85</v>
      </c>
      <c r="O12" s="168">
        <f t="shared" si="0"/>
        <v>0</v>
      </c>
      <c r="P12" s="168">
        <f t="shared" si="0"/>
        <v>0</v>
      </c>
      <c r="Q12" s="168">
        <f t="shared" si="0"/>
        <v>0</v>
      </c>
      <c r="R12" s="168">
        <f t="shared" si="0"/>
        <v>0</v>
      </c>
      <c r="S12" s="168">
        <f t="shared" si="0"/>
        <v>84965.51</v>
      </c>
      <c r="T12" s="168">
        <f t="shared" si="0"/>
        <v>14314.52</v>
      </c>
      <c r="U12" s="169">
        <f t="shared" si="0"/>
        <v>5374.110000000001</v>
      </c>
      <c r="V12" s="169">
        <f t="shared" si="0"/>
        <v>7255.23</v>
      </c>
      <c r="W12" s="169">
        <f t="shared" si="0"/>
        <v>17465.739999999998</v>
      </c>
      <c r="X12" s="169">
        <f t="shared" si="0"/>
        <v>12091.73</v>
      </c>
      <c r="Y12" s="169">
        <f t="shared" si="0"/>
        <v>4299.27</v>
      </c>
      <c r="Z12" s="169">
        <f t="shared" si="0"/>
        <v>0</v>
      </c>
      <c r="AA12" s="169">
        <f t="shared" si="0"/>
        <v>0</v>
      </c>
      <c r="AB12" s="169">
        <f t="shared" si="0"/>
        <v>46486.08</v>
      </c>
      <c r="AC12" s="169">
        <f t="shared" si="0"/>
        <v>90727.6401868</v>
      </c>
      <c r="AD12" s="169">
        <f>SUM(AD9:AD11)</f>
        <v>0</v>
      </c>
      <c r="AE12" s="170">
        <f t="shared" si="0"/>
        <v>0</v>
      </c>
      <c r="AF12" s="170">
        <f t="shared" si="0"/>
        <v>0</v>
      </c>
      <c r="AG12" s="171">
        <f t="shared" si="0"/>
        <v>8624.16</v>
      </c>
      <c r="AH12" s="171">
        <f t="shared" si="0"/>
        <v>2959.5142399999995</v>
      </c>
      <c r="AI12" s="171">
        <f t="shared" si="0"/>
        <v>12231.530304</v>
      </c>
      <c r="AJ12" s="171">
        <f t="shared" si="0"/>
        <v>2201.67545472</v>
      </c>
      <c r="AK12" s="171">
        <f t="shared" si="0"/>
        <v>14233.65479744</v>
      </c>
      <c r="AL12" s="171">
        <f t="shared" si="0"/>
        <v>2562.0578635392</v>
      </c>
      <c r="AM12" s="171">
        <f>SUM(AM9:AM11)</f>
        <v>26140.654483759998</v>
      </c>
      <c r="AN12" s="171">
        <f>SUM(AN9:AN11)</f>
        <v>4705.317807076799</v>
      </c>
      <c r="AO12" s="171">
        <f t="shared" si="0"/>
        <v>0</v>
      </c>
      <c r="AP12" s="171">
        <f t="shared" si="0"/>
        <v>0</v>
      </c>
      <c r="AQ12" s="171">
        <f>SUM(AQ9:AQ11)</f>
        <v>0</v>
      </c>
      <c r="AR12" s="171">
        <f>SUM(AR9:AR11)</f>
        <v>0</v>
      </c>
      <c r="AS12" s="171">
        <f>SUM(AS9:AS11)</f>
        <v>31576.55</v>
      </c>
      <c r="AT12" s="171">
        <f>SUM(AT9:AT11)</f>
        <v>0</v>
      </c>
      <c r="AU12" s="171">
        <f>SUM(AU9:AU11)</f>
        <v>5683.7789999999995</v>
      </c>
      <c r="AV12" s="171"/>
      <c r="AW12" s="171"/>
      <c r="AX12" s="171">
        <f t="shared" si="0"/>
        <v>0</v>
      </c>
      <c r="AY12" s="171">
        <f t="shared" si="0"/>
        <v>0</v>
      </c>
      <c r="AZ12" s="171">
        <f t="shared" si="0"/>
        <v>0</v>
      </c>
      <c r="BA12" s="171">
        <f t="shared" si="0"/>
        <v>0</v>
      </c>
      <c r="BB12" s="171">
        <f t="shared" si="0"/>
        <v>110918.893950536</v>
      </c>
      <c r="BC12" s="171">
        <f t="shared" si="0"/>
        <v>0</v>
      </c>
      <c r="BD12" s="171">
        <f t="shared" si="0"/>
        <v>-20191.253763735996</v>
      </c>
      <c r="BE12" s="172">
        <f t="shared" si="0"/>
        <v>-38479.42999999999</v>
      </c>
    </row>
    <row r="13" spans="1:57" ht="15" customHeight="1">
      <c r="A13" s="1" t="s">
        <v>107</v>
      </c>
      <c r="B13" s="173"/>
      <c r="C13" s="174"/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6"/>
      <c r="R13" s="176"/>
      <c r="S13" s="176"/>
      <c r="T13" s="176"/>
      <c r="U13" s="177"/>
      <c r="V13" s="177"/>
      <c r="W13" s="177"/>
      <c r="X13" s="177"/>
      <c r="Y13" s="177"/>
      <c r="Z13" s="177"/>
      <c r="AA13" s="178"/>
      <c r="AB13" s="178"/>
      <c r="AC13" s="179"/>
      <c r="AD13" s="179"/>
      <c r="AE13" s="180"/>
      <c r="AF13" s="180"/>
      <c r="AG13" s="114"/>
      <c r="AH13" s="114"/>
      <c r="AI13" s="114"/>
      <c r="AJ13" s="114"/>
      <c r="AK13" s="114"/>
      <c r="AL13" s="114"/>
      <c r="AM13" s="114"/>
      <c r="AN13" s="114"/>
      <c r="AO13" s="115"/>
      <c r="AP13" s="115"/>
      <c r="AQ13" s="115"/>
      <c r="AR13" s="115"/>
      <c r="AS13" s="115"/>
      <c r="AT13" s="115"/>
      <c r="AU13" s="114"/>
      <c r="AV13" s="114"/>
      <c r="AW13" s="114"/>
      <c r="AX13" s="115"/>
      <c r="AY13" s="115"/>
      <c r="AZ13" s="115"/>
      <c r="BA13" s="114"/>
      <c r="BB13" s="114"/>
      <c r="BC13" s="114"/>
      <c r="BD13" s="114"/>
      <c r="BE13" s="117"/>
    </row>
    <row r="14" spans="1:57" ht="12.75">
      <c r="A14" s="53" t="s">
        <v>33</v>
      </c>
      <c r="B14" s="181">
        <v>4791.7</v>
      </c>
      <c r="C14" s="160">
        <f>B14*8.65</f>
        <v>41448.205</v>
      </c>
      <c r="D14" s="16">
        <f>C14*0.125</f>
        <v>5181.025625</v>
      </c>
      <c r="E14" s="25">
        <v>3251.12</v>
      </c>
      <c r="F14" s="25">
        <v>554.02</v>
      </c>
      <c r="G14" s="25">
        <v>4389.04</v>
      </c>
      <c r="H14" s="25">
        <v>747.89</v>
      </c>
      <c r="I14" s="25">
        <v>10566.03</v>
      </c>
      <c r="J14" s="25">
        <v>1800.53</v>
      </c>
      <c r="K14" s="25">
        <v>7314.94</v>
      </c>
      <c r="L14" s="25">
        <v>1246.52</v>
      </c>
      <c r="M14" s="25">
        <v>2600.9</v>
      </c>
      <c r="N14" s="27">
        <v>443.19</v>
      </c>
      <c r="O14" s="27">
        <v>0</v>
      </c>
      <c r="P14" s="27">
        <v>0</v>
      </c>
      <c r="Q14" s="27">
        <v>0</v>
      </c>
      <c r="R14" s="27">
        <v>0</v>
      </c>
      <c r="S14" s="25">
        <f>E14+G14+I14+K14+M14+O14+Q14</f>
        <v>28122.030000000002</v>
      </c>
      <c r="T14" s="26">
        <f>P14+N14+L14+J14+H14+F14+R14</f>
        <v>4792.15</v>
      </c>
      <c r="U14" s="25">
        <v>2248.08</v>
      </c>
      <c r="V14" s="25">
        <v>3034.94</v>
      </c>
      <c r="W14" s="25">
        <v>7286.28</v>
      </c>
      <c r="X14" s="25">
        <v>5058.13</v>
      </c>
      <c r="Y14" s="25">
        <v>1798.4</v>
      </c>
      <c r="Z14" s="25">
        <v>0</v>
      </c>
      <c r="AA14" s="27">
        <v>0</v>
      </c>
      <c r="AB14" s="182">
        <f>SUM(U14:AA14)</f>
        <v>19425.83</v>
      </c>
      <c r="AC14" s="165">
        <f>D14+T14+AB14</f>
        <v>29399.005625</v>
      </c>
      <c r="AD14" s="28">
        <f>P14+Z14</f>
        <v>0</v>
      </c>
      <c r="AE14" s="28">
        <f>R14+AA14</f>
        <v>0</v>
      </c>
      <c r="AF14" s="28"/>
      <c r="AG14" s="29">
        <f>0.6*B14*0.9</f>
        <v>2587.518</v>
      </c>
      <c r="AH14" s="29">
        <f>B14*0.2*0.891</f>
        <v>853.88094</v>
      </c>
      <c r="AI14" s="29">
        <f>0.85*B14*0.867-0.02</f>
        <v>3531.2233149999997</v>
      </c>
      <c r="AJ14" s="29">
        <f>AI14*0.18</f>
        <v>635.6201967</v>
      </c>
      <c r="AK14" s="29">
        <f>0.83*B14*0.8685</f>
        <v>3454.1209035</v>
      </c>
      <c r="AL14" s="29">
        <f>AK14*0.18</f>
        <v>621.74176263</v>
      </c>
      <c r="AM14" s="29">
        <f>1.91*B14*0.8686</f>
        <v>7949.5548842</v>
      </c>
      <c r="AN14" s="29">
        <f>AM14*0.18</f>
        <v>1430.919879156</v>
      </c>
      <c r="AO14" s="29"/>
      <c r="AP14" s="29">
        <f>AO14*0.18</f>
        <v>0</v>
      </c>
      <c r="AQ14" s="30"/>
      <c r="AR14" s="30">
        <f>AQ14*0.18</f>
        <v>0</v>
      </c>
      <c r="AS14" s="31">
        <v>6597</v>
      </c>
      <c r="AT14" s="31"/>
      <c r="AU14" s="31">
        <f>(AS14+AT14)*0.18+0.01</f>
        <v>1187.47</v>
      </c>
      <c r="AV14" s="163">
        <v>508</v>
      </c>
      <c r="AW14" s="164">
        <v>1.25</v>
      </c>
      <c r="AX14" s="29">
        <f aca="true" t="shared" si="1" ref="AX14:AX22">AV14*AW14*1.12*1.18</f>
        <v>839.216</v>
      </c>
      <c r="AY14" s="17"/>
      <c r="AZ14" s="32"/>
      <c r="BA14" s="32">
        <f>AZ14*0.18</f>
        <v>0</v>
      </c>
      <c r="BB14" s="32">
        <f>SUM(AG14:AU14)</f>
        <v>28849.049881186</v>
      </c>
      <c r="BC14" s="33"/>
      <c r="BD14" s="114">
        <f aca="true" t="shared" si="2" ref="BD14:BD24">AC14+AF14-BB14-BC14</f>
        <v>549.955743814</v>
      </c>
      <c r="BE14" s="117">
        <f>AB14-S14</f>
        <v>-8696.2</v>
      </c>
    </row>
    <row r="15" spans="1:57" ht="12.75">
      <c r="A15" s="53" t="s">
        <v>34</v>
      </c>
      <c r="B15" s="181">
        <v>4791.7</v>
      </c>
      <c r="C15" s="160">
        <f>B15*8.65</f>
        <v>41448.205</v>
      </c>
      <c r="D15" s="16">
        <f>C15*0.125</f>
        <v>5181.025625</v>
      </c>
      <c r="E15" s="25">
        <v>3107.81</v>
      </c>
      <c r="F15" s="25">
        <v>559.49</v>
      </c>
      <c r="G15" s="25">
        <v>4195.73</v>
      </c>
      <c r="H15" s="25">
        <v>755.27</v>
      </c>
      <c r="I15" s="25">
        <v>10100.34</v>
      </c>
      <c r="J15" s="25">
        <v>1818.3</v>
      </c>
      <c r="K15" s="25">
        <v>6992.54</v>
      </c>
      <c r="L15" s="25">
        <v>1258.82</v>
      </c>
      <c r="M15" s="25">
        <v>2486.21</v>
      </c>
      <c r="N15" s="27">
        <v>447.56</v>
      </c>
      <c r="O15" s="27">
        <v>0</v>
      </c>
      <c r="P15" s="27">
        <v>0</v>
      </c>
      <c r="Q15" s="27">
        <v>0</v>
      </c>
      <c r="R15" s="27">
        <v>0</v>
      </c>
      <c r="S15" s="25">
        <f>E15+G15+I15+K15+M15+O15+Q15</f>
        <v>26882.629999999997</v>
      </c>
      <c r="T15" s="26">
        <f>P15+N15+L15+J15+H15+F15+R15</f>
        <v>4839.44</v>
      </c>
      <c r="U15" s="25">
        <v>2685.84</v>
      </c>
      <c r="V15" s="25">
        <v>3626.05</v>
      </c>
      <c r="W15" s="25">
        <v>8729.08</v>
      </c>
      <c r="X15" s="25">
        <v>6043.11</v>
      </c>
      <c r="Y15" s="25">
        <v>2148.75</v>
      </c>
      <c r="Z15" s="25">
        <v>0</v>
      </c>
      <c r="AA15" s="27">
        <v>0</v>
      </c>
      <c r="AB15" s="71">
        <f>SUM(U15:AA15)</f>
        <v>23232.83</v>
      </c>
      <c r="AC15" s="165">
        <f>D15+T15+AB15</f>
        <v>33253.295625</v>
      </c>
      <c r="AD15" s="28">
        <f>P15+Z15</f>
        <v>0</v>
      </c>
      <c r="AE15" s="28">
        <f>R15+AA15</f>
        <v>0</v>
      </c>
      <c r="AF15" s="28"/>
      <c r="AG15" s="29">
        <f>0.6*B15*0.9</f>
        <v>2587.518</v>
      </c>
      <c r="AH15" s="29">
        <f>B15*0.2*0.9153</f>
        <v>877.1686020000001</v>
      </c>
      <c r="AI15" s="29">
        <f>0.85*B15*0.867</f>
        <v>3531.2433149999997</v>
      </c>
      <c r="AJ15" s="29">
        <f>AI15*0.18</f>
        <v>635.6237967</v>
      </c>
      <c r="AK15" s="29">
        <f>0.83*B15*0.8684</f>
        <v>3453.7231924</v>
      </c>
      <c r="AL15" s="29">
        <f>AK15*0.18</f>
        <v>621.6701746319999</v>
      </c>
      <c r="AM15" s="29">
        <f>(1.91)*B15*0.8684</f>
        <v>7947.724454799999</v>
      </c>
      <c r="AN15" s="29">
        <f>AM15*0.18</f>
        <v>1430.5904018639997</v>
      </c>
      <c r="AO15" s="29"/>
      <c r="AP15" s="29">
        <f>AO15*0.18</f>
        <v>0</v>
      </c>
      <c r="AQ15" s="30"/>
      <c r="AR15" s="30">
        <f>AQ15*0.18</f>
        <v>0</v>
      </c>
      <c r="AS15" s="31">
        <v>3905</v>
      </c>
      <c r="AT15" s="31"/>
      <c r="AU15" s="31">
        <f aca="true" t="shared" si="3" ref="AU15:AU25">(AS15+AT15)*0.18</f>
        <v>702.9</v>
      </c>
      <c r="AV15" s="163">
        <v>407</v>
      </c>
      <c r="AW15" s="164">
        <v>1.25</v>
      </c>
      <c r="AX15" s="29">
        <f t="shared" si="1"/>
        <v>672.364</v>
      </c>
      <c r="AY15" s="17"/>
      <c r="AZ15" s="32"/>
      <c r="BA15" s="32">
        <f>AZ15*0.18</f>
        <v>0</v>
      </c>
      <c r="BB15" s="32">
        <f>SUM(AG15:AU15)+AY15</f>
        <v>25693.161937396</v>
      </c>
      <c r="BC15" s="183"/>
      <c r="BD15" s="114">
        <f t="shared" si="2"/>
        <v>7560.133687604</v>
      </c>
      <c r="BE15" s="117">
        <f aca="true" t="shared" si="4" ref="BE15:BE24">AB15-S15</f>
        <v>-3649.7999999999956</v>
      </c>
    </row>
    <row r="16" spans="1:57" ht="12.75">
      <c r="A16" s="53" t="s">
        <v>35</v>
      </c>
      <c r="B16" s="184">
        <v>4791.7</v>
      </c>
      <c r="C16" s="160">
        <f aca="true" t="shared" si="5" ref="C16:C25">B16*8.65</f>
        <v>41448.205</v>
      </c>
      <c r="D16" s="16">
        <f>C16*0.125</f>
        <v>5181.025625</v>
      </c>
      <c r="E16" s="185">
        <v>3245.04</v>
      </c>
      <c r="F16" s="185">
        <v>567.94</v>
      </c>
      <c r="G16" s="185">
        <v>4380.84</v>
      </c>
      <c r="H16" s="185">
        <v>766.68</v>
      </c>
      <c r="I16" s="185">
        <v>10546.07</v>
      </c>
      <c r="J16" s="185">
        <v>1845.77</v>
      </c>
      <c r="K16" s="185">
        <v>7301.28</v>
      </c>
      <c r="L16" s="185">
        <v>1277.84</v>
      </c>
      <c r="M16" s="185">
        <v>2596.04</v>
      </c>
      <c r="N16" s="186">
        <v>454.33</v>
      </c>
      <c r="O16" s="27">
        <v>0</v>
      </c>
      <c r="P16" s="27">
        <v>0</v>
      </c>
      <c r="Q16" s="27">
        <v>0</v>
      </c>
      <c r="R16" s="27">
        <v>0</v>
      </c>
      <c r="S16" s="25">
        <f aca="true" t="shared" si="6" ref="S16:S25">E16+G16+I16+K16+M16+O16+Q16</f>
        <v>28069.27</v>
      </c>
      <c r="T16" s="26">
        <f aca="true" t="shared" si="7" ref="T16:T25">P16+N16+L16+J16+H16+F16+R16</f>
        <v>4912.5599999999995</v>
      </c>
      <c r="U16" s="185">
        <v>3645.27</v>
      </c>
      <c r="V16" s="185">
        <v>4921.12</v>
      </c>
      <c r="W16" s="185">
        <v>11841.19</v>
      </c>
      <c r="X16" s="185">
        <v>8201.8</v>
      </c>
      <c r="Y16" s="185">
        <v>2916.21</v>
      </c>
      <c r="Z16" s="185">
        <v>0</v>
      </c>
      <c r="AA16" s="186">
        <v>0</v>
      </c>
      <c r="AB16" s="182">
        <f aca="true" t="shared" si="8" ref="AB16:AB22">SUM(U16:AA16)</f>
        <v>31525.59</v>
      </c>
      <c r="AC16" s="165">
        <f aca="true" t="shared" si="9" ref="AC16:AC22">D16+T16+AB16</f>
        <v>41619.175625</v>
      </c>
      <c r="AD16" s="28">
        <f aca="true" t="shared" si="10" ref="AD16:AD25">P16+Z16</f>
        <v>0</v>
      </c>
      <c r="AE16" s="28">
        <f aca="true" t="shared" si="11" ref="AE16:AE25">R16+AA16</f>
        <v>0</v>
      </c>
      <c r="AF16" s="28"/>
      <c r="AG16" s="29">
        <f>0.6*B16*0.9</f>
        <v>2587.518</v>
      </c>
      <c r="AH16" s="187">
        <f>B16*0.2*0.9082</f>
        <v>870.3643880000001</v>
      </c>
      <c r="AI16" s="29">
        <f>0.85*B16*0.8675</f>
        <v>3533.2797875</v>
      </c>
      <c r="AJ16" s="29">
        <f aca="true" t="shared" si="12" ref="AJ16:AJ25">AI16*0.18</f>
        <v>635.99036175</v>
      </c>
      <c r="AK16" s="187">
        <f>0.83*B16*0.838</f>
        <v>3332.8190179999997</v>
      </c>
      <c r="AL16" s="29">
        <f aca="true" t="shared" si="13" ref="AL16:AL25">AK16*0.18</f>
        <v>599.90742324</v>
      </c>
      <c r="AM16" s="29">
        <f>1.91*B16*0.8381</f>
        <v>7670.414400699999</v>
      </c>
      <c r="AN16" s="29">
        <f aca="true" t="shared" si="14" ref="AN16:AN25">AM16*0.18</f>
        <v>1380.6745921259997</v>
      </c>
      <c r="AO16" s="29"/>
      <c r="AP16" s="29">
        <f aca="true" t="shared" si="15" ref="AP16:AR25">AO16*0.18</f>
        <v>0</v>
      </c>
      <c r="AQ16" s="30"/>
      <c r="AR16" s="30">
        <f>AQ16*0.18</f>
        <v>0</v>
      </c>
      <c r="AS16" s="31">
        <v>31672</v>
      </c>
      <c r="AT16" s="31"/>
      <c r="AU16" s="31">
        <f t="shared" si="3"/>
        <v>5700.96</v>
      </c>
      <c r="AV16" s="163">
        <v>383</v>
      </c>
      <c r="AW16" s="164">
        <v>1.25</v>
      </c>
      <c r="AX16" s="29">
        <f t="shared" si="1"/>
        <v>632.716</v>
      </c>
      <c r="AY16" s="17"/>
      <c r="AZ16" s="188"/>
      <c r="BA16" s="32">
        <f>AZ16*0.18</f>
        <v>0</v>
      </c>
      <c r="BB16" s="32">
        <f>SUM(AG16:AU16)</f>
        <v>57983.927971316</v>
      </c>
      <c r="BC16" s="183"/>
      <c r="BD16" s="114">
        <f t="shared" si="2"/>
        <v>-16364.752346315996</v>
      </c>
      <c r="BE16" s="117">
        <f t="shared" si="4"/>
        <v>3456.3199999999997</v>
      </c>
    </row>
    <row r="17" spans="1:57" ht="12.75">
      <c r="A17" s="53" t="s">
        <v>36</v>
      </c>
      <c r="B17" s="189">
        <v>4791.7</v>
      </c>
      <c r="C17" s="160">
        <f t="shared" si="5"/>
        <v>41448.205</v>
      </c>
      <c r="D17" s="16">
        <f>C17*0.125</f>
        <v>5181.025625</v>
      </c>
      <c r="E17" s="185">
        <v>3411.62</v>
      </c>
      <c r="F17" s="185">
        <v>582.14</v>
      </c>
      <c r="G17" s="185">
        <v>4605.7</v>
      </c>
      <c r="H17" s="185">
        <v>785.85</v>
      </c>
      <c r="I17" s="185">
        <v>11087.7</v>
      </c>
      <c r="J17" s="185">
        <v>1891.92</v>
      </c>
      <c r="K17" s="185">
        <v>7676.11</v>
      </c>
      <c r="L17" s="185">
        <v>1309.79</v>
      </c>
      <c r="M17" s="185">
        <v>2729.29</v>
      </c>
      <c r="N17" s="186">
        <v>465.69</v>
      </c>
      <c r="O17" s="186">
        <v>0</v>
      </c>
      <c r="P17" s="186">
        <v>0</v>
      </c>
      <c r="Q17" s="186">
        <v>0</v>
      </c>
      <c r="R17" s="186">
        <v>0</v>
      </c>
      <c r="S17" s="25">
        <f t="shared" si="6"/>
        <v>29510.420000000002</v>
      </c>
      <c r="T17" s="26">
        <f t="shared" si="7"/>
        <v>5035.39</v>
      </c>
      <c r="U17" s="25">
        <v>3124.51</v>
      </c>
      <c r="V17" s="25">
        <v>4218.2</v>
      </c>
      <c r="W17" s="25">
        <v>10154.73</v>
      </c>
      <c r="X17" s="25">
        <v>7030.21</v>
      </c>
      <c r="Y17" s="25">
        <v>2499.59</v>
      </c>
      <c r="Z17" s="25">
        <v>0</v>
      </c>
      <c r="AA17" s="25">
        <v>0</v>
      </c>
      <c r="AB17" s="182">
        <f t="shared" si="8"/>
        <v>27027.239999999998</v>
      </c>
      <c r="AC17" s="165">
        <f t="shared" si="9"/>
        <v>37243.655625</v>
      </c>
      <c r="AD17" s="28">
        <f t="shared" si="10"/>
        <v>0</v>
      </c>
      <c r="AE17" s="28">
        <f t="shared" si="11"/>
        <v>0</v>
      </c>
      <c r="AF17" s="28"/>
      <c r="AG17" s="29">
        <f>0.6*B17*0.9</f>
        <v>2587.518</v>
      </c>
      <c r="AH17" s="187">
        <f>B17*0.2*0.9234</f>
        <v>884.931156</v>
      </c>
      <c r="AI17" s="29">
        <f>0.85*B17*0.8934</f>
        <v>3638.7690629999997</v>
      </c>
      <c r="AJ17" s="29">
        <f t="shared" si="12"/>
        <v>654.9784313399999</v>
      </c>
      <c r="AK17" s="29">
        <f>0.83*B17*0.8498</f>
        <v>3379.7489278</v>
      </c>
      <c r="AL17" s="29">
        <f t="shared" si="13"/>
        <v>608.3548070039999</v>
      </c>
      <c r="AM17" s="29">
        <f>(1.91)*B17*0.8498</f>
        <v>7777.494520599999</v>
      </c>
      <c r="AN17" s="29">
        <f t="shared" si="14"/>
        <v>1399.9490137079997</v>
      </c>
      <c r="AO17" s="29"/>
      <c r="AP17" s="29">
        <f t="shared" si="15"/>
        <v>0</v>
      </c>
      <c r="AQ17" s="30"/>
      <c r="AR17" s="30">
        <f t="shared" si="15"/>
        <v>0</v>
      </c>
      <c r="AS17" s="31">
        <v>7286.65</v>
      </c>
      <c r="AT17" s="31"/>
      <c r="AU17" s="31">
        <f t="shared" si="3"/>
        <v>1311.597</v>
      </c>
      <c r="AV17" s="163">
        <v>307</v>
      </c>
      <c r="AW17" s="164">
        <v>1.25</v>
      </c>
      <c r="AX17" s="29">
        <f t="shared" si="1"/>
        <v>507.16400000000004</v>
      </c>
      <c r="AY17" s="190"/>
      <c r="AZ17" s="115"/>
      <c r="BA17" s="114">
        <f aca="true" t="shared" si="16" ref="BA17:BA25">AZ17*0.18</f>
        <v>0</v>
      </c>
      <c r="BB17" s="114">
        <f>SUM(AG17:BA17)-AV17-AW17+AX14+AX15+AX16</f>
        <v>32181.450919452003</v>
      </c>
      <c r="BC17" s="183"/>
      <c r="BD17" s="114">
        <f t="shared" si="2"/>
        <v>5062.204705547996</v>
      </c>
      <c r="BE17" s="117">
        <f t="shared" si="4"/>
        <v>-2483.180000000004</v>
      </c>
    </row>
    <row r="18" spans="1:57" ht="12.75">
      <c r="A18" s="53" t="s">
        <v>37</v>
      </c>
      <c r="B18" s="184">
        <v>4793.3</v>
      </c>
      <c r="C18" s="160">
        <f t="shared" si="5"/>
        <v>41462.045000000006</v>
      </c>
      <c r="D18" s="191">
        <f aca="true" t="shared" si="17" ref="D18:D25">C18-E18-F18-G18-H18-I18-J18-K18-L18-M18-N18</f>
        <v>4388.885000000005</v>
      </c>
      <c r="E18" s="185">
        <v>3669.89</v>
      </c>
      <c r="F18" s="185">
        <v>608.83</v>
      </c>
      <c r="G18" s="185">
        <v>4971.8</v>
      </c>
      <c r="H18" s="185">
        <v>825.23</v>
      </c>
      <c r="I18" s="185">
        <v>11944.7</v>
      </c>
      <c r="J18" s="185">
        <v>1981.89</v>
      </c>
      <c r="K18" s="185">
        <v>8274.72</v>
      </c>
      <c r="L18" s="185">
        <v>1373.19</v>
      </c>
      <c r="M18" s="185">
        <v>2935.86</v>
      </c>
      <c r="N18" s="186">
        <v>487.05</v>
      </c>
      <c r="O18" s="186">
        <v>0</v>
      </c>
      <c r="P18" s="186">
        <v>0</v>
      </c>
      <c r="Q18" s="186">
        <v>0</v>
      </c>
      <c r="R18" s="186">
        <v>0</v>
      </c>
      <c r="S18" s="25">
        <f t="shared" si="6"/>
        <v>31796.97</v>
      </c>
      <c r="T18" s="26">
        <f t="shared" si="7"/>
        <v>5276.1900000000005</v>
      </c>
      <c r="U18" s="185">
        <v>2899.53</v>
      </c>
      <c r="V18" s="185">
        <v>3914.42</v>
      </c>
      <c r="W18" s="185">
        <v>9423.48</v>
      </c>
      <c r="X18" s="185">
        <v>6523.92</v>
      </c>
      <c r="Y18" s="185">
        <v>2319.57</v>
      </c>
      <c r="Z18" s="185">
        <v>0</v>
      </c>
      <c r="AA18" s="186">
        <v>0</v>
      </c>
      <c r="AB18" s="182">
        <f t="shared" si="8"/>
        <v>25080.92</v>
      </c>
      <c r="AC18" s="165">
        <f t="shared" si="9"/>
        <v>34745.995</v>
      </c>
      <c r="AD18" s="28">
        <f t="shared" si="10"/>
        <v>0</v>
      </c>
      <c r="AE18" s="28">
        <f t="shared" si="11"/>
        <v>0</v>
      </c>
      <c r="AF18" s="28"/>
      <c r="AG18" s="29">
        <f aca="true" t="shared" si="18" ref="AG18:AG25">0.6*B18</f>
        <v>2875.98</v>
      </c>
      <c r="AH18" s="29">
        <f>B18*0.2*1.01</f>
        <v>968.2466000000001</v>
      </c>
      <c r="AI18" s="29">
        <f>0.85*B18</f>
        <v>4074.305</v>
      </c>
      <c r="AJ18" s="29">
        <f t="shared" si="12"/>
        <v>733.3748999999999</v>
      </c>
      <c r="AK18" s="29">
        <f>0.83*B18</f>
        <v>3978.439</v>
      </c>
      <c r="AL18" s="29">
        <f t="shared" si="13"/>
        <v>716.11902</v>
      </c>
      <c r="AM18" s="29">
        <f>(1.91)*B18</f>
        <v>9155.203</v>
      </c>
      <c r="AN18" s="29">
        <f t="shared" si="14"/>
        <v>1647.93654</v>
      </c>
      <c r="AO18" s="29"/>
      <c r="AP18" s="29">
        <f t="shared" si="15"/>
        <v>0</v>
      </c>
      <c r="AQ18" s="30"/>
      <c r="AR18" s="30">
        <f t="shared" si="15"/>
        <v>0</v>
      </c>
      <c r="AS18" s="31">
        <v>14692.43</v>
      </c>
      <c r="AT18" s="31"/>
      <c r="AU18" s="31">
        <f t="shared" si="3"/>
        <v>2644.6374</v>
      </c>
      <c r="AV18" s="163">
        <v>263</v>
      </c>
      <c r="AW18" s="164">
        <v>1.25</v>
      </c>
      <c r="AX18" s="29">
        <f t="shared" si="1"/>
        <v>434.47600000000006</v>
      </c>
      <c r="AY18" s="17"/>
      <c r="AZ18" s="188"/>
      <c r="BA18" s="32">
        <f t="shared" si="16"/>
        <v>0</v>
      </c>
      <c r="BB18" s="32">
        <f>SUM(AG18:BA18)-AV18-AW18</f>
        <v>41921.14746000001</v>
      </c>
      <c r="BC18" s="183"/>
      <c r="BD18" s="114">
        <f t="shared" si="2"/>
        <v>-7175.152460000005</v>
      </c>
      <c r="BE18" s="117">
        <f>AB18-S18</f>
        <v>-6716.050000000003</v>
      </c>
    </row>
    <row r="19" spans="1:57" ht="12.75">
      <c r="A19" s="53" t="s">
        <v>38</v>
      </c>
      <c r="B19" s="184">
        <v>4793.3</v>
      </c>
      <c r="C19" s="160">
        <f t="shared" si="5"/>
        <v>41462.045000000006</v>
      </c>
      <c r="D19" s="191">
        <f t="shared" si="17"/>
        <v>4335.9950000000035</v>
      </c>
      <c r="E19" s="185">
        <v>3659.44</v>
      </c>
      <c r="F19" s="185">
        <v>625.47</v>
      </c>
      <c r="G19" s="185">
        <v>4957.41</v>
      </c>
      <c r="H19" s="185">
        <v>847.77</v>
      </c>
      <c r="I19" s="185">
        <v>11910.46</v>
      </c>
      <c r="J19" s="185">
        <v>2036.03</v>
      </c>
      <c r="K19" s="185">
        <v>8250.93</v>
      </c>
      <c r="L19" s="185">
        <v>1410.7</v>
      </c>
      <c r="M19" s="185">
        <v>2927.49</v>
      </c>
      <c r="N19" s="186">
        <v>500.35</v>
      </c>
      <c r="O19" s="186">
        <v>0</v>
      </c>
      <c r="P19" s="186">
        <v>0</v>
      </c>
      <c r="Q19" s="186">
        <v>0</v>
      </c>
      <c r="R19" s="186">
        <v>0</v>
      </c>
      <c r="S19" s="25">
        <f t="shared" si="6"/>
        <v>31705.729999999996</v>
      </c>
      <c r="T19" s="26">
        <f t="shared" si="7"/>
        <v>5420.320000000001</v>
      </c>
      <c r="U19" s="185">
        <v>2822.88</v>
      </c>
      <c r="V19" s="185">
        <v>3822.26</v>
      </c>
      <c r="W19" s="185">
        <v>9185.86</v>
      </c>
      <c r="X19" s="185">
        <v>6362.58</v>
      </c>
      <c r="Y19" s="185">
        <v>2258.29</v>
      </c>
      <c r="Z19" s="185">
        <v>0</v>
      </c>
      <c r="AA19" s="186">
        <v>0</v>
      </c>
      <c r="AB19" s="182">
        <f t="shared" si="8"/>
        <v>24451.870000000003</v>
      </c>
      <c r="AC19" s="165">
        <f t="shared" si="9"/>
        <v>34208.185000000005</v>
      </c>
      <c r="AD19" s="28">
        <f t="shared" si="10"/>
        <v>0</v>
      </c>
      <c r="AE19" s="28">
        <f t="shared" si="11"/>
        <v>0</v>
      </c>
      <c r="AF19" s="28"/>
      <c r="AG19" s="29">
        <f t="shared" si="18"/>
        <v>2875.98</v>
      </c>
      <c r="AH19" s="29">
        <f>B19*0.2*1.01045</f>
        <v>968.6779970000001</v>
      </c>
      <c r="AI19" s="29">
        <f>0.85*B19</f>
        <v>4074.305</v>
      </c>
      <c r="AJ19" s="29">
        <f t="shared" si="12"/>
        <v>733.3748999999999</v>
      </c>
      <c r="AK19" s="29">
        <f>0.83*B19</f>
        <v>3978.439</v>
      </c>
      <c r="AL19" s="29">
        <f t="shared" si="13"/>
        <v>716.11902</v>
      </c>
      <c r="AM19" s="29">
        <f>(1.91)*B19</f>
        <v>9155.203</v>
      </c>
      <c r="AN19" s="29">
        <f t="shared" si="14"/>
        <v>1647.93654</v>
      </c>
      <c r="AO19" s="29"/>
      <c r="AP19" s="29">
        <f t="shared" si="15"/>
        <v>0</v>
      </c>
      <c r="AQ19" s="30">
        <f>1448.73+19232.5</f>
        <v>20681.23</v>
      </c>
      <c r="AR19" s="30">
        <f t="shared" si="15"/>
        <v>3722.6214</v>
      </c>
      <c r="AS19" s="31">
        <v>8646.16</v>
      </c>
      <c r="AT19" s="31"/>
      <c r="AU19" s="31">
        <f t="shared" si="3"/>
        <v>1556.3088</v>
      </c>
      <c r="AV19" s="163">
        <v>233</v>
      </c>
      <c r="AW19" s="164">
        <v>1.25</v>
      </c>
      <c r="AX19" s="29">
        <f t="shared" si="1"/>
        <v>384.91600000000005</v>
      </c>
      <c r="AY19" s="17"/>
      <c r="AZ19" s="188"/>
      <c r="BA19" s="32">
        <f t="shared" si="16"/>
        <v>0</v>
      </c>
      <c r="BB19" s="32">
        <f>SUM(AG19:BA19)-AV19-AW19</f>
        <v>59141.271657000005</v>
      </c>
      <c r="BC19" s="183"/>
      <c r="BD19" s="114">
        <f t="shared" si="2"/>
        <v>-24933.086657</v>
      </c>
      <c r="BE19" s="117">
        <f t="shared" si="4"/>
        <v>-7253.859999999993</v>
      </c>
    </row>
    <row r="20" spans="1:57" ht="12.75">
      <c r="A20" s="53" t="s">
        <v>39</v>
      </c>
      <c r="B20" s="181">
        <v>4793.3</v>
      </c>
      <c r="C20" s="160">
        <f t="shared" si="5"/>
        <v>41462.045000000006</v>
      </c>
      <c r="D20" s="191">
        <f t="shared" si="17"/>
        <v>4365.725000000002</v>
      </c>
      <c r="E20" s="185">
        <v>3655.94</v>
      </c>
      <c r="F20" s="185">
        <v>625.47</v>
      </c>
      <c r="G20" s="185">
        <v>4952.85</v>
      </c>
      <c r="H20" s="185">
        <v>847.78</v>
      </c>
      <c r="I20" s="185">
        <v>11899.26</v>
      </c>
      <c r="J20" s="185">
        <v>2036.04</v>
      </c>
      <c r="K20" s="185">
        <v>8243.23</v>
      </c>
      <c r="L20" s="185">
        <v>1410.7</v>
      </c>
      <c r="M20" s="185">
        <v>2924.7</v>
      </c>
      <c r="N20" s="186">
        <v>500.35</v>
      </c>
      <c r="O20" s="186">
        <v>0</v>
      </c>
      <c r="P20" s="186">
        <v>0</v>
      </c>
      <c r="Q20" s="186">
        <v>0</v>
      </c>
      <c r="R20" s="186">
        <v>0</v>
      </c>
      <c r="S20" s="25">
        <f t="shared" si="6"/>
        <v>31675.980000000003</v>
      </c>
      <c r="T20" s="26">
        <f t="shared" si="7"/>
        <v>5420.34</v>
      </c>
      <c r="U20" s="185">
        <v>4211.94</v>
      </c>
      <c r="V20" s="185">
        <v>5702.92</v>
      </c>
      <c r="W20" s="185">
        <v>13705.7</v>
      </c>
      <c r="X20" s="185">
        <v>9493.58</v>
      </c>
      <c r="Y20" s="185">
        <v>3369.59</v>
      </c>
      <c r="Z20" s="185">
        <v>0</v>
      </c>
      <c r="AA20" s="186">
        <v>0</v>
      </c>
      <c r="AB20" s="182">
        <f t="shared" si="8"/>
        <v>36483.729999999996</v>
      </c>
      <c r="AC20" s="165">
        <f t="shared" si="9"/>
        <v>46269.795</v>
      </c>
      <c r="AD20" s="28">
        <f t="shared" si="10"/>
        <v>0</v>
      </c>
      <c r="AE20" s="28">
        <f t="shared" si="11"/>
        <v>0</v>
      </c>
      <c r="AF20" s="28">
        <f>'[3]Т07-09'!$I$80</f>
        <v>633.88066</v>
      </c>
      <c r="AG20" s="29">
        <f t="shared" si="18"/>
        <v>2875.98</v>
      </c>
      <c r="AH20" s="29">
        <f>B20*0.2*0.99426</f>
        <v>953.1572916000001</v>
      </c>
      <c r="AI20" s="29">
        <f>0.85*B20*0.9857</f>
        <v>4016.0424385</v>
      </c>
      <c r="AJ20" s="29">
        <f t="shared" si="12"/>
        <v>722.88763893</v>
      </c>
      <c r="AK20" s="29">
        <f>0.83*B20*0.9905</f>
        <v>3940.6438295000003</v>
      </c>
      <c r="AL20" s="29">
        <f t="shared" si="13"/>
        <v>709.31588931</v>
      </c>
      <c r="AM20" s="29">
        <f>(1.91)*B20*0.9904</f>
        <v>9067.313051199999</v>
      </c>
      <c r="AN20" s="29">
        <f t="shared" si="14"/>
        <v>1632.1163492159997</v>
      </c>
      <c r="AO20" s="29"/>
      <c r="AP20" s="29">
        <f t="shared" si="15"/>
        <v>0</v>
      </c>
      <c r="AQ20" s="30"/>
      <c r="AR20" s="30">
        <f t="shared" si="15"/>
        <v>0</v>
      </c>
      <c r="AS20" s="31">
        <f>19630</f>
        <v>19630</v>
      </c>
      <c r="AT20" s="31">
        <f>54+192+172+70</f>
        <v>488</v>
      </c>
      <c r="AU20" s="31">
        <f t="shared" si="3"/>
        <v>3621.24</v>
      </c>
      <c r="AV20" s="163">
        <v>248</v>
      </c>
      <c r="AW20" s="164">
        <v>1.25</v>
      </c>
      <c r="AX20" s="29">
        <f t="shared" si="1"/>
        <v>409.696</v>
      </c>
      <c r="AY20" s="17"/>
      <c r="AZ20" s="188"/>
      <c r="BA20" s="32">
        <f t="shared" si="16"/>
        <v>0</v>
      </c>
      <c r="BB20" s="32">
        <f>SUM(AG20:BA20)-AV20-AW20</f>
        <v>48066.39248825601</v>
      </c>
      <c r="BC20" s="183">
        <f>'[1]Т07-09'!$O$80</f>
        <v>299.54623802000003</v>
      </c>
      <c r="BD20" s="114">
        <f t="shared" si="2"/>
        <v>-1462.2630662760089</v>
      </c>
      <c r="BE20" s="117">
        <f t="shared" si="4"/>
        <v>4807.749999999993</v>
      </c>
    </row>
    <row r="21" spans="1:57" ht="12.75">
      <c r="A21" s="53" t="s">
        <v>40</v>
      </c>
      <c r="B21" s="181">
        <v>4793.3</v>
      </c>
      <c r="C21" s="160">
        <f t="shared" si="5"/>
        <v>41462.045000000006</v>
      </c>
      <c r="D21" s="191">
        <f t="shared" si="17"/>
        <v>4359.4150000000045</v>
      </c>
      <c r="E21" s="185">
        <v>3656.67</v>
      </c>
      <c r="F21" s="185">
        <v>625.47</v>
      </c>
      <c r="G21" s="185">
        <v>4953.84</v>
      </c>
      <c r="H21" s="185">
        <v>847.77</v>
      </c>
      <c r="I21" s="185">
        <v>11901.65</v>
      </c>
      <c r="J21" s="185">
        <v>2036.03</v>
      </c>
      <c r="K21" s="185">
        <v>8244.87</v>
      </c>
      <c r="L21" s="185">
        <v>1410.7</v>
      </c>
      <c r="M21" s="185">
        <v>2925.28</v>
      </c>
      <c r="N21" s="186">
        <v>500.35</v>
      </c>
      <c r="O21" s="186">
        <v>0</v>
      </c>
      <c r="P21" s="186">
        <v>0</v>
      </c>
      <c r="Q21" s="185">
        <v>0</v>
      </c>
      <c r="R21" s="185">
        <v>0</v>
      </c>
      <c r="S21" s="25">
        <f t="shared" si="6"/>
        <v>31682.309999999998</v>
      </c>
      <c r="T21" s="26">
        <f t="shared" si="7"/>
        <v>5420.320000000001</v>
      </c>
      <c r="U21" s="185">
        <v>3420.48</v>
      </c>
      <c r="V21" s="185">
        <v>4631.9</v>
      </c>
      <c r="W21" s="185">
        <v>11130.91</v>
      </c>
      <c r="X21" s="185">
        <v>7710.36</v>
      </c>
      <c r="Y21" s="185">
        <v>2736.33</v>
      </c>
      <c r="Z21" s="185">
        <v>0</v>
      </c>
      <c r="AA21" s="186">
        <v>0</v>
      </c>
      <c r="AB21" s="182">
        <f t="shared" si="8"/>
        <v>29629.980000000003</v>
      </c>
      <c r="AC21" s="165">
        <f t="shared" si="9"/>
        <v>39409.71500000001</v>
      </c>
      <c r="AD21" s="28">
        <f t="shared" si="10"/>
        <v>0</v>
      </c>
      <c r="AE21" s="28">
        <f t="shared" si="11"/>
        <v>0</v>
      </c>
      <c r="AF21" s="28">
        <f>'[3]Т07-09'!$I$80</f>
        <v>633.88066</v>
      </c>
      <c r="AG21" s="29">
        <f t="shared" si="18"/>
        <v>2875.98</v>
      </c>
      <c r="AH21" s="29">
        <f>B21*0.2*0.99875</f>
        <v>957.4616750000001</v>
      </c>
      <c r="AI21" s="29">
        <f>0.85*B21*0.98526</f>
        <v>4014.2497442999997</v>
      </c>
      <c r="AJ21" s="29">
        <f t="shared" si="12"/>
        <v>722.5649539739999</v>
      </c>
      <c r="AK21" s="29">
        <f>0.83*B21*0.99</f>
        <v>3938.6546099999996</v>
      </c>
      <c r="AL21" s="29">
        <f t="shared" si="13"/>
        <v>708.9578297999999</v>
      </c>
      <c r="AM21" s="29">
        <f>(1.91)*B21*0.99</f>
        <v>9063.650969999999</v>
      </c>
      <c r="AN21" s="29">
        <f t="shared" si="14"/>
        <v>1631.4571745999997</v>
      </c>
      <c r="AO21" s="29"/>
      <c r="AP21" s="29">
        <f t="shared" si="15"/>
        <v>0</v>
      </c>
      <c r="AQ21" s="30"/>
      <c r="AR21" s="30">
        <f t="shared" si="15"/>
        <v>0</v>
      </c>
      <c r="AS21" s="31">
        <v>3800</v>
      </c>
      <c r="AT21" s="31"/>
      <c r="AU21" s="31">
        <f t="shared" si="3"/>
        <v>684</v>
      </c>
      <c r="AV21" s="163">
        <v>293</v>
      </c>
      <c r="AW21" s="164">
        <v>1.25</v>
      </c>
      <c r="AX21" s="29">
        <f t="shared" si="1"/>
        <v>484.036</v>
      </c>
      <c r="AY21" s="17"/>
      <c r="AZ21" s="188"/>
      <c r="BA21" s="32">
        <f t="shared" si="16"/>
        <v>0</v>
      </c>
      <c r="BB21" s="32">
        <f>SUM(AG21:BA21)-AV21-AW21</f>
        <v>28881.012957674</v>
      </c>
      <c r="BC21" s="183">
        <f>'[1]Т08-09'!$O$81</f>
        <v>299.410134106</v>
      </c>
      <c r="BD21" s="114">
        <f t="shared" si="2"/>
        <v>10863.172568220014</v>
      </c>
      <c r="BE21" s="117">
        <f t="shared" si="4"/>
        <v>-2052.3299999999945</v>
      </c>
    </row>
    <row r="22" spans="1:57" ht="12.75">
      <c r="A22" s="53" t="s">
        <v>41</v>
      </c>
      <c r="B22" s="54">
        <v>4793.3</v>
      </c>
      <c r="C22" s="160">
        <f t="shared" si="5"/>
        <v>41462.045000000006</v>
      </c>
      <c r="D22" s="191">
        <f t="shared" si="17"/>
        <v>4361.885000000005</v>
      </c>
      <c r="E22" s="25">
        <v>3657.84</v>
      </c>
      <c r="F22" s="25">
        <v>624.04</v>
      </c>
      <c r="G22" s="25">
        <v>4955.37</v>
      </c>
      <c r="H22" s="25">
        <v>845.82</v>
      </c>
      <c r="I22" s="25">
        <v>11905.4</v>
      </c>
      <c r="J22" s="25">
        <v>2031.36</v>
      </c>
      <c r="K22" s="25">
        <v>8247.46</v>
      </c>
      <c r="L22" s="25">
        <v>1407.46</v>
      </c>
      <c r="M22" s="25">
        <v>2926.2</v>
      </c>
      <c r="N22" s="27">
        <v>499.21</v>
      </c>
      <c r="O22" s="27">
        <v>0</v>
      </c>
      <c r="P22" s="27">
        <v>0</v>
      </c>
      <c r="Q22" s="27">
        <v>0</v>
      </c>
      <c r="R22" s="27">
        <v>0</v>
      </c>
      <c r="S22" s="25">
        <f t="shared" si="6"/>
        <v>31692.27</v>
      </c>
      <c r="T22" s="26">
        <f t="shared" si="7"/>
        <v>5407.889999999999</v>
      </c>
      <c r="U22" s="25">
        <v>3458.96</v>
      </c>
      <c r="V22" s="25">
        <v>4685.26</v>
      </c>
      <c r="W22" s="25">
        <v>11257.3</v>
      </c>
      <c r="X22" s="25">
        <v>7798.2</v>
      </c>
      <c r="Y22" s="25">
        <v>2767.14</v>
      </c>
      <c r="Z22" s="25">
        <v>0</v>
      </c>
      <c r="AA22" s="27">
        <v>0</v>
      </c>
      <c r="AB22" s="182">
        <f t="shared" si="8"/>
        <v>29966.86</v>
      </c>
      <c r="AC22" s="165">
        <f t="shared" si="9"/>
        <v>39736.63500000001</v>
      </c>
      <c r="AD22" s="28">
        <f t="shared" si="10"/>
        <v>0</v>
      </c>
      <c r="AE22" s="28">
        <f t="shared" si="11"/>
        <v>0</v>
      </c>
      <c r="AF22" s="28">
        <f>'[3]Т07-09'!$I$80</f>
        <v>633.88066</v>
      </c>
      <c r="AG22" s="29">
        <f t="shared" si="18"/>
        <v>2875.98</v>
      </c>
      <c r="AH22" s="29">
        <f>B22*0.2*0.9997</f>
        <v>958.3724020000001</v>
      </c>
      <c r="AI22" s="29">
        <f>0.85*B22*0.98509</f>
        <v>4013.5571124499997</v>
      </c>
      <c r="AJ22" s="29">
        <f t="shared" si="12"/>
        <v>722.440280241</v>
      </c>
      <c r="AK22" s="29">
        <f>0.83*B22*0.98981</f>
        <v>3937.8987065899996</v>
      </c>
      <c r="AL22" s="29">
        <f t="shared" si="13"/>
        <v>708.8217671861998</v>
      </c>
      <c r="AM22" s="29">
        <f>(1.91)*B22*0.9898</f>
        <v>9061.8199294</v>
      </c>
      <c r="AN22" s="29">
        <f t="shared" si="14"/>
        <v>1631.127587292</v>
      </c>
      <c r="AO22" s="29"/>
      <c r="AP22" s="29">
        <f t="shared" si="15"/>
        <v>0</v>
      </c>
      <c r="AQ22" s="30"/>
      <c r="AR22" s="30">
        <f t="shared" si="15"/>
        <v>0</v>
      </c>
      <c r="AS22" s="31"/>
      <c r="AT22" s="31"/>
      <c r="AU22" s="31">
        <f t="shared" si="3"/>
        <v>0</v>
      </c>
      <c r="AV22" s="163">
        <v>349</v>
      </c>
      <c r="AW22" s="164">
        <v>1.25</v>
      </c>
      <c r="AX22" s="29">
        <f t="shared" si="1"/>
        <v>576.548</v>
      </c>
      <c r="AY22" s="17"/>
      <c r="AZ22" s="188"/>
      <c r="BA22" s="32">
        <f t="shared" si="16"/>
        <v>0</v>
      </c>
      <c r="BB22" s="32">
        <f>SUM(AG22:BA22)-AV22-AW22</f>
        <v>24486.5657851592</v>
      </c>
      <c r="BC22" s="183">
        <f>'[1]Т09-09'!$O$81</f>
        <v>299.3648501074</v>
      </c>
      <c r="BD22" s="114">
        <f t="shared" si="2"/>
        <v>15584.585024733411</v>
      </c>
      <c r="BE22" s="117">
        <f>AB22-S22</f>
        <v>-1725.4099999999999</v>
      </c>
    </row>
    <row r="23" spans="1:57" ht="12.75">
      <c r="A23" s="53" t="s">
        <v>31</v>
      </c>
      <c r="B23" s="54">
        <v>4793.3</v>
      </c>
      <c r="C23" s="18">
        <f t="shared" si="5"/>
        <v>41462.045000000006</v>
      </c>
      <c r="D23" s="191">
        <f t="shared" si="17"/>
        <v>4339.254999999997</v>
      </c>
      <c r="E23" s="69">
        <f>3668.54-10.56</f>
        <v>3657.98</v>
      </c>
      <c r="F23" s="25">
        <v>626.55</v>
      </c>
      <c r="G23" s="25">
        <f>4969.76-14.28</f>
        <v>4955.4800000000005</v>
      </c>
      <c r="H23" s="25">
        <v>849.19</v>
      </c>
      <c r="I23" s="25">
        <f>11940.11-34.31</f>
        <v>11905.800000000001</v>
      </c>
      <c r="J23" s="25">
        <v>2039.47</v>
      </c>
      <c r="K23" s="25">
        <f>8271.45-23.78</f>
        <v>8247.67</v>
      </c>
      <c r="L23" s="25">
        <v>1413.11</v>
      </c>
      <c r="M23" s="25">
        <f>2934.76-8.45</f>
        <v>2926.3100000000004</v>
      </c>
      <c r="N23" s="27">
        <v>501.23</v>
      </c>
      <c r="O23" s="27">
        <v>0</v>
      </c>
      <c r="P23" s="27">
        <v>0</v>
      </c>
      <c r="Q23" s="25">
        <v>0</v>
      </c>
      <c r="R23" s="25">
        <v>0</v>
      </c>
      <c r="S23" s="25">
        <f t="shared" si="6"/>
        <v>31693.24</v>
      </c>
      <c r="T23" s="26">
        <f t="shared" si="7"/>
        <v>5429.55</v>
      </c>
      <c r="U23" s="192">
        <f>3508.33+331.8</f>
        <v>3840.13</v>
      </c>
      <c r="V23" s="25">
        <f>4752.05+449.12</f>
        <v>5201.17</v>
      </c>
      <c r="W23" s="25">
        <f>11417.93+1079.54</f>
        <v>12497.470000000001</v>
      </c>
      <c r="X23" s="25">
        <f>7909.48+747.75</f>
        <v>8657.23</v>
      </c>
      <c r="Y23" s="25">
        <f>2806.56+265.48</f>
        <v>3072.04</v>
      </c>
      <c r="Z23" s="25">
        <v>0</v>
      </c>
      <c r="AA23" s="27">
        <v>0</v>
      </c>
      <c r="AB23" s="27">
        <f>SUM(U23:AA23)</f>
        <v>33268.04</v>
      </c>
      <c r="AC23" s="165">
        <f>AB23+T23+D23</f>
        <v>43036.845</v>
      </c>
      <c r="AD23" s="28">
        <f t="shared" si="10"/>
        <v>0</v>
      </c>
      <c r="AE23" s="28">
        <f t="shared" si="11"/>
        <v>0</v>
      </c>
      <c r="AF23" s="28">
        <f>'[4]Т10'!$I$88</f>
        <v>633.88066</v>
      </c>
      <c r="AG23" s="29">
        <f t="shared" si="18"/>
        <v>2875.98</v>
      </c>
      <c r="AH23" s="29">
        <f>B23*0.2</f>
        <v>958.6600000000001</v>
      </c>
      <c r="AI23" s="29">
        <f>0.847*B23</f>
        <v>4059.9251</v>
      </c>
      <c r="AJ23" s="29">
        <f t="shared" si="12"/>
        <v>730.786518</v>
      </c>
      <c r="AK23" s="29">
        <f>0.83*B23</f>
        <v>3978.439</v>
      </c>
      <c r="AL23" s="29">
        <f t="shared" si="13"/>
        <v>716.11902</v>
      </c>
      <c r="AM23" s="29">
        <f>(2.25/1.18)*B23</f>
        <v>9139.766949152543</v>
      </c>
      <c r="AN23" s="29">
        <f t="shared" si="14"/>
        <v>1645.1580508474576</v>
      </c>
      <c r="AO23" s="29"/>
      <c r="AP23" s="29">
        <f t="shared" si="15"/>
        <v>0</v>
      </c>
      <c r="AQ23" s="30"/>
      <c r="AR23" s="30">
        <f t="shared" si="15"/>
        <v>0</v>
      </c>
      <c r="AS23" s="31">
        <v>1154.01</v>
      </c>
      <c r="AT23" s="31">
        <v>72.88</v>
      </c>
      <c r="AU23" s="31">
        <f t="shared" si="3"/>
        <v>220.84019999999998</v>
      </c>
      <c r="AV23" s="163">
        <v>425</v>
      </c>
      <c r="AW23" s="164">
        <v>1.25</v>
      </c>
      <c r="AX23" s="29">
        <f>AV23*AW23*1.12*1.18</f>
        <v>702.0999999999999</v>
      </c>
      <c r="AY23" s="17"/>
      <c r="AZ23" s="188"/>
      <c r="BA23" s="32">
        <f t="shared" si="16"/>
        <v>0</v>
      </c>
      <c r="BB23" s="32">
        <f>SUM(AG23:AU23)+AX23+AY23+AZ23+BA23</f>
        <v>26254.664837999997</v>
      </c>
      <c r="BC23" s="183">
        <f>'[2]Т10'!$O$88</f>
        <v>301.69264200000003</v>
      </c>
      <c r="BD23" s="114">
        <f t="shared" si="2"/>
        <v>17114.368180000005</v>
      </c>
      <c r="BE23" s="117">
        <f>AB23-S23</f>
        <v>1574.7999999999993</v>
      </c>
    </row>
    <row r="24" spans="1:57" ht="12.75">
      <c r="A24" s="53" t="s">
        <v>32</v>
      </c>
      <c r="B24" s="181">
        <v>4793.3</v>
      </c>
      <c r="C24" s="18">
        <f t="shared" si="5"/>
        <v>41462.045000000006</v>
      </c>
      <c r="D24" s="191">
        <f t="shared" si="17"/>
        <v>4330.955000000006</v>
      </c>
      <c r="E24" s="25">
        <v>3665.14</v>
      </c>
      <c r="F24" s="25">
        <v>620.36</v>
      </c>
      <c r="G24" s="25">
        <v>4965.14</v>
      </c>
      <c r="H24" s="25">
        <v>840.81</v>
      </c>
      <c r="I24" s="25">
        <v>11929.05</v>
      </c>
      <c r="J24" s="25">
        <v>2019.35</v>
      </c>
      <c r="K24" s="25">
        <v>8263.78</v>
      </c>
      <c r="L24" s="25">
        <v>1399.15</v>
      </c>
      <c r="M24" s="25">
        <v>2932.03</v>
      </c>
      <c r="N24" s="27">
        <v>496.28</v>
      </c>
      <c r="O24" s="27">
        <v>0</v>
      </c>
      <c r="P24" s="27">
        <v>0</v>
      </c>
      <c r="Q24" s="27">
        <v>0</v>
      </c>
      <c r="R24" s="27">
        <v>0</v>
      </c>
      <c r="S24" s="25">
        <f t="shared" si="6"/>
        <v>31755.14</v>
      </c>
      <c r="T24" s="26">
        <f t="shared" si="7"/>
        <v>5375.95</v>
      </c>
      <c r="U24" s="25">
        <v>3207.43</v>
      </c>
      <c r="V24" s="25">
        <v>4345.89</v>
      </c>
      <c r="W24" s="25">
        <v>10440.07</v>
      </c>
      <c r="X24" s="25">
        <v>7232.49</v>
      </c>
      <c r="Y24" s="25">
        <v>2565.86</v>
      </c>
      <c r="Z24" s="25">
        <v>0</v>
      </c>
      <c r="AA24" s="27">
        <v>0</v>
      </c>
      <c r="AB24" s="27">
        <f>SUM(U24:AA24)</f>
        <v>27791.739999999998</v>
      </c>
      <c r="AC24" s="165">
        <f>D24+T24+AB24</f>
        <v>37498.645000000004</v>
      </c>
      <c r="AD24" s="28">
        <f t="shared" si="10"/>
        <v>0</v>
      </c>
      <c r="AE24" s="28">
        <f t="shared" si="11"/>
        <v>0</v>
      </c>
      <c r="AF24" s="28">
        <f>'[4]Т11'!$I$88</f>
        <v>633.88066</v>
      </c>
      <c r="AG24" s="29">
        <f t="shared" si="18"/>
        <v>2875.98</v>
      </c>
      <c r="AH24" s="29">
        <f>B24*0.2</f>
        <v>958.6600000000001</v>
      </c>
      <c r="AI24" s="29">
        <f>0.85*B24</f>
        <v>4074.305</v>
      </c>
      <c r="AJ24" s="29">
        <f t="shared" si="12"/>
        <v>733.3748999999999</v>
      </c>
      <c r="AK24" s="29">
        <f>0.83*B24</f>
        <v>3978.439</v>
      </c>
      <c r="AL24" s="29">
        <f t="shared" si="13"/>
        <v>716.11902</v>
      </c>
      <c r="AM24" s="29">
        <f>(1.91)*B24</f>
        <v>9155.203</v>
      </c>
      <c r="AN24" s="29">
        <f t="shared" si="14"/>
        <v>1647.93654</v>
      </c>
      <c r="AO24" s="29"/>
      <c r="AP24" s="29">
        <f t="shared" si="15"/>
        <v>0</v>
      </c>
      <c r="AQ24" s="30"/>
      <c r="AR24" s="30">
        <f t="shared" si="15"/>
        <v>0</v>
      </c>
      <c r="AS24" s="31">
        <v>5245</v>
      </c>
      <c r="AT24" s="31"/>
      <c r="AU24" s="31">
        <f t="shared" si="3"/>
        <v>944.0999999999999</v>
      </c>
      <c r="AV24" s="163">
        <v>470</v>
      </c>
      <c r="AW24" s="164">
        <v>1.25</v>
      </c>
      <c r="AX24" s="29">
        <f>AV24*AW24*1.12*1.18</f>
        <v>776.44</v>
      </c>
      <c r="AY24" s="17"/>
      <c r="AZ24" s="32"/>
      <c r="BA24" s="32">
        <f t="shared" si="16"/>
        <v>0</v>
      </c>
      <c r="BB24" s="32">
        <f>SUM(AG24:AU24)+AX24+AY24+AZ24+BA24</f>
        <v>31105.557459999996</v>
      </c>
      <c r="BC24" s="33">
        <f>'[4]Т11'!$O$88</f>
        <v>302.12874000000005</v>
      </c>
      <c r="BD24" s="114">
        <f t="shared" si="2"/>
        <v>6724.83946000001</v>
      </c>
      <c r="BE24" s="117">
        <f t="shared" si="4"/>
        <v>-3963.4000000000015</v>
      </c>
    </row>
    <row r="25" spans="1:57" ht="12.75">
      <c r="A25" s="53" t="s">
        <v>106</v>
      </c>
      <c r="B25" s="54">
        <v>4793.3</v>
      </c>
      <c r="C25" s="18">
        <f t="shared" si="5"/>
        <v>41462.045000000006</v>
      </c>
      <c r="D25" s="191">
        <f t="shared" si="17"/>
        <v>4323.825000000006</v>
      </c>
      <c r="E25" s="25">
        <v>3665.95</v>
      </c>
      <c r="F25" s="25">
        <v>620.37</v>
      </c>
      <c r="G25" s="25">
        <v>4966.27</v>
      </c>
      <c r="H25" s="25">
        <v>840.81</v>
      </c>
      <c r="I25" s="25">
        <v>11931.71</v>
      </c>
      <c r="J25" s="25">
        <v>2019.34</v>
      </c>
      <c r="K25" s="25">
        <v>8265.63</v>
      </c>
      <c r="L25" s="25">
        <v>1399.16</v>
      </c>
      <c r="M25" s="25">
        <v>2932.7</v>
      </c>
      <c r="N25" s="27">
        <v>496.28</v>
      </c>
      <c r="O25" s="27">
        <v>0</v>
      </c>
      <c r="P25" s="27">
        <v>0</v>
      </c>
      <c r="Q25" s="27"/>
      <c r="R25" s="27"/>
      <c r="S25" s="25">
        <f t="shared" si="6"/>
        <v>31762.26</v>
      </c>
      <c r="T25" s="26">
        <f t="shared" si="7"/>
        <v>5375.96</v>
      </c>
      <c r="U25" s="25">
        <v>4566.4</v>
      </c>
      <c r="V25" s="25">
        <v>6184.98</v>
      </c>
      <c r="W25" s="25">
        <v>14861.35</v>
      </c>
      <c r="X25" s="25">
        <v>10294.97</v>
      </c>
      <c r="Y25" s="25">
        <v>3653.05</v>
      </c>
      <c r="Z25" s="25">
        <v>0</v>
      </c>
      <c r="AA25" s="27">
        <v>0</v>
      </c>
      <c r="AB25" s="27">
        <f>SUM(U25:AA25)</f>
        <v>39560.75</v>
      </c>
      <c r="AC25" s="165">
        <f>D25+T25+AB25</f>
        <v>49260.535</v>
      </c>
      <c r="AD25" s="28">
        <f t="shared" si="10"/>
        <v>0</v>
      </c>
      <c r="AE25" s="28">
        <f t="shared" si="11"/>
        <v>0</v>
      </c>
      <c r="AF25" s="28">
        <f>'[4]Т12'!$I$89</f>
        <v>633.88066</v>
      </c>
      <c r="AG25" s="29">
        <f t="shared" si="18"/>
        <v>2875.98</v>
      </c>
      <c r="AH25" s="29">
        <f>B25*0.2</f>
        <v>958.6600000000001</v>
      </c>
      <c r="AI25" s="29">
        <f>0.85*B25</f>
        <v>4074.305</v>
      </c>
      <c r="AJ25" s="29">
        <f t="shared" si="12"/>
        <v>733.3748999999999</v>
      </c>
      <c r="AK25" s="29">
        <f>0.83*B25</f>
        <v>3978.439</v>
      </c>
      <c r="AL25" s="29">
        <f t="shared" si="13"/>
        <v>716.11902</v>
      </c>
      <c r="AM25" s="29">
        <f>(1.91)*B25</f>
        <v>9155.203</v>
      </c>
      <c r="AN25" s="29">
        <f t="shared" si="14"/>
        <v>1647.93654</v>
      </c>
      <c r="AO25" s="29"/>
      <c r="AP25" s="29">
        <f t="shared" si="15"/>
        <v>0</v>
      </c>
      <c r="AQ25" s="30"/>
      <c r="AR25" s="30">
        <f t="shared" si="15"/>
        <v>0</v>
      </c>
      <c r="AS25" s="31">
        <v>0</v>
      </c>
      <c r="AT25" s="31"/>
      <c r="AU25" s="31">
        <f t="shared" si="3"/>
        <v>0</v>
      </c>
      <c r="AV25" s="163">
        <v>514</v>
      </c>
      <c r="AW25" s="164">
        <v>1.25</v>
      </c>
      <c r="AX25" s="29">
        <f>AV25*AW25*1.12*1.18</f>
        <v>849.1279999999999</v>
      </c>
      <c r="AY25" s="17"/>
      <c r="AZ25" s="32"/>
      <c r="BA25" s="32">
        <f t="shared" si="16"/>
        <v>0</v>
      </c>
      <c r="BB25" s="32">
        <f>SUM(AG25:BA25)-AV25-AW25</f>
        <v>24989.14546</v>
      </c>
      <c r="BC25" s="33">
        <f>'[4]Т12'!$O$89</f>
        <v>302.12874000000005</v>
      </c>
      <c r="BD25" s="114">
        <f>AC25+AF25-BB25-BC25</f>
        <v>24603.141460000006</v>
      </c>
      <c r="BE25" s="117">
        <f>AB25-S25</f>
        <v>7798.490000000002</v>
      </c>
    </row>
    <row r="26" spans="1:57" s="3" customFormat="1" ht="12.75">
      <c r="A26" s="166" t="s">
        <v>4</v>
      </c>
      <c r="B26" s="167"/>
      <c r="C26" s="167">
        <f aca="true" t="shared" si="19" ref="C26:BC26">SUM(C14:C25)</f>
        <v>497489.17999999993</v>
      </c>
      <c r="D26" s="167">
        <f t="shared" si="19"/>
        <v>55530.042500000025</v>
      </c>
      <c r="E26" s="168">
        <f t="shared" si="19"/>
        <v>42304.439999999995</v>
      </c>
      <c r="F26" s="168">
        <f t="shared" si="19"/>
        <v>7240.150000000001</v>
      </c>
      <c r="G26" s="168">
        <f t="shared" si="19"/>
        <v>57249.470000000016</v>
      </c>
      <c r="H26" s="168">
        <f t="shared" si="19"/>
        <v>9800.869999999999</v>
      </c>
      <c r="I26" s="168">
        <f t="shared" si="19"/>
        <v>137628.16999999998</v>
      </c>
      <c r="J26" s="168">
        <f t="shared" si="19"/>
        <v>23556.03</v>
      </c>
      <c r="K26" s="168">
        <f t="shared" si="19"/>
        <v>95323.16</v>
      </c>
      <c r="L26" s="168">
        <f t="shared" si="19"/>
        <v>16317.140000000001</v>
      </c>
      <c r="M26" s="168">
        <f t="shared" si="19"/>
        <v>33843.01</v>
      </c>
      <c r="N26" s="168">
        <f t="shared" si="19"/>
        <v>5791.869999999999</v>
      </c>
      <c r="O26" s="168">
        <f t="shared" si="19"/>
        <v>0</v>
      </c>
      <c r="P26" s="168">
        <f t="shared" si="19"/>
        <v>0</v>
      </c>
      <c r="Q26" s="168">
        <f t="shared" si="19"/>
        <v>0</v>
      </c>
      <c r="R26" s="168">
        <f t="shared" si="19"/>
        <v>0</v>
      </c>
      <c r="S26" s="168">
        <f t="shared" si="19"/>
        <v>366348.25</v>
      </c>
      <c r="T26" s="168">
        <f t="shared" si="19"/>
        <v>62706.06</v>
      </c>
      <c r="U26" s="169">
        <f t="shared" si="19"/>
        <v>40131.45</v>
      </c>
      <c r="V26" s="169">
        <f t="shared" si="19"/>
        <v>54289.11</v>
      </c>
      <c r="W26" s="169">
        <f t="shared" si="19"/>
        <v>130513.42000000001</v>
      </c>
      <c r="X26" s="169">
        <f t="shared" si="19"/>
        <v>90406.58</v>
      </c>
      <c r="Y26" s="169">
        <f t="shared" si="19"/>
        <v>32104.820000000003</v>
      </c>
      <c r="Z26" s="169">
        <f t="shared" si="19"/>
        <v>0</v>
      </c>
      <c r="AA26" s="169">
        <f t="shared" si="19"/>
        <v>0</v>
      </c>
      <c r="AB26" s="169">
        <f t="shared" si="19"/>
        <v>347445.38</v>
      </c>
      <c r="AC26" s="169">
        <f t="shared" si="19"/>
        <v>465681.48250000004</v>
      </c>
      <c r="AD26" s="169">
        <f t="shared" si="19"/>
        <v>0</v>
      </c>
      <c r="AE26" s="170">
        <f t="shared" si="19"/>
        <v>0</v>
      </c>
      <c r="AF26" s="170">
        <f t="shared" si="19"/>
        <v>3803.2839599999998</v>
      </c>
      <c r="AG26" s="171">
        <f t="shared" si="19"/>
        <v>33357.912</v>
      </c>
      <c r="AH26" s="171">
        <f t="shared" si="19"/>
        <v>11168.241051600002</v>
      </c>
      <c r="AI26" s="171">
        <f t="shared" si="19"/>
        <v>46635.50987575</v>
      </c>
      <c r="AJ26" s="171">
        <f t="shared" si="19"/>
        <v>8394.391777634999</v>
      </c>
      <c r="AK26" s="171">
        <f t="shared" si="19"/>
        <v>45329.804187789996</v>
      </c>
      <c r="AL26" s="171">
        <f t="shared" si="19"/>
        <v>8159.3647538022</v>
      </c>
      <c r="AM26" s="171">
        <f t="shared" si="19"/>
        <v>104298.55116005254</v>
      </c>
      <c r="AN26" s="171">
        <f t="shared" si="19"/>
        <v>18773.739208809453</v>
      </c>
      <c r="AO26" s="171">
        <f t="shared" si="19"/>
        <v>0</v>
      </c>
      <c r="AP26" s="171">
        <f t="shared" si="19"/>
        <v>0</v>
      </c>
      <c r="AQ26" s="171">
        <f>SUM(AQ14:AQ25)</f>
        <v>20681.23</v>
      </c>
      <c r="AR26" s="171">
        <f>SUM(AR14:AR25)</f>
        <v>3722.6214</v>
      </c>
      <c r="AS26" s="171">
        <f>SUM(AS14:AS25)</f>
        <v>102628.25</v>
      </c>
      <c r="AT26" s="171">
        <f>SUM(AT14:AT25)</f>
        <v>560.88</v>
      </c>
      <c r="AU26" s="171">
        <f>SUM(AU14:AU25)</f>
        <v>18574.053399999997</v>
      </c>
      <c r="AV26" s="171"/>
      <c r="AW26" s="171"/>
      <c r="AX26" s="171">
        <f t="shared" si="19"/>
        <v>7268.8</v>
      </c>
      <c r="AY26" s="171">
        <f t="shared" si="19"/>
        <v>0</v>
      </c>
      <c r="AZ26" s="171">
        <f t="shared" si="19"/>
        <v>0</v>
      </c>
      <c r="BA26" s="171">
        <f t="shared" si="19"/>
        <v>0</v>
      </c>
      <c r="BB26" s="171">
        <f t="shared" si="19"/>
        <v>429553.34881543915</v>
      </c>
      <c r="BC26" s="171">
        <f t="shared" si="19"/>
        <v>1804.2713442334002</v>
      </c>
      <c r="BD26" s="171">
        <f>SUM(BD14:BD25)</f>
        <v>38127.14630032743</v>
      </c>
      <c r="BE26" s="172">
        <f>SUM(BE14:BE25)</f>
        <v>-18902.87</v>
      </c>
    </row>
    <row r="27" spans="1:57" ht="12.75">
      <c r="A27" s="53"/>
      <c r="B27" s="193"/>
      <c r="C27" s="194"/>
      <c r="D27" s="194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6"/>
      <c r="T27" s="196"/>
      <c r="U27" s="62"/>
      <c r="V27" s="62"/>
      <c r="W27" s="62"/>
      <c r="X27" s="62"/>
      <c r="Y27" s="62"/>
      <c r="Z27" s="62"/>
      <c r="AA27" s="62"/>
      <c r="AB27" s="62"/>
      <c r="AC27" s="197"/>
      <c r="AD27" s="197"/>
      <c r="AE27" s="28"/>
      <c r="AF27" s="28"/>
      <c r="AG27" s="29"/>
      <c r="AH27" s="29"/>
      <c r="AI27" s="29"/>
      <c r="AJ27" s="29"/>
      <c r="AK27" s="29"/>
      <c r="AL27" s="29"/>
      <c r="AM27" s="29"/>
      <c r="AN27" s="29"/>
      <c r="AO27" s="198"/>
      <c r="AP27" s="198"/>
      <c r="AQ27" s="198"/>
      <c r="AR27" s="198"/>
      <c r="AS27" s="198"/>
      <c r="AT27" s="198"/>
      <c r="AU27" s="29"/>
      <c r="AV27" s="29"/>
      <c r="AW27" s="29"/>
      <c r="AX27" s="51"/>
      <c r="AY27" s="198"/>
      <c r="AZ27" s="198"/>
      <c r="BA27" s="29"/>
      <c r="BB27" s="29"/>
      <c r="BC27" s="29"/>
      <c r="BD27" s="29"/>
      <c r="BE27" s="159"/>
    </row>
    <row r="28" spans="1:57" s="3" customFormat="1" ht="13.5" thickBot="1">
      <c r="A28" s="45" t="s">
        <v>90</v>
      </c>
      <c r="B28" s="199"/>
      <c r="C28" s="199">
        <f>C12+C26</f>
        <v>621820.82</v>
      </c>
      <c r="D28" s="199">
        <f>D12+D26</f>
        <v>85457.08268680003</v>
      </c>
      <c r="E28" s="200">
        <f aca="true" t="shared" si="20" ref="E28:BC28">E12+E26</f>
        <v>52127.06</v>
      </c>
      <c r="F28" s="200">
        <f t="shared" si="20"/>
        <v>8895.050000000001</v>
      </c>
      <c r="G28" s="200">
        <f t="shared" si="20"/>
        <v>70510.15000000002</v>
      </c>
      <c r="H28" s="200">
        <f t="shared" si="20"/>
        <v>12034.869999999999</v>
      </c>
      <c r="I28" s="200">
        <f t="shared" si="20"/>
        <v>169551.47999999998</v>
      </c>
      <c r="J28" s="200">
        <f t="shared" si="20"/>
        <v>28934.37</v>
      </c>
      <c r="K28" s="200">
        <f t="shared" si="20"/>
        <v>117423.98000000001</v>
      </c>
      <c r="L28" s="200">
        <f t="shared" si="20"/>
        <v>20040.57</v>
      </c>
      <c r="M28" s="200">
        <f t="shared" si="20"/>
        <v>41701.090000000004</v>
      </c>
      <c r="N28" s="200">
        <f>N12+N26</f>
        <v>7115.719999999999</v>
      </c>
      <c r="O28" s="200">
        <f t="shared" si="20"/>
        <v>0</v>
      </c>
      <c r="P28" s="200">
        <f t="shared" si="20"/>
        <v>0</v>
      </c>
      <c r="Q28" s="200">
        <f t="shared" si="20"/>
        <v>0</v>
      </c>
      <c r="R28" s="200">
        <f t="shared" si="20"/>
        <v>0</v>
      </c>
      <c r="S28" s="200">
        <f t="shared" si="20"/>
        <v>451313.76</v>
      </c>
      <c r="T28" s="200">
        <f t="shared" si="20"/>
        <v>77020.58</v>
      </c>
      <c r="U28" s="201">
        <f t="shared" si="20"/>
        <v>45505.56</v>
      </c>
      <c r="V28" s="201">
        <f t="shared" si="20"/>
        <v>61544.34</v>
      </c>
      <c r="W28" s="201">
        <f t="shared" si="20"/>
        <v>147979.16</v>
      </c>
      <c r="X28" s="201">
        <f t="shared" si="20"/>
        <v>102498.31</v>
      </c>
      <c r="Y28" s="201">
        <f t="shared" si="20"/>
        <v>36404.090000000004</v>
      </c>
      <c r="Z28" s="201">
        <f t="shared" si="20"/>
        <v>0</v>
      </c>
      <c r="AA28" s="201">
        <f t="shared" si="20"/>
        <v>0</v>
      </c>
      <c r="AB28" s="201">
        <f t="shared" si="20"/>
        <v>393931.46</v>
      </c>
      <c r="AC28" s="201">
        <f t="shared" si="20"/>
        <v>556409.1226868001</v>
      </c>
      <c r="AD28" s="201">
        <f t="shared" si="20"/>
        <v>0</v>
      </c>
      <c r="AE28" s="201">
        <f>AE12+AE26</f>
        <v>0</v>
      </c>
      <c r="AF28" s="201">
        <f t="shared" si="20"/>
        <v>3803.2839599999998</v>
      </c>
      <c r="AG28" s="199">
        <f t="shared" si="20"/>
        <v>41982.072</v>
      </c>
      <c r="AH28" s="199">
        <f t="shared" si="20"/>
        <v>14127.755291600002</v>
      </c>
      <c r="AI28" s="199">
        <f t="shared" si="20"/>
        <v>58867.04017975</v>
      </c>
      <c r="AJ28" s="199">
        <f t="shared" si="20"/>
        <v>10596.067232354999</v>
      </c>
      <c r="AK28" s="199">
        <f t="shared" si="20"/>
        <v>59563.45898523</v>
      </c>
      <c r="AL28" s="199">
        <f t="shared" si="20"/>
        <v>10721.422617341399</v>
      </c>
      <c r="AM28" s="199">
        <f t="shared" si="20"/>
        <v>130439.20564381253</v>
      </c>
      <c r="AN28" s="199">
        <f t="shared" si="20"/>
        <v>23479.057015886254</v>
      </c>
      <c r="AO28" s="199">
        <f t="shared" si="20"/>
        <v>0</v>
      </c>
      <c r="AP28" s="199">
        <f t="shared" si="20"/>
        <v>0</v>
      </c>
      <c r="AQ28" s="199">
        <f t="shared" si="20"/>
        <v>20681.23</v>
      </c>
      <c r="AR28" s="199">
        <f t="shared" si="20"/>
        <v>3722.6214</v>
      </c>
      <c r="AS28" s="199">
        <f t="shared" si="20"/>
        <v>134204.8</v>
      </c>
      <c r="AT28" s="199">
        <f t="shared" si="20"/>
        <v>560.88</v>
      </c>
      <c r="AU28" s="199">
        <f t="shared" si="20"/>
        <v>24257.832399999996</v>
      </c>
      <c r="AV28" s="199"/>
      <c r="AW28" s="199"/>
      <c r="AX28" s="199">
        <f t="shared" si="20"/>
        <v>7268.8</v>
      </c>
      <c r="AY28" s="199">
        <f t="shared" si="20"/>
        <v>0</v>
      </c>
      <c r="AZ28" s="199">
        <f t="shared" si="20"/>
        <v>0</v>
      </c>
      <c r="BA28" s="199">
        <f t="shared" si="20"/>
        <v>0</v>
      </c>
      <c r="BB28" s="199">
        <f t="shared" si="20"/>
        <v>540472.2427659752</v>
      </c>
      <c r="BC28" s="199">
        <f t="shared" si="20"/>
        <v>1804.2713442334002</v>
      </c>
      <c r="BD28" s="199">
        <f>BD12+BD26</f>
        <v>17935.892536591437</v>
      </c>
      <c r="BE28" s="202">
        <f>BE12+BE26</f>
        <v>-57382.29999999999</v>
      </c>
    </row>
    <row r="29" spans="1:57" ht="15" customHeight="1">
      <c r="A29" s="1" t="s">
        <v>108</v>
      </c>
      <c r="B29" s="173"/>
      <c r="C29" s="174"/>
      <c r="D29" s="174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  <c r="R29" s="176"/>
      <c r="S29" s="176"/>
      <c r="T29" s="176"/>
      <c r="U29" s="177"/>
      <c r="V29" s="177"/>
      <c r="W29" s="177"/>
      <c r="X29" s="177"/>
      <c r="Y29" s="177"/>
      <c r="Z29" s="177"/>
      <c r="AA29" s="178"/>
      <c r="AB29" s="178"/>
      <c r="AC29" s="179"/>
      <c r="AD29" s="179"/>
      <c r="AE29" s="180"/>
      <c r="AF29" s="180"/>
      <c r="AG29" s="114"/>
      <c r="AH29" s="114"/>
      <c r="AI29" s="114"/>
      <c r="AJ29" s="114"/>
      <c r="AK29" s="114"/>
      <c r="AL29" s="114"/>
      <c r="AM29" s="114"/>
      <c r="AN29" s="114"/>
      <c r="AO29" s="115"/>
      <c r="AP29" s="115"/>
      <c r="AQ29" s="115"/>
      <c r="AR29" s="115"/>
      <c r="AS29" s="115"/>
      <c r="AT29" s="115"/>
      <c r="AU29" s="114"/>
      <c r="AV29" s="114"/>
      <c r="AW29" s="114"/>
      <c r="AX29" s="115"/>
      <c r="AY29" s="115"/>
      <c r="AZ29" s="115"/>
      <c r="BA29" s="114"/>
      <c r="BB29" s="114"/>
      <c r="BC29" s="114"/>
      <c r="BD29" s="114"/>
      <c r="BE29" s="117"/>
    </row>
    <row r="30" spans="1:57" ht="12.75">
      <c r="A30" s="53" t="s">
        <v>33</v>
      </c>
      <c r="B30" s="54">
        <v>4793.3</v>
      </c>
      <c r="C30" s="18">
        <f>B30*8.65</f>
        <v>41462.045000000006</v>
      </c>
      <c r="D30" s="191">
        <f>C30-E30-F30-G30-H30-I30-J30-K30-L30-M30-N30</f>
        <v>4314.725000000005</v>
      </c>
      <c r="E30" s="25">
        <v>3670.68</v>
      </c>
      <c r="F30" s="25">
        <v>616.72</v>
      </c>
      <c r="G30" s="25">
        <v>4972.57</v>
      </c>
      <c r="H30" s="25">
        <v>835.87</v>
      </c>
      <c r="I30" s="25">
        <v>11947.02</v>
      </c>
      <c r="J30" s="25">
        <v>2007.48</v>
      </c>
      <c r="K30" s="25">
        <v>8276.19</v>
      </c>
      <c r="L30" s="25">
        <v>1390.94</v>
      </c>
      <c r="M30" s="25">
        <v>2936.49</v>
      </c>
      <c r="N30" s="27">
        <v>493.36</v>
      </c>
      <c r="O30" s="27">
        <v>0</v>
      </c>
      <c r="P30" s="27">
        <v>0</v>
      </c>
      <c r="Q30" s="27"/>
      <c r="R30" s="27"/>
      <c r="S30" s="25">
        <f>E30+G30+I30+K30+M30+O30+Q30</f>
        <v>31802.949999999997</v>
      </c>
      <c r="T30" s="26">
        <f>P30+N30+L30+J30+H30+F30+R30</f>
        <v>5344.370000000001</v>
      </c>
      <c r="U30" s="25">
        <v>2749.9</v>
      </c>
      <c r="V30" s="25">
        <v>3724.7</v>
      </c>
      <c r="W30" s="25">
        <v>8949.64</v>
      </c>
      <c r="X30" s="25">
        <v>6199.48</v>
      </c>
      <c r="Y30" s="25">
        <v>2199.82</v>
      </c>
      <c r="Z30" s="25">
        <v>0</v>
      </c>
      <c r="AA30" s="27">
        <v>0</v>
      </c>
      <c r="AB30" s="27">
        <f>SUM(U30:AA30)</f>
        <v>23823.54</v>
      </c>
      <c r="AC30" s="165">
        <f>D30+T30+AB30</f>
        <v>33482.63500000001</v>
      </c>
      <c r="AD30" s="28">
        <f>P30+Z30</f>
        <v>0</v>
      </c>
      <c r="AE30" s="28">
        <f>R30+AA30</f>
        <v>0</v>
      </c>
      <c r="AF30" s="28">
        <f>'[16]Т01-10'!$I$86</f>
        <v>633.88066</v>
      </c>
      <c r="AG30" s="29">
        <f>0.6*B30</f>
        <v>2875.98</v>
      </c>
      <c r="AH30" s="29">
        <f>B30*0.2</f>
        <v>958.6600000000001</v>
      </c>
      <c r="AI30" s="29">
        <f>1*B30</f>
        <v>4793.3</v>
      </c>
      <c r="AJ30" s="29">
        <v>0</v>
      </c>
      <c r="AK30" s="29">
        <f>0.98*B30</f>
        <v>4697.434</v>
      </c>
      <c r="AL30" s="29">
        <v>0</v>
      </c>
      <c r="AM30" s="29">
        <f>2.25*B30</f>
        <v>10784.925000000001</v>
      </c>
      <c r="AN30" s="29">
        <v>0</v>
      </c>
      <c r="AO30" s="29"/>
      <c r="AP30" s="29">
        <v>0</v>
      </c>
      <c r="AQ30" s="30"/>
      <c r="AR30" s="30"/>
      <c r="AS30" s="31">
        <v>0</v>
      </c>
      <c r="AT30" s="31"/>
      <c r="AU30" s="31">
        <f>AT30*0</f>
        <v>0</v>
      </c>
      <c r="AV30" s="163">
        <v>508</v>
      </c>
      <c r="AW30" s="164">
        <v>1.25</v>
      </c>
      <c r="AX30" s="29">
        <f aca="true" t="shared" si="21" ref="AX30:AX40">AV30*AW30*1.4</f>
        <v>889</v>
      </c>
      <c r="AY30" s="17"/>
      <c r="AZ30" s="32"/>
      <c r="BA30" s="32">
        <f>AZ30*0.18</f>
        <v>0</v>
      </c>
      <c r="BB30" s="32">
        <f>SUM(AG30:BA30)-AV30-AW30</f>
        <v>24999.299</v>
      </c>
      <c r="BC30" s="33">
        <f>'[16]Т03-10'!$M$87</f>
        <v>301.771</v>
      </c>
      <c r="BD30" s="114">
        <f>AC30+AF30-BB30-BC30</f>
        <v>8815.445660000012</v>
      </c>
      <c r="BE30" s="117">
        <f>AB30-S30</f>
        <v>-7979.409999999996</v>
      </c>
    </row>
    <row r="31" spans="1:57" ht="12.75">
      <c r="A31" s="53" t="s">
        <v>34</v>
      </c>
      <c r="B31" s="181">
        <v>4793.3</v>
      </c>
      <c r="C31" s="18">
        <f aca="true" t="shared" si="22" ref="C31:C41">B31*8.65</f>
        <v>41462.045000000006</v>
      </c>
      <c r="D31" s="191">
        <f aca="true" t="shared" si="23" ref="D31:D41">C31-E31-F31-G31-H31-I31-J31-K31-L31-M31-N31</f>
        <v>4324.01500000001</v>
      </c>
      <c r="E31" s="69">
        <v>3673.79</v>
      </c>
      <c r="F31" s="25">
        <v>612.52</v>
      </c>
      <c r="G31" s="25">
        <v>4976.85</v>
      </c>
      <c r="H31" s="25">
        <v>830.17</v>
      </c>
      <c r="I31" s="25">
        <v>11957.2</v>
      </c>
      <c r="J31" s="25">
        <v>1993.8</v>
      </c>
      <c r="K31" s="25">
        <v>8283.27</v>
      </c>
      <c r="L31" s="25">
        <v>1381.46</v>
      </c>
      <c r="M31" s="25">
        <v>2938.97</v>
      </c>
      <c r="N31" s="27">
        <v>490</v>
      </c>
      <c r="O31" s="27">
        <v>0</v>
      </c>
      <c r="P31" s="27">
        <v>0</v>
      </c>
      <c r="Q31" s="27">
        <v>0</v>
      </c>
      <c r="R31" s="27">
        <v>0</v>
      </c>
      <c r="S31" s="25">
        <f aca="true" t="shared" si="24" ref="S31:S41">E31+G31+I31+K31+M31+O31+Q31</f>
        <v>31830.08</v>
      </c>
      <c r="T31" s="26">
        <f aca="true" t="shared" si="25" ref="T31:T41">P31+N31+L31+J31+H31+F31+R31</f>
        <v>5307.950000000001</v>
      </c>
      <c r="U31" s="25">
        <v>3233.3</v>
      </c>
      <c r="V31" s="25">
        <v>4380.18</v>
      </c>
      <c r="W31" s="25">
        <v>10523.55</v>
      </c>
      <c r="X31" s="25">
        <v>7290.06</v>
      </c>
      <c r="Y31" s="25">
        <v>2586.59</v>
      </c>
      <c r="Z31" s="25">
        <v>0</v>
      </c>
      <c r="AA31" s="27">
        <v>0</v>
      </c>
      <c r="AB31" s="27">
        <f>SUM(U31:AA31)</f>
        <v>28013.68</v>
      </c>
      <c r="AC31" s="165">
        <f aca="true" t="shared" si="26" ref="AC31:AC41">D31+T31+AB31</f>
        <v>37645.64500000001</v>
      </c>
      <c r="AD31" s="28">
        <f aca="true" t="shared" si="27" ref="AD31:AD41">P31+Z31</f>
        <v>0</v>
      </c>
      <c r="AE31" s="28">
        <f aca="true" t="shared" si="28" ref="AE31:AE41">R31+AA31</f>
        <v>0</v>
      </c>
      <c r="AF31" s="28">
        <f>'[5]Т01-10'!$I$86</f>
        <v>633.88066</v>
      </c>
      <c r="AG31" s="29">
        <f aca="true" t="shared" si="29" ref="AG31:AG41">0.6*B31</f>
        <v>2875.98</v>
      </c>
      <c r="AH31" s="29">
        <f aca="true" t="shared" si="30" ref="AH31:AH41">B31*0.2</f>
        <v>958.6600000000001</v>
      </c>
      <c r="AI31" s="29">
        <f aca="true" t="shared" si="31" ref="AI31:AI41">1*B31</f>
        <v>4793.3</v>
      </c>
      <c r="AJ31" s="29">
        <v>0</v>
      </c>
      <c r="AK31" s="29">
        <f aca="true" t="shared" si="32" ref="AK31:AK41">0.98*B31</f>
        <v>4697.434</v>
      </c>
      <c r="AL31" s="29">
        <v>0</v>
      </c>
      <c r="AM31" s="29">
        <f aca="true" t="shared" si="33" ref="AM31:AM41">2.25*B31</f>
        <v>10784.925000000001</v>
      </c>
      <c r="AN31" s="29">
        <v>0</v>
      </c>
      <c r="AO31" s="29"/>
      <c r="AP31" s="29"/>
      <c r="AQ31" s="30"/>
      <c r="AR31" s="30"/>
      <c r="AS31" s="31">
        <v>17284</v>
      </c>
      <c r="AT31" s="31"/>
      <c r="AU31" s="31">
        <f>AT31*0.18</f>
        <v>0</v>
      </c>
      <c r="AV31" s="163">
        <v>407</v>
      </c>
      <c r="AW31" s="164">
        <v>1.25</v>
      </c>
      <c r="AX31" s="29">
        <f t="shared" si="21"/>
        <v>712.25</v>
      </c>
      <c r="AY31" s="17"/>
      <c r="AZ31" s="32"/>
      <c r="BA31" s="32">
        <f aca="true" t="shared" si="34" ref="BA31:BA41">AZ31*0.18</f>
        <v>0</v>
      </c>
      <c r="BB31" s="32">
        <f aca="true" t="shared" si="35" ref="BB31:BB41">SUM(AG31:BA31)-AV31-AW31</f>
        <v>42106.549</v>
      </c>
      <c r="BC31" s="33">
        <f>'[5]Т03-10'!$M$87</f>
        <v>301.771</v>
      </c>
      <c r="BD31" s="114">
        <f aca="true" t="shared" si="36" ref="BD31:BD41">AC31+AF31-BB31-BC31</f>
        <v>-4128.794339999985</v>
      </c>
      <c r="BE31" s="117">
        <f aca="true" t="shared" si="37" ref="BE31:BE41">AB31-S31</f>
        <v>-3816.4000000000015</v>
      </c>
    </row>
    <row r="32" spans="1:57" ht="12.75">
      <c r="A32" s="53" t="s">
        <v>35</v>
      </c>
      <c r="B32" s="54">
        <v>4793.3</v>
      </c>
      <c r="C32" s="18">
        <f t="shared" si="22"/>
        <v>41462.045000000006</v>
      </c>
      <c r="D32" s="191">
        <f t="shared" si="23"/>
        <v>4324.08500000001</v>
      </c>
      <c r="E32" s="25">
        <v>3679.77</v>
      </c>
      <c r="F32" s="25">
        <v>606.52</v>
      </c>
      <c r="G32" s="25">
        <v>4984.87</v>
      </c>
      <c r="H32" s="25">
        <v>822.15</v>
      </c>
      <c r="I32" s="25">
        <v>11976.6</v>
      </c>
      <c r="J32" s="25">
        <v>1974.39</v>
      </c>
      <c r="K32" s="25">
        <v>8296.71</v>
      </c>
      <c r="L32" s="25">
        <v>1368</v>
      </c>
      <c r="M32" s="25">
        <v>2943.77</v>
      </c>
      <c r="N32" s="27">
        <v>485.18</v>
      </c>
      <c r="O32" s="27">
        <v>0</v>
      </c>
      <c r="P32" s="27">
        <v>0</v>
      </c>
      <c r="Q32" s="27">
        <v>0</v>
      </c>
      <c r="R32" s="27">
        <v>0</v>
      </c>
      <c r="S32" s="25">
        <f t="shared" si="24"/>
        <v>31881.719999999998</v>
      </c>
      <c r="T32" s="26">
        <f t="shared" si="25"/>
        <v>5256.24</v>
      </c>
      <c r="U32" s="25">
        <v>4364.55</v>
      </c>
      <c r="V32" s="25">
        <v>5912.21</v>
      </c>
      <c r="W32" s="25">
        <v>14204.99</v>
      </c>
      <c r="X32" s="25">
        <v>9840.43</v>
      </c>
      <c r="Y32" s="25">
        <v>3491.6</v>
      </c>
      <c r="Z32" s="25">
        <v>0</v>
      </c>
      <c r="AA32" s="27">
        <v>0</v>
      </c>
      <c r="AB32" s="27">
        <f>SUM(U32:AA32)</f>
        <v>37813.78</v>
      </c>
      <c r="AC32" s="165">
        <f t="shared" si="26"/>
        <v>47394.10500000001</v>
      </c>
      <c r="AD32" s="28">
        <f t="shared" si="27"/>
        <v>0</v>
      </c>
      <c r="AE32" s="28">
        <f t="shared" si="28"/>
        <v>0</v>
      </c>
      <c r="AF32" s="28">
        <f>'[5]Т01-10'!$I$86</f>
        <v>633.88066</v>
      </c>
      <c r="AG32" s="29">
        <f t="shared" si="29"/>
        <v>2875.98</v>
      </c>
      <c r="AH32" s="29">
        <f t="shared" si="30"/>
        <v>958.6600000000001</v>
      </c>
      <c r="AI32" s="29">
        <f t="shared" si="31"/>
        <v>4793.3</v>
      </c>
      <c r="AJ32" s="29">
        <v>0</v>
      </c>
      <c r="AK32" s="29">
        <f t="shared" si="32"/>
        <v>4697.434</v>
      </c>
      <c r="AL32" s="29">
        <v>0</v>
      </c>
      <c r="AM32" s="29">
        <f t="shared" si="33"/>
        <v>10784.925000000001</v>
      </c>
      <c r="AN32" s="29">
        <v>0</v>
      </c>
      <c r="AO32" s="29"/>
      <c r="AP32" s="29"/>
      <c r="AQ32" s="30"/>
      <c r="AR32" s="30"/>
      <c r="AS32" s="31">
        <v>735</v>
      </c>
      <c r="AT32" s="31"/>
      <c r="AU32" s="31">
        <f>AT32*0.18</f>
        <v>0</v>
      </c>
      <c r="AV32" s="163">
        <v>383</v>
      </c>
      <c r="AW32" s="164">
        <v>1.25</v>
      </c>
      <c r="AX32" s="29">
        <f t="shared" si="21"/>
        <v>670.25</v>
      </c>
      <c r="AY32" s="17"/>
      <c r="AZ32" s="32"/>
      <c r="BA32" s="32">
        <f t="shared" si="34"/>
        <v>0</v>
      </c>
      <c r="BB32" s="32">
        <f t="shared" si="35"/>
        <v>25515.549</v>
      </c>
      <c r="BC32" s="33">
        <f>'[5]Т03-10'!$M$87</f>
        <v>301.771</v>
      </c>
      <c r="BD32" s="114">
        <f t="shared" si="36"/>
        <v>22210.665660000013</v>
      </c>
      <c r="BE32" s="117">
        <f t="shared" si="37"/>
        <v>5932.060000000001</v>
      </c>
    </row>
    <row r="33" spans="1:57" ht="12.75">
      <c r="A33" s="53" t="s">
        <v>36</v>
      </c>
      <c r="B33" s="54">
        <v>4793.3</v>
      </c>
      <c r="C33" s="18">
        <f t="shared" si="22"/>
        <v>41462.045000000006</v>
      </c>
      <c r="D33" s="191">
        <f t="shared" si="23"/>
        <v>4279.144999999999</v>
      </c>
      <c r="E33" s="25">
        <v>3721.98</v>
      </c>
      <c r="F33" s="25">
        <v>569.61</v>
      </c>
      <c r="G33" s="25">
        <v>5041.86</v>
      </c>
      <c r="H33" s="25">
        <v>772.03</v>
      </c>
      <c r="I33" s="25">
        <v>12113.76</v>
      </c>
      <c r="J33" s="25">
        <v>1854.13</v>
      </c>
      <c r="K33" s="25">
        <v>8391.68</v>
      </c>
      <c r="L33" s="25">
        <v>1284.66</v>
      </c>
      <c r="M33" s="25">
        <v>2977.53</v>
      </c>
      <c r="N33" s="27">
        <v>455.66</v>
      </c>
      <c r="O33" s="27">
        <v>0</v>
      </c>
      <c r="P33" s="27">
        <v>0</v>
      </c>
      <c r="Q33" s="27"/>
      <c r="R33" s="27"/>
      <c r="S33" s="25">
        <f t="shared" si="24"/>
        <v>32246.809999999998</v>
      </c>
      <c r="T33" s="26">
        <f t="shared" si="25"/>
        <v>4936.09</v>
      </c>
      <c r="U33" s="25">
        <v>3124.51</v>
      </c>
      <c r="V33" s="25">
        <v>4218.2</v>
      </c>
      <c r="W33" s="25">
        <v>10154.73</v>
      </c>
      <c r="X33" s="25">
        <v>7030.21</v>
      </c>
      <c r="Y33" s="25">
        <v>2499.59</v>
      </c>
      <c r="Z33" s="25">
        <v>0</v>
      </c>
      <c r="AA33" s="27">
        <v>0</v>
      </c>
      <c r="AB33" s="27">
        <f>SUM(U33:AA33)</f>
        <v>27027.239999999998</v>
      </c>
      <c r="AC33" s="165">
        <f t="shared" si="26"/>
        <v>36242.475</v>
      </c>
      <c r="AD33" s="28">
        <f t="shared" si="27"/>
        <v>0</v>
      </c>
      <c r="AE33" s="28">
        <f t="shared" si="28"/>
        <v>0</v>
      </c>
      <c r="AF33" s="28">
        <f>'[6]Т04-10'!$I$87</f>
        <v>633.88066</v>
      </c>
      <c r="AG33" s="29">
        <f t="shared" si="29"/>
        <v>2875.98</v>
      </c>
      <c r="AH33" s="29">
        <f t="shared" si="30"/>
        <v>958.6600000000001</v>
      </c>
      <c r="AI33" s="29">
        <f t="shared" si="31"/>
        <v>4793.3</v>
      </c>
      <c r="AJ33" s="29">
        <v>0</v>
      </c>
      <c r="AK33" s="29">
        <f t="shared" si="32"/>
        <v>4697.434</v>
      </c>
      <c r="AL33" s="29">
        <v>0</v>
      </c>
      <c r="AM33" s="29">
        <f t="shared" si="33"/>
        <v>10784.925000000001</v>
      </c>
      <c r="AN33" s="29">
        <v>0</v>
      </c>
      <c r="AO33" s="29">
        <v>6268.86</v>
      </c>
      <c r="AP33" s="29"/>
      <c r="AQ33" s="30"/>
      <c r="AR33" s="30"/>
      <c r="AS33" s="31">
        <v>5928</v>
      </c>
      <c r="AT33" s="31"/>
      <c r="AU33" s="31">
        <f>AT33*0.18</f>
        <v>0</v>
      </c>
      <c r="AV33" s="163">
        <v>307</v>
      </c>
      <c r="AW33" s="164">
        <v>1.25</v>
      </c>
      <c r="AX33" s="29">
        <f t="shared" si="21"/>
        <v>537.25</v>
      </c>
      <c r="AY33" s="17"/>
      <c r="AZ33" s="32"/>
      <c r="BA33" s="32">
        <f t="shared" si="34"/>
        <v>0</v>
      </c>
      <c r="BB33" s="32">
        <f t="shared" si="35"/>
        <v>36844.409</v>
      </c>
      <c r="BC33" s="33">
        <f>'[6]Т04-10'!$M$87</f>
        <v>301.771</v>
      </c>
      <c r="BD33" s="114">
        <f t="shared" si="36"/>
        <v>-269.8243399999986</v>
      </c>
      <c r="BE33" s="117">
        <f t="shared" si="37"/>
        <v>-5219.57</v>
      </c>
    </row>
    <row r="34" spans="1:57" ht="12.75">
      <c r="A34" s="53" t="s">
        <v>37</v>
      </c>
      <c r="B34" s="54">
        <v>4793.3</v>
      </c>
      <c r="C34" s="18">
        <f t="shared" si="22"/>
        <v>41462.045000000006</v>
      </c>
      <c r="D34" s="191">
        <f t="shared" si="23"/>
        <v>4331.805000000008</v>
      </c>
      <c r="E34" s="25">
        <v>3688.04</v>
      </c>
      <c r="F34" s="25">
        <v>597.34</v>
      </c>
      <c r="G34" s="25">
        <v>4996.18</v>
      </c>
      <c r="H34" s="25">
        <v>809.63</v>
      </c>
      <c r="I34" s="25">
        <v>12003.67</v>
      </c>
      <c r="J34" s="25">
        <v>1944.44</v>
      </c>
      <c r="K34" s="25">
        <v>8315.47</v>
      </c>
      <c r="L34" s="25">
        <v>1347.23</v>
      </c>
      <c r="M34" s="25">
        <v>2950.39</v>
      </c>
      <c r="N34" s="27">
        <v>477.85</v>
      </c>
      <c r="O34" s="27">
        <v>0</v>
      </c>
      <c r="P34" s="27">
        <v>0</v>
      </c>
      <c r="Q34" s="27"/>
      <c r="R34" s="27"/>
      <c r="S34" s="25">
        <f t="shared" si="24"/>
        <v>31953.75</v>
      </c>
      <c r="T34" s="26">
        <f t="shared" si="25"/>
        <v>5176.49</v>
      </c>
      <c r="U34" s="203">
        <v>3586.26</v>
      </c>
      <c r="V34" s="203">
        <v>4857.06</v>
      </c>
      <c r="W34" s="203">
        <v>11671</v>
      </c>
      <c r="X34" s="203">
        <v>8084.64</v>
      </c>
      <c r="Y34" s="203">
        <v>2868.82</v>
      </c>
      <c r="Z34" s="203">
        <v>0</v>
      </c>
      <c r="AA34" s="204">
        <v>0</v>
      </c>
      <c r="AB34" s="27">
        <f aca="true" t="shared" si="38" ref="AB34:AB41">SUM(U34:AA34)</f>
        <v>31067.78</v>
      </c>
      <c r="AC34" s="165">
        <f t="shared" si="26"/>
        <v>40576.075000000004</v>
      </c>
      <c r="AD34" s="28">
        <f t="shared" si="27"/>
        <v>0</v>
      </c>
      <c r="AE34" s="28">
        <f t="shared" si="28"/>
        <v>0</v>
      </c>
      <c r="AF34" s="28">
        <f>'[6]Т04-10'!$I$87</f>
        <v>633.88066</v>
      </c>
      <c r="AG34" s="29">
        <f t="shared" si="29"/>
        <v>2875.98</v>
      </c>
      <c r="AH34" s="29">
        <f t="shared" si="30"/>
        <v>958.6600000000001</v>
      </c>
      <c r="AI34" s="29">
        <f t="shared" si="31"/>
        <v>4793.3</v>
      </c>
      <c r="AJ34" s="29">
        <v>0</v>
      </c>
      <c r="AK34" s="29">
        <f t="shared" si="32"/>
        <v>4697.434</v>
      </c>
      <c r="AL34" s="29">
        <v>0</v>
      </c>
      <c r="AM34" s="29">
        <f t="shared" si="33"/>
        <v>10784.925000000001</v>
      </c>
      <c r="AN34" s="29">
        <v>0</v>
      </c>
      <c r="AO34" s="29"/>
      <c r="AP34" s="29"/>
      <c r="AQ34" s="30"/>
      <c r="AR34" s="30"/>
      <c r="AS34" s="31">
        <f>561+54845</f>
        <v>55406</v>
      </c>
      <c r="AT34" s="31"/>
      <c r="AU34" s="31">
        <f>AT34*0.18</f>
        <v>0</v>
      </c>
      <c r="AV34" s="163">
        <v>263</v>
      </c>
      <c r="AW34" s="164">
        <v>1.25</v>
      </c>
      <c r="AX34" s="29">
        <f t="shared" si="21"/>
        <v>460.24999999999994</v>
      </c>
      <c r="AY34" s="17"/>
      <c r="AZ34" s="32"/>
      <c r="BA34" s="32">
        <f t="shared" si="34"/>
        <v>0</v>
      </c>
      <c r="BB34" s="32">
        <f t="shared" si="35"/>
        <v>79976.549</v>
      </c>
      <c r="BC34" s="33">
        <f>'[6]Т04-10'!$M$87</f>
        <v>301.771</v>
      </c>
      <c r="BD34" s="114">
        <f t="shared" si="36"/>
        <v>-39068.36433999999</v>
      </c>
      <c r="BE34" s="117">
        <f t="shared" si="37"/>
        <v>-885.9700000000012</v>
      </c>
    </row>
    <row r="35" spans="1:57" ht="12.75">
      <c r="A35" s="53" t="s">
        <v>38</v>
      </c>
      <c r="B35" s="54">
        <v>4793.3</v>
      </c>
      <c r="C35" s="18">
        <f t="shared" si="22"/>
        <v>41462.045000000006</v>
      </c>
      <c r="D35" s="191">
        <f t="shared" si="23"/>
        <v>4332.805000000007</v>
      </c>
      <c r="E35" s="25">
        <v>3664.54</v>
      </c>
      <c r="F35" s="25">
        <v>620.71</v>
      </c>
      <c r="G35" s="25">
        <v>4964.33</v>
      </c>
      <c r="H35" s="25">
        <v>841.32</v>
      </c>
      <c r="I35" s="25">
        <v>11927.21</v>
      </c>
      <c r="J35" s="25">
        <v>2020.53</v>
      </c>
      <c r="K35" s="25">
        <v>8262.5</v>
      </c>
      <c r="L35" s="25">
        <v>1399.95</v>
      </c>
      <c r="M35" s="25">
        <v>2931.6</v>
      </c>
      <c r="N35" s="27">
        <v>496.55</v>
      </c>
      <c r="O35" s="27">
        <v>0</v>
      </c>
      <c r="P35" s="27">
        <v>0</v>
      </c>
      <c r="Q35" s="27">
        <v>0</v>
      </c>
      <c r="R35" s="27">
        <v>0</v>
      </c>
      <c r="S35" s="25">
        <f t="shared" si="24"/>
        <v>31750.179999999997</v>
      </c>
      <c r="T35" s="26">
        <f t="shared" si="25"/>
        <v>5379.0599999999995</v>
      </c>
      <c r="U35" s="25">
        <v>3075.3</v>
      </c>
      <c r="V35" s="25">
        <v>4167.2</v>
      </c>
      <c r="W35" s="25">
        <v>10010.48</v>
      </c>
      <c r="X35" s="25">
        <v>6935</v>
      </c>
      <c r="Y35" s="25">
        <v>2460.3</v>
      </c>
      <c r="Z35" s="25">
        <v>0</v>
      </c>
      <c r="AA35" s="27">
        <v>0</v>
      </c>
      <c r="AB35" s="27">
        <f t="shared" si="38"/>
        <v>26648.28</v>
      </c>
      <c r="AC35" s="165">
        <f t="shared" si="26"/>
        <v>36360.145000000004</v>
      </c>
      <c r="AD35" s="28">
        <f t="shared" si="27"/>
        <v>0</v>
      </c>
      <c r="AE35" s="28">
        <f t="shared" si="28"/>
        <v>0</v>
      </c>
      <c r="AF35" s="28">
        <f>'[6]Т04-10'!$I$87</f>
        <v>633.88066</v>
      </c>
      <c r="AG35" s="29">
        <f t="shared" si="29"/>
        <v>2875.98</v>
      </c>
      <c r="AH35" s="29">
        <f t="shared" si="30"/>
        <v>958.6600000000001</v>
      </c>
      <c r="AI35" s="29">
        <f t="shared" si="31"/>
        <v>4793.3</v>
      </c>
      <c r="AJ35" s="29">
        <v>0</v>
      </c>
      <c r="AK35" s="29">
        <f t="shared" si="32"/>
        <v>4697.434</v>
      </c>
      <c r="AL35" s="29">
        <v>0</v>
      </c>
      <c r="AM35" s="29">
        <f t="shared" si="33"/>
        <v>10784.925000000001</v>
      </c>
      <c r="AN35" s="29">
        <v>0</v>
      </c>
      <c r="AO35" s="29"/>
      <c r="AP35" s="29"/>
      <c r="AQ35" s="30"/>
      <c r="AR35" s="30"/>
      <c r="AS35" s="31">
        <v>26738</v>
      </c>
      <c r="AT35" s="31"/>
      <c r="AU35" s="31">
        <f>AT35*0.18</f>
        <v>0</v>
      </c>
      <c r="AV35" s="163">
        <v>233</v>
      </c>
      <c r="AW35" s="164">
        <v>1.25</v>
      </c>
      <c r="AX35" s="29">
        <f t="shared" si="21"/>
        <v>407.75</v>
      </c>
      <c r="AY35" s="17"/>
      <c r="AZ35" s="32"/>
      <c r="BA35" s="32">
        <f t="shared" si="34"/>
        <v>0</v>
      </c>
      <c r="BB35" s="32">
        <f t="shared" si="35"/>
        <v>51256.049</v>
      </c>
      <c r="BC35" s="33">
        <f>'[6]Т06-10'!$M$85</f>
        <v>301.771</v>
      </c>
      <c r="BD35" s="114">
        <f t="shared" si="36"/>
        <v>-14563.794339999993</v>
      </c>
      <c r="BE35" s="117">
        <f t="shared" si="37"/>
        <v>-5101.899999999998</v>
      </c>
    </row>
    <row r="36" spans="1:57" ht="12.75">
      <c r="A36" s="53" t="s">
        <v>39</v>
      </c>
      <c r="B36" s="54">
        <v>4793.3</v>
      </c>
      <c r="C36" s="18">
        <f t="shared" si="22"/>
        <v>41462.045000000006</v>
      </c>
      <c r="D36" s="191">
        <f t="shared" si="23"/>
        <v>4342.415000000012</v>
      </c>
      <c r="E36" s="69">
        <v>4284.13</v>
      </c>
      <c r="F36" s="25">
        <v>0</v>
      </c>
      <c r="G36" s="25">
        <v>5804.19</v>
      </c>
      <c r="H36" s="25">
        <v>0</v>
      </c>
      <c r="I36" s="25">
        <v>13944.12</v>
      </c>
      <c r="J36" s="25">
        <v>0</v>
      </c>
      <c r="K36" s="25">
        <v>9659.96</v>
      </c>
      <c r="L36" s="25">
        <v>0</v>
      </c>
      <c r="M36" s="25">
        <v>3427.23</v>
      </c>
      <c r="N36" s="27">
        <v>0</v>
      </c>
      <c r="O36" s="27">
        <v>0</v>
      </c>
      <c r="P36" s="27">
        <v>0</v>
      </c>
      <c r="Q36" s="27"/>
      <c r="R36" s="27"/>
      <c r="S36" s="25">
        <f t="shared" si="24"/>
        <v>37119.630000000005</v>
      </c>
      <c r="T36" s="26">
        <f t="shared" si="25"/>
        <v>0</v>
      </c>
      <c r="U36" s="69">
        <v>3545.37</v>
      </c>
      <c r="V36" s="25">
        <v>4803.71</v>
      </c>
      <c r="W36" s="25">
        <v>11539.97</v>
      </c>
      <c r="X36" s="25">
        <v>7994.34</v>
      </c>
      <c r="Y36" s="25">
        <v>2836.28</v>
      </c>
      <c r="Z36" s="25">
        <v>0</v>
      </c>
      <c r="AA36" s="27">
        <v>0</v>
      </c>
      <c r="AB36" s="27">
        <f t="shared" si="38"/>
        <v>30719.67</v>
      </c>
      <c r="AC36" s="165">
        <f t="shared" si="26"/>
        <v>35062.08500000001</v>
      </c>
      <c r="AD36" s="28">
        <f t="shared" si="27"/>
        <v>0</v>
      </c>
      <c r="AE36" s="28">
        <f t="shared" si="28"/>
        <v>0</v>
      </c>
      <c r="AF36" s="28">
        <f>'[12]Т07-10'!$I$84</f>
        <v>633.88066</v>
      </c>
      <c r="AG36" s="29">
        <f t="shared" si="29"/>
        <v>2875.98</v>
      </c>
      <c r="AH36" s="29">
        <f t="shared" si="30"/>
        <v>958.6600000000001</v>
      </c>
      <c r="AI36" s="29">
        <f t="shared" si="31"/>
        <v>4793.3</v>
      </c>
      <c r="AJ36" s="29">
        <v>0</v>
      </c>
      <c r="AK36" s="29">
        <f t="shared" si="32"/>
        <v>4697.434</v>
      </c>
      <c r="AL36" s="29">
        <v>0</v>
      </c>
      <c r="AM36" s="29">
        <f t="shared" si="33"/>
        <v>10784.925000000001</v>
      </c>
      <c r="AN36" s="29">
        <v>0</v>
      </c>
      <c r="AO36" s="29"/>
      <c r="AP36" s="29"/>
      <c r="AQ36" s="30"/>
      <c r="AR36" s="30"/>
      <c r="AS36" s="31"/>
      <c r="AT36" s="31">
        <v>127.98</v>
      </c>
      <c r="AU36" s="31">
        <f>0*0.18</f>
        <v>0</v>
      </c>
      <c r="AV36" s="163">
        <v>248</v>
      </c>
      <c r="AW36" s="164">
        <v>1.25</v>
      </c>
      <c r="AX36" s="29">
        <f t="shared" si="21"/>
        <v>434</v>
      </c>
      <c r="AY36" s="17"/>
      <c r="AZ36" s="32"/>
      <c r="BA36" s="32">
        <f t="shared" si="34"/>
        <v>0</v>
      </c>
      <c r="BB36" s="32">
        <f t="shared" si="35"/>
        <v>24672.279</v>
      </c>
      <c r="BC36" s="33">
        <f>'[13]Т06-10'!$M$85</f>
        <v>301.771</v>
      </c>
      <c r="BD36" s="114">
        <f t="shared" si="36"/>
        <v>10721.91566000001</v>
      </c>
      <c r="BE36" s="117">
        <f t="shared" si="37"/>
        <v>-6399.960000000006</v>
      </c>
    </row>
    <row r="37" spans="1:57" ht="12.75">
      <c r="A37" s="53" t="s">
        <v>40</v>
      </c>
      <c r="B37" s="54">
        <v>4793.3</v>
      </c>
      <c r="C37" s="18">
        <f t="shared" si="22"/>
        <v>41462.045000000006</v>
      </c>
      <c r="D37" s="205">
        <f>C37-E37-F37-G37-H37-I37-J37-K37-L37-M37-N37+50000</f>
        <v>54359.855</v>
      </c>
      <c r="E37" s="69">
        <v>4282.08</v>
      </c>
      <c r="F37" s="25">
        <v>0</v>
      </c>
      <c r="G37" s="25">
        <v>5801.54</v>
      </c>
      <c r="H37" s="25">
        <v>0</v>
      </c>
      <c r="I37" s="25">
        <v>13937.55</v>
      </c>
      <c r="J37" s="25">
        <v>0</v>
      </c>
      <c r="K37" s="25">
        <v>9655.44</v>
      </c>
      <c r="L37" s="25">
        <v>0</v>
      </c>
      <c r="M37" s="25">
        <v>3425.58</v>
      </c>
      <c r="N37" s="27">
        <v>0</v>
      </c>
      <c r="O37" s="27">
        <v>0</v>
      </c>
      <c r="P37" s="27">
        <v>0</v>
      </c>
      <c r="Q37" s="27"/>
      <c r="R37" s="27"/>
      <c r="S37" s="25">
        <f t="shared" si="24"/>
        <v>37102.19</v>
      </c>
      <c r="T37" s="26">
        <f t="shared" si="25"/>
        <v>0</v>
      </c>
      <c r="U37" s="203">
        <v>4440.65</v>
      </c>
      <c r="V37" s="203">
        <v>6015.98</v>
      </c>
      <c r="W37" s="203">
        <v>14453.31</v>
      </c>
      <c r="X37" s="203">
        <v>10012.75</v>
      </c>
      <c r="Y37" s="203">
        <v>3552.43</v>
      </c>
      <c r="Z37" s="203">
        <v>0</v>
      </c>
      <c r="AA37" s="204">
        <v>0</v>
      </c>
      <c r="AB37" s="27">
        <f t="shared" si="38"/>
        <v>38475.12</v>
      </c>
      <c r="AC37" s="165">
        <f t="shared" si="26"/>
        <v>92834.975</v>
      </c>
      <c r="AD37" s="28">
        <f t="shared" si="27"/>
        <v>0</v>
      </c>
      <c r="AE37" s="28">
        <f t="shared" si="28"/>
        <v>0</v>
      </c>
      <c r="AF37" s="28">
        <f>'[12]Т07-10'!$I$84</f>
        <v>633.88066</v>
      </c>
      <c r="AG37" s="29">
        <f t="shared" si="29"/>
        <v>2875.98</v>
      </c>
      <c r="AH37" s="29">
        <f t="shared" si="30"/>
        <v>958.6600000000001</v>
      </c>
      <c r="AI37" s="29">
        <f t="shared" si="31"/>
        <v>4793.3</v>
      </c>
      <c r="AJ37" s="29">
        <v>0</v>
      </c>
      <c r="AK37" s="29">
        <f t="shared" si="32"/>
        <v>4697.434</v>
      </c>
      <c r="AL37" s="29">
        <v>0</v>
      </c>
      <c r="AM37" s="29">
        <f t="shared" si="33"/>
        <v>10784.925000000001</v>
      </c>
      <c r="AN37" s="29">
        <v>0</v>
      </c>
      <c r="AO37" s="29"/>
      <c r="AP37" s="29"/>
      <c r="AQ37" s="30"/>
      <c r="AR37" s="30"/>
      <c r="AS37" s="31">
        <v>9556</v>
      </c>
      <c r="AT37" s="31">
        <f>47.8+42</f>
        <v>89.8</v>
      </c>
      <c r="AU37" s="31">
        <f>0*0.18</f>
        <v>0</v>
      </c>
      <c r="AV37" s="163">
        <v>293</v>
      </c>
      <c r="AW37" s="164">
        <v>1.25</v>
      </c>
      <c r="AX37" s="29">
        <f t="shared" si="21"/>
        <v>512.75</v>
      </c>
      <c r="AY37" s="17"/>
      <c r="AZ37" s="32"/>
      <c r="BA37" s="32">
        <f t="shared" si="34"/>
        <v>0</v>
      </c>
      <c r="BB37" s="32">
        <f t="shared" si="35"/>
        <v>34268.849</v>
      </c>
      <c r="BC37" s="33">
        <f>'[13]Т06-10'!$M$85</f>
        <v>301.771</v>
      </c>
      <c r="BD37" s="114">
        <f t="shared" si="36"/>
        <v>58898.23566</v>
      </c>
      <c r="BE37" s="117">
        <f t="shared" si="37"/>
        <v>1372.9300000000003</v>
      </c>
    </row>
    <row r="38" spans="1:57" ht="12.75">
      <c r="A38" s="53" t="s">
        <v>41</v>
      </c>
      <c r="B38" s="54">
        <v>4793.3</v>
      </c>
      <c r="C38" s="18">
        <f t="shared" si="22"/>
        <v>41462.045000000006</v>
      </c>
      <c r="D38" s="205">
        <f>C38-E38-F38-G38-H38-I38-J38-K38-L38-M38-N38+50000</f>
        <v>54359.83500000001</v>
      </c>
      <c r="E38" s="25">
        <v>4282.08</v>
      </c>
      <c r="F38" s="25">
        <v>0</v>
      </c>
      <c r="G38" s="25">
        <v>5801.53</v>
      </c>
      <c r="H38" s="25">
        <v>0</v>
      </c>
      <c r="I38" s="25">
        <v>13937.56</v>
      </c>
      <c r="J38" s="25">
        <v>0</v>
      </c>
      <c r="K38" s="25">
        <v>9655.45</v>
      </c>
      <c r="L38" s="25">
        <v>0</v>
      </c>
      <c r="M38" s="25">
        <v>3425.59</v>
      </c>
      <c r="N38" s="27">
        <v>0</v>
      </c>
      <c r="O38" s="27">
        <v>0</v>
      </c>
      <c r="P38" s="27">
        <v>0</v>
      </c>
      <c r="Q38" s="27"/>
      <c r="R38" s="27"/>
      <c r="S38" s="25">
        <f t="shared" si="24"/>
        <v>37102.20999999999</v>
      </c>
      <c r="T38" s="26">
        <f t="shared" si="25"/>
        <v>0</v>
      </c>
      <c r="U38" s="25">
        <v>3673</v>
      </c>
      <c r="V38" s="25">
        <v>4976.53</v>
      </c>
      <c r="W38" s="25">
        <v>11955.41</v>
      </c>
      <c r="X38" s="25">
        <v>8282.45</v>
      </c>
      <c r="Y38" s="25">
        <v>2938.31</v>
      </c>
      <c r="Z38" s="25">
        <v>0</v>
      </c>
      <c r="AA38" s="27">
        <v>0</v>
      </c>
      <c r="AB38" s="27">
        <f t="shared" si="38"/>
        <v>31825.7</v>
      </c>
      <c r="AC38" s="165">
        <f t="shared" si="26"/>
        <v>86185.535</v>
      </c>
      <c r="AD38" s="28">
        <f t="shared" si="27"/>
        <v>0</v>
      </c>
      <c r="AE38" s="28">
        <f t="shared" si="28"/>
        <v>0</v>
      </c>
      <c r="AF38" s="28">
        <f>'[12]Т07-10'!$I$84</f>
        <v>633.88066</v>
      </c>
      <c r="AG38" s="29">
        <f t="shared" si="29"/>
        <v>2875.98</v>
      </c>
      <c r="AH38" s="29">
        <f t="shared" si="30"/>
        <v>958.6600000000001</v>
      </c>
      <c r="AI38" s="29">
        <f t="shared" si="31"/>
        <v>4793.3</v>
      </c>
      <c r="AJ38" s="29">
        <v>0</v>
      </c>
      <c r="AK38" s="29">
        <f t="shared" si="32"/>
        <v>4697.434</v>
      </c>
      <c r="AL38" s="29">
        <v>0</v>
      </c>
      <c r="AM38" s="29">
        <f t="shared" si="33"/>
        <v>10784.925000000001</v>
      </c>
      <c r="AN38" s="29">
        <v>0</v>
      </c>
      <c r="AO38" s="29"/>
      <c r="AP38" s="29"/>
      <c r="AQ38" s="30"/>
      <c r="AR38" s="30"/>
      <c r="AS38" s="31"/>
      <c r="AT38" s="31">
        <f>139054.88</f>
        <v>139054.88</v>
      </c>
      <c r="AU38" s="206">
        <f>0*0.18</f>
        <v>0</v>
      </c>
      <c r="AV38" s="163">
        <v>349</v>
      </c>
      <c r="AW38" s="164">
        <v>1.25</v>
      </c>
      <c r="AX38" s="29">
        <f t="shared" si="21"/>
        <v>610.75</v>
      </c>
      <c r="AY38" s="17"/>
      <c r="AZ38" s="32"/>
      <c r="BA38" s="32">
        <f t="shared" si="34"/>
        <v>0</v>
      </c>
      <c r="BB38" s="32">
        <f t="shared" si="35"/>
        <v>163775.929</v>
      </c>
      <c r="BC38" s="33">
        <f>'[13]Т06-10'!$M$85</f>
        <v>301.771</v>
      </c>
      <c r="BD38" s="114">
        <f t="shared" si="36"/>
        <v>-77258.28434</v>
      </c>
      <c r="BE38" s="117">
        <f t="shared" si="37"/>
        <v>-5276.509999999991</v>
      </c>
    </row>
    <row r="39" spans="1:57" ht="12.75">
      <c r="A39" s="53" t="s">
        <v>31</v>
      </c>
      <c r="B39" s="54">
        <v>4793.3</v>
      </c>
      <c r="C39" s="18">
        <f t="shared" si="22"/>
        <v>41462.045000000006</v>
      </c>
      <c r="D39" s="191">
        <f>C39-E39-F39-G39-H39-I39-J39-K39-L39-M39-N39</f>
        <v>4306.605000000003</v>
      </c>
      <c r="E39" s="185">
        <v>4288.34</v>
      </c>
      <c r="F39" s="185">
        <v>0</v>
      </c>
      <c r="G39" s="185">
        <v>5809.67</v>
      </c>
      <c r="H39" s="185">
        <v>0</v>
      </c>
      <c r="I39" s="185">
        <v>13957.61</v>
      </c>
      <c r="J39" s="185">
        <v>0</v>
      </c>
      <c r="K39" s="185">
        <v>9669.22</v>
      </c>
      <c r="L39" s="185">
        <v>0</v>
      </c>
      <c r="M39" s="185">
        <v>3430.6</v>
      </c>
      <c r="N39" s="186">
        <v>0</v>
      </c>
      <c r="O39" s="186">
        <v>0</v>
      </c>
      <c r="P39" s="186">
        <v>0</v>
      </c>
      <c r="Q39" s="186"/>
      <c r="R39" s="186"/>
      <c r="S39" s="25">
        <f t="shared" si="24"/>
        <v>37155.44</v>
      </c>
      <c r="T39" s="26">
        <f t="shared" si="25"/>
        <v>0</v>
      </c>
      <c r="U39" s="25">
        <v>3810.75</v>
      </c>
      <c r="V39" s="25">
        <v>5762.66</v>
      </c>
      <c r="W39" s="25">
        <v>13803.03</v>
      </c>
      <c r="X39" s="25">
        <v>9592.17</v>
      </c>
      <c r="Y39" s="25">
        <v>3448.56</v>
      </c>
      <c r="Z39" s="25">
        <v>0</v>
      </c>
      <c r="AA39" s="27">
        <v>0</v>
      </c>
      <c r="AB39" s="27">
        <f t="shared" si="38"/>
        <v>36417.17</v>
      </c>
      <c r="AC39" s="165">
        <f t="shared" si="26"/>
        <v>40723.775</v>
      </c>
      <c r="AD39" s="28">
        <f t="shared" si="27"/>
        <v>0</v>
      </c>
      <c r="AE39" s="28">
        <f t="shared" si="28"/>
        <v>0</v>
      </c>
      <c r="AF39" s="28">
        <f>'[12]Т10-10'!$I$84+150</f>
        <v>783.88066</v>
      </c>
      <c r="AG39" s="29">
        <f t="shared" si="29"/>
        <v>2875.98</v>
      </c>
      <c r="AH39" s="29">
        <f t="shared" si="30"/>
        <v>958.6600000000001</v>
      </c>
      <c r="AI39" s="29">
        <f t="shared" si="31"/>
        <v>4793.3</v>
      </c>
      <c r="AJ39" s="29">
        <v>0</v>
      </c>
      <c r="AK39" s="29">
        <f t="shared" si="32"/>
        <v>4697.434</v>
      </c>
      <c r="AL39" s="29">
        <v>0</v>
      </c>
      <c r="AM39" s="29">
        <f t="shared" si="33"/>
        <v>10784.925000000001</v>
      </c>
      <c r="AN39" s="29">
        <v>0</v>
      </c>
      <c r="AO39" s="29"/>
      <c r="AP39" s="29"/>
      <c r="AQ39" s="30"/>
      <c r="AR39" s="30"/>
      <c r="AS39" s="31">
        <v>3466</v>
      </c>
      <c r="AT39" s="31">
        <v>84</v>
      </c>
      <c r="AU39" s="31">
        <f>0*0.18</f>
        <v>0</v>
      </c>
      <c r="AV39" s="163">
        <v>425</v>
      </c>
      <c r="AW39" s="164">
        <v>1.25</v>
      </c>
      <c r="AX39" s="29">
        <f t="shared" si="21"/>
        <v>743.75</v>
      </c>
      <c r="AY39" s="17"/>
      <c r="AZ39" s="32"/>
      <c r="BA39" s="32">
        <f t="shared" si="34"/>
        <v>0</v>
      </c>
      <c r="BB39" s="32">
        <f t="shared" si="35"/>
        <v>28404.049</v>
      </c>
      <c r="BC39" s="33">
        <f>'[12]Т10-10'!$M$84+37.5</f>
        <v>339.271</v>
      </c>
      <c r="BD39" s="114">
        <f t="shared" si="36"/>
        <v>12764.335660000004</v>
      </c>
      <c r="BE39" s="117">
        <f t="shared" si="37"/>
        <v>-738.2700000000041</v>
      </c>
    </row>
    <row r="40" spans="1:57" ht="12.75">
      <c r="A40" s="53" t="s">
        <v>32</v>
      </c>
      <c r="B40" s="54">
        <v>4793.3</v>
      </c>
      <c r="C40" s="18">
        <f t="shared" si="22"/>
        <v>41462.045000000006</v>
      </c>
      <c r="D40" s="191">
        <f t="shared" si="23"/>
        <v>4292.745000000006</v>
      </c>
      <c r="E40" s="25">
        <v>4289.97</v>
      </c>
      <c r="F40" s="25">
        <v>0</v>
      </c>
      <c r="G40" s="25">
        <v>5811.8</v>
      </c>
      <c r="H40" s="25">
        <v>0</v>
      </c>
      <c r="I40" s="25">
        <v>13962.83</v>
      </c>
      <c r="J40" s="25">
        <v>0</v>
      </c>
      <c r="K40" s="25">
        <v>9672.79</v>
      </c>
      <c r="L40" s="25">
        <v>0</v>
      </c>
      <c r="M40" s="25">
        <v>3431.91</v>
      </c>
      <c r="N40" s="27">
        <v>0</v>
      </c>
      <c r="O40" s="27">
        <v>0</v>
      </c>
      <c r="P40" s="27">
        <v>0</v>
      </c>
      <c r="Q40" s="27"/>
      <c r="R40" s="27"/>
      <c r="S40" s="25">
        <f t="shared" si="24"/>
        <v>37169.3</v>
      </c>
      <c r="T40" s="26">
        <f t="shared" si="25"/>
        <v>0</v>
      </c>
      <c r="U40" s="69">
        <v>4411.75</v>
      </c>
      <c r="V40" s="25">
        <v>5977</v>
      </c>
      <c r="W40" s="25">
        <v>14356.85</v>
      </c>
      <c r="X40" s="25">
        <v>9945.81</v>
      </c>
      <c r="Y40" s="25">
        <v>3528.75</v>
      </c>
      <c r="Z40" s="25">
        <v>0</v>
      </c>
      <c r="AA40" s="27">
        <v>0</v>
      </c>
      <c r="AB40" s="27">
        <f t="shared" si="38"/>
        <v>38220.159999999996</v>
      </c>
      <c r="AC40" s="165">
        <f t="shared" si="26"/>
        <v>42512.905</v>
      </c>
      <c r="AD40" s="28">
        <f t="shared" si="27"/>
        <v>0</v>
      </c>
      <c r="AE40" s="28">
        <f t="shared" si="28"/>
        <v>0</v>
      </c>
      <c r="AF40" s="28">
        <f>'[12]Т10-10'!$I$84+150</f>
        <v>783.88066</v>
      </c>
      <c r="AG40" s="29">
        <f t="shared" si="29"/>
        <v>2875.98</v>
      </c>
      <c r="AH40" s="29">
        <f t="shared" si="30"/>
        <v>958.6600000000001</v>
      </c>
      <c r="AI40" s="29">
        <f t="shared" si="31"/>
        <v>4793.3</v>
      </c>
      <c r="AJ40" s="29">
        <v>0</v>
      </c>
      <c r="AK40" s="29">
        <f t="shared" si="32"/>
        <v>4697.434</v>
      </c>
      <c r="AL40" s="29">
        <v>0</v>
      </c>
      <c r="AM40" s="29">
        <f t="shared" si="33"/>
        <v>10784.925000000001</v>
      </c>
      <c r="AN40" s="29">
        <v>0</v>
      </c>
      <c r="AO40" s="29"/>
      <c r="AP40" s="29"/>
      <c r="AQ40" s="30"/>
      <c r="AR40" s="30"/>
      <c r="AS40" s="31">
        <v>743</v>
      </c>
      <c r="AT40" s="31">
        <v>533</v>
      </c>
      <c r="AU40" s="31">
        <f>0*0.18</f>
        <v>0</v>
      </c>
      <c r="AV40" s="163">
        <v>470</v>
      </c>
      <c r="AW40" s="164">
        <v>1.25</v>
      </c>
      <c r="AX40" s="29">
        <f t="shared" si="21"/>
        <v>822.5</v>
      </c>
      <c r="AY40" s="17"/>
      <c r="AZ40" s="32"/>
      <c r="BA40" s="32">
        <f t="shared" si="34"/>
        <v>0</v>
      </c>
      <c r="BB40" s="32">
        <f t="shared" si="35"/>
        <v>26208.799</v>
      </c>
      <c r="BC40" s="33">
        <f>'[12]Т10-10'!$M$84+37.5</f>
        <v>339.271</v>
      </c>
      <c r="BD40" s="114">
        <f t="shared" si="36"/>
        <v>16748.71566</v>
      </c>
      <c r="BE40" s="117">
        <f t="shared" si="37"/>
        <v>1050.8599999999933</v>
      </c>
    </row>
    <row r="41" spans="1:57" ht="12.75">
      <c r="A41" s="53" t="s">
        <v>106</v>
      </c>
      <c r="B41" s="54">
        <v>4793.3</v>
      </c>
      <c r="C41" s="18">
        <f t="shared" si="22"/>
        <v>41462.045000000006</v>
      </c>
      <c r="D41" s="191">
        <f t="shared" si="23"/>
        <v>4305.915000000006</v>
      </c>
      <c r="E41" s="25">
        <v>4288.42</v>
      </c>
      <c r="F41" s="25">
        <v>0</v>
      </c>
      <c r="G41" s="25">
        <v>5809.79</v>
      </c>
      <c r="H41" s="25">
        <v>0</v>
      </c>
      <c r="I41" s="25">
        <v>13957.86</v>
      </c>
      <c r="J41" s="25">
        <v>0</v>
      </c>
      <c r="K41" s="25">
        <v>9669.39</v>
      </c>
      <c r="L41" s="25">
        <v>0</v>
      </c>
      <c r="M41" s="25">
        <v>3430.67</v>
      </c>
      <c r="N41" s="27">
        <v>0</v>
      </c>
      <c r="O41" s="27">
        <v>0</v>
      </c>
      <c r="P41" s="27">
        <v>0</v>
      </c>
      <c r="Q41" s="27"/>
      <c r="R41" s="27"/>
      <c r="S41" s="25">
        <f t="shared" si="24"/>
        <v>37156.13</v>
      </c>
      <c r="T41" s="26">
        <f t="shared" si="25"/>
        <v>0</v>
      </c>
      <c r="U41" s="25">
        <v>4895.44</v>
      </c>
      <c r="V41" s="25">
        <v>6631.38</v>
      </c>
      <c r="W41" s="25">
        <v>15935.41</v>
      </c>
      <c r="X41" s="25">
        <v>11039.11</v>
      </c>
      <c r="Y41" s="25">
        <v>3916.87</v>
      </c>
      <c r="Z41" s="25">
        <v>0</v>
      </c>
      <c r="AA41" s="27">
        <v>0</v>
      </c>
      <c r="AB41" s="27">
        <f t="shared" si="38"/>
        <v>42418.21</v>
      </c>
      <c r="AC41" s="165">
        <f t="shared" si="26"/>
        <v>46724.12500000001</v>
      </c>
      <c r="AD41" s="28">
        <f t="shared" si="27"/>
        <v>0</v>
      </c>
      <c r="AE41" s="28">
        <f t="shared" si="28"/>
        <v>0</v>
      </c>
      <c r="AF41" s="28">
        <f>'[12]Т10-10'!$I$84+150</f>
        <v>783.88066</v>
      </c>
      <c r="AG41" s="29">
        <f t="shared" si="29"/>
        <v>2875.98</v>
      </c>
      <c r="AH41" s="29">
        <f t="shared" si="30"/>
        <v>958.6600000000001</v>
      </c>
      <c r="AI41" s="29">
        <f t="shared" si="31"/>
        <v>4793.3</v>
      </c>
      <c r="AJ41" s="29">
        <v>0</v>
      </c>
      <c r="AK41" s="29">
        <f t="shared" si="32"/>
        <v>4697.434</v>
      </c>
      <c r="AL41" s="29">
        <v>0</v>
      </c>
      <c r="AM41" s="29">
        <f t="shared" si="33"/>
        <v>10784.925000000001</v>
      </c>
      <c r="AN41" s="29">
        <v>0</v>
      </c>
      <c r="AO41" s="29"/>
      <c r="AP41" s="29"/>
      <c r="AQ41" s="30"/>
      <c r="AR41" s="30"/>
      <c r="AS41" s="31"/>
      <c r="AT41" s="31">
        <f>1634.88+1933.83</f>
        <v>3568.71</v>
      </c>
      <c r="AU41" s="31">
        <f>AT41*0.18</f>
        <v>642.3678</v>
      </c>
      <c r="AV41" s="163">
        <v>514</v>
      </c>
      <c r="AW41" s="164">
        <v>1.25</v>
      </c>
      <c r="AX41" s="29">
        <f>AV41*AW41*1.4+12984.89</f>
        <v>13884.39</v>
      </c>
      <c r="AY41" s="17"/>
      <c r="AZ41" s="32"/>
      <c r="BA41" s="32">
        <f t="shared" si="34"/>
        <v>0</v>
      </c>
      <c r="BB41" s="32">
        <f t="shared" si="35"/>
        <v>42205.7668</v>
      </c>
      <c r="BC41" s="33">
        <f>'[12]Т10-10'!$M$84+37.5</f>
        <v>339.271</v>
      </c>
      <c r="BD41" s="114">
        <f t="shared" si="36"/>
        <v>4962.9678600000125</v>
      </c>
      <c r="BE41" s="117">
        <f t="shared" si="37"/>
        <v>5262.080000000002</v>
      </c>
    </row>
    <row r="42" spans="1:57" s="3" customFormat="1" ht="12.75">
      <c r="A42" s="166" t="s">
        <v>4</v>
      </c>
      <c r="B42" s="167"/>
      <c r="C42" s="167">
        <f aca="true" t="shared" si="39" ref="C42:AU42">SUM(C30:C41)</f>
        <v>497544.54</v>
      </c>
      <c r="D42" s="167">
        <f t="shared" si="39"/>
        <v>151873.95000000007</v>
      </c>
      <c r="E42" s="168">
        <f t="shared" si="39"/>
        <v>47813.82000000001</v>
      </c>
      <c r="F42" s="168">
        <f t="shared" si="39"/>
        <v>3623.42</v>
      </c>
      <c r="G42" s="168">
        <f t="shared" si="39"/>
        <v>64775.18000000001</v>
      </c>
      <c r="H42" s="168">
        <f t="shared" si="39"/>
        <v>4911.17</v>
      </c>
      <c r="I42" s="168">
        <f t="shared" si="39"/>
        <v>155622.99</v>
      </c>
      <c r="J42" s="168">
        <f t="shared" si="39"/>
        <v>11794.77</v>
      </c>
      <c r="K42" s="168">
        <f t="shared" si="39"/>
        <v>107808.06999999999</v>
      </c>
      <c r="L42" s="168">
        <f t="shared" si="39"/>
        <v>8172.239999999999</v>
      </c>
      <c r="M42" s="168">
        <f t="shared" si="39"/>
        <v>38250.329999999994</v>
      </c>
      <c r="N42" s="168">
        <f t="shared" si="39"/>
        <v>2898.6000000000004</v>
      </c>
      <c r="O42" s="168">
        <f t="shared" si="39"/>
        <v>0</v>
      </c>
      <c r="P42" s="168">
        <f t="shared" si="39"/>
        <v>0</v>
      </c>
      <c r="Q42" s="168">
        <f t="shared" si="39"/>
        <v>0</v>
      </c>
      <c r="R42" s="168">
        <f t="shared" si="39"/>
        <v>0</v>
      </c>
      <c r="S42" s="168">
        <f t="shared" si="39"/>
        <v>414270.39</v>
      </c>
      <c r="T42" s="168">
        <f t="shared" si="39"/>
        <v>31400.199999999997</v>
      </c>
      <c r="U42" s="169">
        <f t="shared" si="39"/>
        <v>44910.78</v>
      </c>
      <c r="V42" s="169">
        <f t="shared" si="39"/>
        <v>61426.810000000005</v>
      </c>
      <c r="W42" s="169">
        <f t="shared" si="39"/>
        <v>147558.37</v>
      </c>
      <c r="X42" s="169">
        <f t="shared" si="39"/>
        <v>102246.45</v>
      </c>
      <c r="Y42" s="169">
        <f t="shared" si="39"/>
        <v>36327.920000000006</v>
      </c>
      <c r="Z42" s="169">
        <f t="shared" si="39"/>
        <v>0</v>
      </c>
      <c r="AA42" s="169">
        <f t="shared" si="39"/>
        <v>0</v>
      </c>
      <c r="AB42" s="169">
        <f t="shared" si="39"/>
        <v>392470.32999999996</v>
      </c>
      <c r="AC42" s="169">
        <f t="shared" si="39"/>
        <v>575744.4800000002</v>
      </c>
      <c r="AD42" s="169">
        <f t="shared" si="39"/>
        <v>0</v>
      </c>
      <c r="AE42" s="170">
        <f t="shared" si="39"/>
        <v>0</v>
      </c>
      <c r="AF42" s="170">
        <f t="shared" si="39"/>
        <v>8056.567919999999</v>
      </c>
      <c r="AG42" s="171">
        <f t="shared" si="39"/>
        <v>34511.76</v>
      </c>
      <c r="AH42" s="171">
        <f t="shared" si="39"/>
        <v>11503.92</v>
      </c>
      <c r="AI42" s="171">
        <f t="shared" si="39"/>
        <v>57519.60000000001</v>
      </c>
      <c r="AJ42" s="171">
        <f t="shared" si="39"/>
        <v>0</v>
      </c>
      <c r="AK42" s="171">
        <f t="shared" si="39"/>
        <v>56369.208000000006</v>
      </c>
      <c r="AL42" s="171">
        <f t="shared" si="39"/>
        <v>0</v>
      </c>
      <c r="AM42" s="171">
        <f t="shared" si="39"/>
        <v>129419.10000000002</v>
      </c>
      <c r="AN42" s="171">
        <f t="shared" si="39"/>
        <v>0</v>
      </c>
      <c r="AO42" s="171">
        <f t="shared" si="39"/>
        <v>6268.86</v>
      </c>
      <c r="AP42" s="171">
        <f t="shared" si="39"/>
        <v>0</v>
      </c>
      <c r="AQ42" s="171">
        <f t="shared" si="39"/>
        <v>0</v>
      </c>
      <c r="AR42" s="171">
        <f t="shared" si="39"/>
        <v>0</v>
      </c>
      <c r="AS42" s="171">
        <f t="shared" si="39"/>
        <v>119856</v>
      </c>
      <c r="AT42" s="171">
        <f t="shared" si="39"/>
        <v>143458.37</v>
      </c>
      <c r="AU42" s="171">
        <f t="shared" si="39"/>
        <v>642.3678</v>
      </c>
      <c r="AV42" s="171"/>
      <c r="AW42" s="171"/>
      <c r="AX42" s="171">
        <f aca="true" t="shared" si="40" ref="AX42:BE42">SUM(AX30:AX41)</f>
        <v>20684.89</v>
      </c>
      <c r="AY42" s="171">
        <f t="shared" si="40"/>
        <v>0</v>
      </c>
      <c r="AZ42" s="171">
        <f t="shared" si="40"/>
        <v>0</v>
      </c>
      <c r="BA42" s="171">
        <f t="shared" si="40"/>
        <v>0</v>
      </c>
      <c r="BB42" s="171">
        <f t="shared" si="40"/>
        <v>580234.0757999999</v>
      </c>
      <c r="BC42" s="171">
        <f t="shared" si="40"/>
        <v>3733.752000000001</v>
      </c>
      <c r="BD42" s="171">
        <f t="shared" si="40"/>
        <v>-166.77987999991365</v>
      </c>
      <c r="BE42" s="172">
        <f t="shared" si="40"/>
        <v>-21800.06</v>
      </c>
    </row>
    <row r="43" spans="1:57" ht="12.75">
      <c r="A43" s="53"/>
      <c r="B43" s="193"/>
      <c r="C43" s="194"/>
      <c r="D43" s="194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6"/>
      <c r="T43" s="196"/>
      <c r="U43" s="62"/>
      <c r="V43" s="62"/>
      <c r="W43" s="62"/>
      <c r="X43" s="62"/>
      <c r="Y43" s="62"/>
      <c r="Z43" s="62"/>
      <c r="AA43" s="62"/>
      <c r="AB43" s="62"/>
      <c r="AC43" s="197"/>
      <c r="AD43" s="197"/>
      <c r="AE43" s="28"/>
      <c r="AF43" s="28"/>
      <c r="AG43" s="29"/>
      <c r="AH43" s="29"/>
      <c r="AI43" s="29"/>
      <c r="AJ43" s="29"/>
      <c r="AK43" s="29"/>
      <c r="AL43" s="29"/>
      <c r="AM43" s="29"/>
      <c r="AN43" s="29"/>
      <c r="AO43" s="198"/>
      <c r="AP43" s="198"/>
      <c r="AQ43" s="198"/>
      <c r="AR43" s="198"/>
      <c r="AS43" s="198"/>
      <c r="AT43" s="198"/>
      <c r="AU43" s="29"/>
      <c r="AV43" s="29"/>
      <c r="AW43" s="29"/>
      <c r="AX43" s="51"/>
      <c r="AY43" s="198"/>
      <c r="AZ43" s="198"/>
      <c r="BA43" s="29"/>
      <c r="BB43" s="29"/>
      <c r="BC43" s="29"/>
      <c r="BD43" s="29"/>
      <c r="BE43" s="159"/>
    </row>
    <row r="44" spans="1:57" s="3" customFormat="1" ht="13.5" thickBot="1">
      <c r="A44" s="45" t="s">
        <v>90</v>
      </c>
      <c r="B44" s="199"/>
      <c r="C44" s="199">
        <f aca="true" t="shared" si="41" ref="C44:AU44">C28+C42</f>
        <v>1119365.3599999999</v>
      </c>
      <c r="D44" s="199">
        <f t="shared" si="41"/>
        <v>237331.0326868001</v>
      </c>
      <c r="E44" s="200">
        <f t="shared" si="41"/>
        <v>99940.88</v>
      </c>
      <c r="F44" s="200">
        <f t="shared" si="41"/>
        <v>12518.470000000001</v>
      </c>
      <c r="G44" s="200">
        <f t="shared" si="41"/>
        <v>135285.33000000002</v>
      </c>
      <c r="H44" s="200">
        <f t="shared" si="41"/>
        <v>16946.04</v>
      </c>
      <c r="I44" s="200">
        <f t="shared" si="41"/>
        <v>325174.47</v>
      </c>
      <c r="J44" s="200">
        <f t="shared" si="41"/>
        <v>40729.14</v>
      </c>
      <c r="K44" s="200">
        <f t="shared" si="41"/>
        <v>225232.05</v>
      </c>
      <c r="L44" s="200">
        <f t="shared" si="41"/>
        <v>28212.809999999998</v>
      </c>
      <c r="M44" s="200">
        <f t="shared" si="41"/>
        <v>79951.42</v>
      </c>
      <c r="N44" s="200">
        <f t="shared" si="41"/>
        <v>10014.32</v>
      </c>
      <c r="O44" s="200">
        <f t="shared" si="41"/>
        <v>0</v>
      </c>
      <c r="P44" s="200">
        <f t="shared" si="41"/>
        <v>0</v>
      </c>
      <c r="Q44" s="200">
        <f t="shared" si="41"/>
        <v>0</v>
      </c>
      <c r="R44" s="200">
        <f t="shared" si="41"/>
        <v>0</v>
      </c>
      <c r="S44" s="200">
        <f t="shared" si="41"/>
        <v>865584.15</v>
      </c>
      <c r="T44" s="200">
        <f t="shared" si="41"/>
        <v>108420.78</v>
      </c>
      <c r="U44" s="201">
        <f t="shared" si="41"/>
        <v>90416.34</v>
      </c>
      <c r="V44" s="201">
        <f t="shared" si="41"/>
        <v>122971.15</v>
      </c>
      <c r="W44" s="201">
        <f t="shared" si="41"/>
        <v>295537.53</v>
      </c>
      <c r="X44" s="201">
        <f t="shared" si="41"/>
        <v>204744.76</v>
      </c>
      <c r="Y44" s="201">
        <f t="shared" si="41"/>
        <v>72732.01000000001</v>
      </c>
      <c r="Z44" s="201">
        <f t="shared" si="41"/>
        <v>0</v>
      </c>
      <c r="AA44" s="201">
        <f t="shared" si="41"/>
        <v>0</v>
      </c>
      <c r="AB44" s="201">
        <f t="shared" si="41"/>
        <v>786401.79</v>
      </c>
      <c r="AC44" s="201">
        <f t="shared" si="41"/>
        <v>1132153.6026868003</v>
      </c>
      <c r="AD44" s="201">
        <f t="shared" si="41"/>
        <v>0</v>
      </c>
      <c r="AE44" s="201">
        <f t="shared" si="41"/>
        <v>0</v>
      </c>
      <c r="AF44" s="201">
        <f t="shared" si="41"/>
        <v>11859.851879999998</v>
      </c>
      <c r="AG44" s="199">
        <f t="shared" si="41"/>
        <v>76493.832</v>
      </c>
      <c r="AH44" s="199">
        <f t="shared" si="41"/>
        <v>25631.675291600004</v>
      </c>
      <c r="AI44" s="199">
        <f t="shared" si="41"/>
        <v>116386.64017975001</v>
      </c>
      <c r="AJ44" s="199">
        <f t="shared" si="41"/>
        <v>10596.067232354999</v>
      </c>
      <c r="AK44" s="199">
        <f t="shared" si="41"/>
        <v>115932.66698523</v>
      </c>
      <c r="AL44" s="199">
        <f t="shared" si="41"/>
        <v>10721.422617341399</v>
      </c>
      <c r="AM44" s="199">
        <f t="shared" si="41"/>
        <v>259858.30564381255</v>
      </c>
      <c r="AN44" s="199">
        <f t="shared" si="41"/>
        <v>23479.057015886254</v>
      </c>
      <c r="AO44" s="199">
        <f t="shared" si="41"/>
        <v>6268.86</v>
      </c>
      <c r="AP44" s="199">
        <f t="shared" si="41"/>
        <v>0</v>
      </c>
      <c r="AQ44" s="199">
        <f t="shared" si="41"/>
        <v>20681.23</v>
      </c>
      <c r="AR44" s="199">
        <f t="shared" si="41"/>
        <v>3722.6214</v>
      </c>
      <c r="AS44" s="199">
        <f t="shared" si="41"/>
        <v>254060.8</v>
      </c>
      <c r="AT44" s="199">
        <f t="shared" si="41"/>
        <v>144019.25</v>
      </c>
      <c r="AU44" s="199">
        <f t="shared" si="41"/>
        <v>24900.200199999996</v>
      </c>
      <c r="AV44" s="199"/>
      <c r="AW44" s="199"/>
      <c r="AX44" s="199">
        <f aca="true" t="shared" si="42" ref="AX44:BE44">AX28+AX42</f>
        <v>27953.69</v>
      </c>
      <c r="AY44" s="199">
        <f t="shared" si="42"/>
        <v>0</v>
      </c>
      <c r="AZ44" s="199">
        <f t="shared" si="42"/>
        <v>0</v>
      </c>
      <c r="BA44" s="199">
        <f t="shared" si="42"/>
        <v>0</v>
      </c>
      <c r="BB44" s="199">
        <f t="shared" si="42"/>
        <v>1120706.318565975</v>
      </c>
      <c r="BC44" s="199">
        <f t="shared" si="42"/>
        <v>5538.023344233401</v>
      </c>
      <c r="BD44" s="199">
        <f t="shared" si="42"/>
        <v>17769.112656591522</v>
      </c>
      <c r="BE44" s="202">
        <f t="shared" si="42"/>
        <v>-79182.35999999999</v>
      </c>
    </row>
  </sheetData>
  <sheetProtection/>
  <mergeCells count="67">
    <mergeCell ref="BB5:BB6"/>
    <mergeCell ref="AT5:AT6"/>
    <mergeCell ref="AU5:AU6"/>
    <mergeCell ref="AV5:AX5"/>
    <mergeCell ref="AY5:AY6"/>
    <mergeCell ref="AZ5:AZ6"/>
    <mergeCell ref="BA5:BA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X5:X6"/>
    <mergeCell ref="Y5:Y6"/>
    <mergeCell ref="Z5:Z6"/>
    <mergeCell ref="AA5:AA6"/>
    <mergeCell ref="AB5:AB6"/>
    <mergeCell ref="AG5:A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G3:BB4"/>
    <mergeCell ref="BC3:BC6"/>
    <mergeCell ref="BD3:BD6"/>
    <mergeCell ref="BE3:BE6"/>
    <mergeCell ref="E4:F4"/>
    <mergeCell ref="G4:H4"/>
    <mergeCell ref="I4:J4"/>
    <mergeCell ref="K4:L4"/>
    <mergeCell ref="M4:N4"/>
    <mergeCell ref="O4:P4"/>
    <mergeCell ref="S3:T4"/>
    <mergeCell ref="U3:AB4"/>
    <mergeCell ref="AC3:AC6"/>
    <mergeCell ref="AD3:AD6"/>
    <mergeCell ref="AE3:AE6"/>
    <mergeCell ref="AF3:AF6"/>
    <mergeCell ref="T5:T6"/>
    <mergeCell ref="U5:U6"/>
    <mergeCell ref="V5:V6"/>
    <mergeCell ref="W5:W6"/>
    <mergeCell ref="A1:N1"/>
    <mergeCell ref="A3:A6"/>
    <mergeCell ref="B3:B6"/>
    <mergeCell ref="C3:C6"/>
    <mergeCell ref="D3:D6"/>
    <mergeCell ref="E3:R3"/>
    <mergeCell ref="Q4:R4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3">
      <selection activeCell="M39" sqref="M39"/>
    </sheetView>
  </sheetViews>
  <sheetFormatPr defaultColWidth="9.00390625" defaultRowHeight="12.75"/>
  <cols>
    <col min="1" max="1" width="10.00390625" style="37" customWidth="1"/>
    <col min="2" max="2" width="8.875" style="37" customWidth="1"/>
    <col min="3" max="3" width="11.75390625" style="37" customWidth="1"/>
    <col min="4" max="4" width="10.125" style="37" customWidth="1"/>
    <col min="5" max="5" width="10.125" style="37" bestFit="1" customWidth="1"/>
    <col min="6" max="6" width="9.875" style="37" customWidth="1"/>
    <col min="7" max="7" width="10.00390625" style="37" customWidth="1"/>
    <col min="8" max="8" width="11.625" style="37" customWidth="1"/>
    <col min="9" max="10" width="9.25390625" style="37" customWidth="1"/>
    <col min="11" max="11" width="9.875" style="37" customWidth="1"/>
    <col min="12" max="12" width="10.875" style="37" customWidth="1"/>
    <col min="13" max="13" width="10.125" style="37" customWidth="1"/>
    <col min="14" max="14" width="9.375" style="37" customWidth="1"/>
    <col min="15" max="15" width="12.125" style="37" customWidth="1"/>
    <col min="16" max="16" width="9.125" style="37" customWidth="1"/>
    <col min="17" max="17" width="10.75390625" style="37" customWidth="1"/>
    <col min="18" max="18" width="10.25390625" style="37" customWidth="1"/>
    <col min="19" max="16384" width="9.125" style="37" customWidth="1"/>
  </cols>
  <sheetData>
    <row r="1" spans="2:8" ht="20.25" customHeight="1">
      <c r="B1" s="280" t="s">
        <v>42</v>
      </c>
      <c r="C1" s="280"/>
      <c r="D1" s="280"/>
      <c r="E1" s="280"/>
      <c r="F1" s="280"/>
      <c r="G1" s="280"/>
      <c r="H1" s="280"/>
    </row>
    <row r="2" spans="2:8" ht="21" customHeight="1">
      <c r="B2" s="280" t="s">
        <v>43</v>
      </c>
      <c r="C2" s="280"/>
      <c r="D2" s="280"/>
      <c r="E2" s="280"/>
      <c r="F2" s="280"/>
      <c r="G2" s="280"/>
      <c r="H2" s="280"/>
    </row>
    <row r="5" spans="1:17" ht="12.75">
      <c r="A5" s="281" t="s">
        <v>101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ht="12.75">
      <c r="A6" s="282" t="s">
        <v>102</v>
      </c>
      <c r="B6" s="282"/>
      <c r="C6" s="282"/>
      <c r="D6" s="282"/>
      <c r="E6" s="282"/>
      <c r="F6" s="282"/>
      <c r="G6" s="28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7" ht="12.7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6" ht="13.5" thickBot="1">
      <c r="A8" s="283" t="s">
        <v>44</v>
      </c>
      <c r="B8" s="283"/>
      <c r="C8" s="283"/>
      <c r="D8" s="283"/>
      <c r="E8" s="283">
        <v>8.65</v>
      </c>
      <c r="F8" s="283"/>
    </row>
    <row r="9" spans="1:18" ht="12.75" customHeight="1">
      <c r="A9" s="233" t="s">
        <v>45</v>
      </c>
      <c r="B9" s="285" t="s">
        <v>1</v>
      </c>
      <c r="C9" s="288" t="s">
        <v>46</v>
      </c>
      <c r="D9" s="291" t="s">
        <v>103</v>
      </c>
      <c r="E9" s="294" t="s">
        <v>47</v>
      </c>
      <c r="F9" s="295"/>
      <c r="G9" s="298" t="s">
        <v>62</v>
      </c>
      <c r="H9" s="299"/>
      <c r="I9" s="317" t="str">
        <f>'[15]Лист1'!AF3</f>
        <v>Доходы по нежил.помещениям</v>
      </c>
      <c r="J9" s="320" t="s">
        <v>7</v>
      </c>
      <c r="K9" s="257"/>
      <c r="L9" s="257"/>
      <c r="M9" s="257"/>
      <c r="N9" s="257"/>
      <c r="O9" s="321"/>
      <c r="P9" s="259" t="s">
        <v>87</v>
      </c>
      <c r="Q9" s="302" t="s">
        <v>48</v>
      </c>
      <c r="R9" s="302" t="s">
        <v>9</v>
      </c>
    </row>
    <row r="10" spans="1:18" ht="12.75">
      <c r="A10" s="234"/>
      <c r="B10" s="286"/>
      <c r="C10" s="289"/>
      <c r="D10" s="292"/>
      <c r="E10" s="296"/>
      <c r="F10" s="297"/>
      <c r="G10" s="300"/>
      <c r="H10" s="301"/>
      <c r="I10" s="318"/>
      <c r="J10" s="322"/>
      <c r="K10" s="258"/>
      <c r="L10" s="258"/>
      <c r="M10" s="258"/>
      <c r="N10" s="258"/>
      <c r="O10" s="323"/>
      <c r="P10" s="260"/>
      <c r="Q10" s="303"/>
      <c r="R10" s="303"/>
    </row>
    <row r="11" spans="1:18" ht="26.25" customHeight="1">
      <c r="A11" s="234"/>
      <c r="B11" s="286"/>
      <c r="C11" s="289"/>
      <c r="D11" s="292"/>
      <c r="E11" s="305" t="s">
        <v>49</v>
      </c>
      <c r="F11" s="306"/>
      <c r="G11" s="104" t="s">
        <v>92</v>
      </c>
      <c r="H11" s="307" t="s">
        <v>6</v>
      </c>
      <c r="I11" s="318"/>
      <c r="J11" s="309" t="s">
        <v>50</v>
      </c>
      <c r="K11" s="311" t="s">
        <v>104</v>
      </c>
      <c r="L11" s="311" t="s">
        <v>51</v>
      </c>
      <c r="M11" s="311" t="s">
        <v>28</v>
      </c>
      <c r="N11" s="311" t="s">
        <v>52</v>
      </c>
      <c r="O11" s="307" t="s">
        <v>30</v>
      </c>
      <c r="P11" s="260"/>
      <c r="Q11" s="303"/>
      <c r="R11" s="303"/>
    </row>
    <row r="12" spans="1:18" ht="66.75" customHeight="1" thickBot="1">
      <c r="A12" s="284"/>
      <c r="B12" s="287"/>
      <c r="C12" s="290"/>
      <c r="D12" s="293"/>
      <c r="E12" s="5" t="s">
        <v>53</v>
      </c>
      <c r="F12" s="6" t="s">
        <v>17</v>
      </c>
      <c r="G12" s="36" t="s">
        <v>95</v>
      </c>
      <c r="H12" s="308"/>
      <c r="I12" s="319"/>
      <c r="J12" s="310"/>
      <c r="K12" s="312"/>
      <c r="L12" s="312"/>
      <c r="M12" s="312"/>
      <c r="N12" s="312"/>
      <c r="O12" s="308"/>
      <c r="P12" s="261"/>
      <c r="Q12" s="304"/>
      <c r="R12" s="304"/>
    </row>
    <row r="13" spans="1:18" ht="13.5" thickBot="1">
      <c r="A13" s="7">
        <v>1</v>
      </c>
      <c r="B13" s="8">
        <v>2</v>
      </c>
      <c r="C13" s="7">
        <v>3</v>
      </c>
      <c r="D13" s="8">
        <v>4</v>
      </c>
      <c r="E13" s="7">
        <v>5</v>
      </c>
      <c r="F13" s="8">
        <v>6</v>
      </c>
      <c r="G13" s="7">
        <v>7</v>
      </c>
      <c r="H13" s="8">
        <v>8</v>
      </c>
      <c r="I13" s="7">
        <v>9</v>
      </c>
      <c r="J13" s="8">
        <v>10</v>
      </c>
      <c r="K13" s="7">
        <v>11</v>
      </c>
      <c r="L13" s="8">
        <v>12</v>
      </c>
      <c r="M13" s="7">
        <v>13</v>
      </c>
      <c r="N13" s="8">
        <v>14</v>
      </c>
      <c r="O13" s="7">
        <v>15</v>
      </c>
      <c r="P13" s="8">
        <v>16</v>
      </c>
      <c r="Q13" s="7">
        <v>17</v>
      </c>
      <c r="R13" s="137">
        <v>18</v>
      </c>
    </row>
    <row r="14" spans="1:18" ht="13.5" hidden="1" thickBot="1">
      <c r="A14" s="2" t="s">
        <v>105</v>
      </c>
      <c r="B14" s="138"/>
      <c r="C14" s="135"/>
      <c r="D14" s="2"/>
      <c r="E14" s="138"/>
      <c r="F14" s="139"/>
      <c r="G14" s="2"/>
      <c r="H14" s="139"/>
      <c r="I14" s="140"/>
      <c r="J14" s="2"/>
      <c r="K14" s="138"/>
      <c r="L14" s="138"/>
      <c r="M14" s="138"/>
      <c r="N14" s="138"/>
      <c r="O14" s="139"/>
      <c r="P14" s="136"/>
      <c r="Q14" s="141"/>
      <c r="R14" s="142"/>
    </row>
    <row r="15" spans="1:18" ht="13.5" hidden="1" thickBot="1">
      <c r="A15" s="53" t="s">
        <v>31</v>
      </c>
      <c r="B15" s="19">
        <f>'[15]Лист1'!B9</f>
        <v>4791.2</v>
      </c>
      <c r="C15" s="9">
        <f>B15*8.65</f>
        <v>41443.88</v>
      </c>
      <c r="D15" s="10">
        <f>'[15]Лист1'!D9</f>
        <v>9983.0018144</v>
      </c>
      <c r="E15" s="114">
        <f>'[15]Лист1'!S9</f>
        <v>29235.53</v>
      </c>
      <c r="F15" s="117">
        <f>'[15]Лист1'!T9</f>
        <v>4887.54</v>
      </c>
      <c r="G15" s="119">
        <f>'[15]Лист1'!AB9</f>
        <v>595.4100000000001</v>
      </c>
      <c r="H15" s="117">
        <f>'[15]Лист1'!AC9</f>
        <v>15465.9518144</v>
      </c>
      <c r="I15" s="143">
        <f>'[15]Лист1'!AD9</f>
        <v>0</v>
      </c>
      <c r="J15" s="119">
        <f>'[15]Лист1'!AG9</f>
        <v>2874.72</v>
      </c>
      <c r="K15" s="114">
        <f>'[15]Лист1'!AI9+'[15]Лист1'!AJ9</f>
        <v>4815.7383088</v>
      </c>
      <c r="L15" s="114">
        <f>'[15]Лист1'!AH9+'[15]Лист1'!AK9+'[15]Лист1'!AL9+'[15]Лист1'!AM9+'[15]Лист1'!AN9+'[15]Лист1'!AO9+'[15]Лист1'!AP9</f>
        <v>16910.02822072</v>
      </c>
      <c r="M15" s="115">
        <f>'[15]Лист1'!AS9+'[15]Лист1'!AU9</f>
        <v>5618.629</v>
      </c>
      <c r="N15" s="115">
        <f>'[15]Лист1'!AX9</f>
        <v>0</v>
      </c>
      <c r="O15" s="117">
        <f>'[15]Лист1'!BB9</f>
        <v>30219.115529519997</v>
      </c>
      <c r="P15" s="144">
        <f>'[15]Лист1'!BC9</f>
        <v>0</v>
      </c>
      <c r="Q15" s="118">
        <f>'[15]Лист1'!BD9</f>
        <v>-14753.163715119998</v>
      </c>
      <c r="R15" s="118">
        <f>'[15]Лист1'!BE9</f>
        <v>-28640.12</v>
      </c>
    </row>
    <row r="16" spans="1:18" ht="13.5" hidden="1" thickBot="1">
      <c r="A16" s="53" t="s">
        <v>32</v>
      </c>
      <c r="B16" s="19">
        <f>'[15]Лист1'!B10</f>
        <v>4791.2</v>
      </c>
      <c r="C16" s="9">
        <f aca="true" t="shared" si="0" ref="C16:C31">B16*8.65</f>
        <v>41443.88</v>
      </c>
      <c r="D16" s="10">
        <f>'[15]Лист1'!D10</f>
        <v>9983.0018144</v>
      </c>
      <c r="E16" s="114">
        <f>'[15]Лист1'!S10</f>
        <v>27716.690000000002</v>
      </c>
      <c r="F16" s="117">
        <f>'[15]Лист1'!T10</f>
        <v>4634.85</v>
      </c>
      <c r="G16" s="119">
        <f>'[15]Лист1'!AB10</f>
        <v>16739.809999999998</v>
      </c>
      <c r="H16" s="117">
        <f>'[15]Лист1'!AC10</f>
        <v>31357.6618144</v>
      </c>
      <c r="I16" s="143">
        <f>'[15]Лист1'!AD10</f>
        <v>0</v>
      </c>
      <c r="J16" s="119">
        <f>'[15]Лист1'!AG10</f>
        <v>2874.72</v>
      </c>
      <c r="K16" s="114">
        <f>'[15]Лист1'!AI10+'[15]Лист1'!AJ10</f>
        <v>4815.7383088</v>
      </c>
      <c r="L16" s="114">
        <f>'[15]Лист1'!AH10+'[15]Лист1'!AK10+'[15]Лист1'!AL10+'[15]Лист1'!AM10+'[15]Лист1'!AN10+'[15]Лист1'!AO10+'[15]Лист1'!AP10</f>
        <v>16858.99235832</v>
      </c>
      <c r="M16" s="115">
        <f>'[15]Лист1'!AS10+'[15]Лист1'!AU10</f>
        <v>16180.16</v>
      </c>
      <c r="N16" s="115">
        <f>'[15]Лист1'!AX10</f>
        <v>0</v>
      </c>
      <c r="O16" s="117">
        <f>'[15]Лист1'!BB10</f>
        <v>40729.610667119996</v>
      </c>
      <c r="P16" s="144">
        <f>'[15]Лист1'!BC10</f>
        <v>0</v>
      </c>
      <c r="Q16" s="118">
        <f>'[15]Лист1'!BD10</f>
        <v>-9371.948852719997</v>
      </c>
      <c r="R16" s="118">
        <f>'[15]Лист1'!BE10</f>
        <v>-10976.880000000005</v>
      </c>
    </row>
    <row r="17" spans="1:20" ht="13.5" hidden="1" thickBot="1">
      <c r="A17" s="145" t="s">
        <v>106</v>
      </c>
      <c r="B17" s="19">
        <f>'[15]Лист1'!B11</f>
        <v>4791.2</v>
      </c>
      <c r="C17" s="146">
        <f t="shared" si="0"/>
        <v>41443.88</v>
      </c>
      <c r="D17" s="10">
        <f>'[15]Лист1'!D11</f>
        <v>9961.036558</v>
      </c>
      <c r="E17" s="114">
        <f>'[15]Лист1'!S11</f>
        <v>28013.289999999997</v>
      </c>
      <c r="F17" s="117">
        <f>'[15]Лист1'!T11</f>
        <v>4792.13</v>
      </c>
      <c r="G17" s="119">
        <f>'[15]Лист1'!AB11</f>
        <v>29150.86</v>
      </c>
      <c r="H17" s="117">
        <f>'[15]Лист1'!AC11</f>
        <v>43904.026558</v>
      </c>
      <c r="I17" s="143">
        <f>'[15]Лист1'!AD11</f>
        <v>0</v>
      </c>
      <c r="J17" s="119">
        <f>'[15]Лист1'!AG11</f>
        <v>2874.72</v>
      </c>
      <c r="K17" s="114">
        <f>'[15]Лист1'!AI11+'[15]Лист1'!AJ11</f>
        <v>4801.729141119999</v>
      </c>
      <c r="L17" s="114">
        <f>'[15]Лист1'!AH11+'[15]Лист1'!AK11+'[15]Лист1'!AL11+'[15]Лист1'!AM11+'[15]Лист1'!AN11+'[15]Лист1'!AO11+'[15]Лист1'!AP11</f>
        <v>16832.178612776</v>
      </c>
      <c r="M17" s="115">
        <f>'[15]Лист1'!AS11+'[15]Лист1'!AU11</f>
        <v>15461.54</v>
      </c>
      <c r="N17" s="115">
        <f>'[15]Лист1'!AX11</f>
        <v>0</v>
      </c>
      <c r="O17" s="117">
        <f>'[15]Лист1'!BB11</f>
        <v>39970.167753896</v>
      </c>
      <c r="P17" s="144">
        <f>'[15]Лист1'!BC11</f>
        <v>0</v>
      </c>
      <c r="Q17" s="118">
        <f>'[15]Лист1'!BD11</f>
        <v>3933.8588041039984</v>
      </c>
      <c r="R17" s="118">
        <f>'[15]Лист1'!BE11</f>
        <v>1137.5700000000033</v>
      </c>
      <c r="S17" s="39"/>
      <c r="T17" s="39"/>
    </row>
    <row r="18" spans="1:20" s="3" customFormat="1" ht="13.5" hidden="1" thickBot="1">
      <c r="A18" s="11" t="s">
        <v>4</v>
      </c>
      <c r="B18" s="147"/>
      <c r="C18" s="148">
        <f>SUM(C15:C17)</f>
        <v>124331.63999999998</v>
      </c>
      <c r="D18" s="149">
        <f aca="true" t="shared" si="1" ref="D18:R18">SUM(D15:D17)</f>
        <v>29927.0401868</v>
      </c>
      <c r="E18" s="148">
        <f t="shared" si="1"/>
        <v>84965.51</v>
      </c>
      <c r="F18" s="150">
        <f t="shared" si="1"/>
        <v>14314.52</v>
      </c>
      <c r="G18" s="149">
        <f t="shared" si="1"/>
        <v>46486.08</v>
      </c>
      <c r="H18" s="150">
        <f t="shared" si="1"/>
        <v>90727.6401868</v>
      </c>
      <c r="I18" s="150">
        <f t="shared" si="1"/>
        <v>0</v>
      </c>
      <c r="J18" s="149">
        <f t="shared" si="1"/>
        <v>8624.16</v>
      </c>
      <c r="K18" s="148">
        <f t="shared" si="1"/>
        <v>14433.20575872</v>
      </c>
      <c r="L18" s="148">
        <f t="shared" si="1"/>
        <v>50601.199191816</v>
      </c>
      <c r="M18" s="148">
        <f t="shared" si="1"/>
        <v>37260.329</v>
      </c>
      <c r="N18" s="148">
        <f t="shared" si="1"/>
        <v>0</v>
      </c>
      <c r="O18" s="150">
        <f t="shared" si="1"/>
        <v>110918.893950536</v>
      </c>
      <c r="P18" s="150">
        <f t="shared" si="1"/>
        <v>0</v>
      </c>
      <c r="Q18" s="151">
        <f t="shared" si="1"/>
        <v>-20191.253763735996</v>
      </c>
      <c r="R18" s="151">
        <f t="shared" si="1"/>
        <v>-38479.42999999999</v>
      </c>
      <c r="S18" s="152"/>
      <c r="T18" s="94"/>
    </row>
    <row r="19" spans="1:20" ht="13.5" hidden="1" thickBot="1">
      <c r="A19" s="2" t="s">
        <v>107</v>
      </c>
      <c r="B19" s="110"/>
      <c r="C19" s="12"/>
      <c r="D19" s="13"/>
      <c r="E19" s="111"/>
      <c r="F19" s="112"/>
      <c r="G19" s="113"/>
      <c r="H19" s="112"/>
      <c r="I19" s="132"/>
      <c r="J19" s="113"/>
      <c r="K19" s="114"/>
      <c r="L19" s="114"/>
      <c r="M19" s="115"/>
      <c r="N19" s="20"/>
      <c r="O19" s="117"/>
      <c r="P19" s="144"/>
      <c r="Q19" s="118"/>
      <c r="R19" s="118"/>
      <c r="S19" s="39"/>
      <c r="T19" s="39"/>
    </row>
    <row r="20" spans="1:20" ht="12.75" customHeight="1" hidden="1">
      <c r="A20" s="53" t="s">
        <v>33</v>
      </c>
      <c r="B20" s="19">
        <f>'[15]Лист1'!B14</f>
        <v>4791.7</v>
      </c>
      <c r="C20" s="9">
        <f t="shared" si="0"/>
        <v>41448.205</v>
      </c>
      <c r="D20" s="10">
        <f>'[15]Лист1'!D14</f>
        <v>5181.025625</v>
      </c>
      <c r="E20" s="114">
        <f>'[15]Лист1'!S14</f>
        <v>28122.030000000002</v>
      </c>
      <c r="F20" s="117">
        <f>'[15]Лист1'!T14</f>
        <v>4792.15</v>
      </c>
      <c r="G20" s="119">
        <f>'[15]Лист1'!AB14</f>
        <v>19425.83</v>
      </c>
      <c r="H20" s="117">
        <f>'[15]Лист1'!AC14</f>
        <v>29399.005625</v>
      </c>
      <c r="I20" s="143">
        <f>'[15]Лист1'!AF14</f>
        <v>0</v>
      </c>
      <c r="J20" s="119">
        <f>'[15]Лист1'!AG14</f>
        <v>2587.518</v>
      </c>
      <c r="K20" s="114">
        <f>'[15]Лист1'!AI14+'[15]Лист1'!AJ14</f>
        <v>4166.8435117</v>
      </c>
      <c r="L20" s="114">
        <f>'[15]Лист1'!AH14+'[15]Лист1'!AK14+'[15]Лист1'!AL14+'[15]Лист1'!AM14+'[15]Лист1'!AN14+'[15]Лист1'!AO14+'[15]Лист1'!AP14+'[15]Лист1'!AQ14+'[15]Лист1'!AR14</f>
        <v>14310.218369486</v>
      </c>
      <c r="M20" s="115">
        <f>'[15]Лист1'!AS14+'[15]Лист1'!AT14+'[15]Лист1'!AU14+'[15]Лист1'!AZ14+'[15]Лист1'!BA14</f>
        <v>7784.47</v>
      </c>
      <c r="N20" s="115">
        <f>'[15]Лист1'!AX14</f>
        <v>839.216</v>
      </c>
      <c r="O20" s="117">
        <f>'[15]Лист1'!BB14</f>
        <v>28849.049881186</v>
      </c>
      <c r="P20" s="144">
        <f>'[15]Лист1'!BC14</f>
        <v>0</v>
      </c>
      <c r="Q20" s="118">
        <f>'[15]Лист1'!BD14</f>
        <v>549.955743814</v>
      </c>
      <c r="R20" s="118">
        <f>'[15]Лист1'!BE14</f>
        <v>-8696.2</v>
      </c>
      <c r="S20" s="39"/>
      <c r="T20" s="39"/>
    </row>
    <row r="21" spans="1:20" ht="13.5" hidden="1" thickBot="1">
      <c r="A21" s="53" t="s">
        <v>34</v>
      </c>
      <c r="B21" s="19">
        <f>'[15]Лист1'!B15</f>
        <v>4791.7</v>
      </c>
      <c r="C21" s="9">
        <f t="shared" si="0"/>
        <v>41448.205</v>
      </c>
      <c r="D21" s="10">
        <f>'[15]Лист1'!D15</f>
        <v>5181.025625</v>
      </c>
      <c r="E21" s="114">
        <f>'[15]Лист1'!S15</f>
        <v>26882.629999999997</v>
      </c>
      <c r="F21" s="117">
        <f>'[15]Лист1'!T15</f>
        <v>4839.44</v>
      </c>
      <c r="G21" s="119">
        <f>'[15]Лист1'!AB15</f>
        <v>23232.83</v>
      </c>
      <c r="H21" s="117">
        <f>'[15]Лист1'!AC15</f>
        <v>33253.295625</v>
      </c>
      <c r="I21" s="143">
        <f>'[15]Лист1'!AF15</f>
        <v>0</v>
      </c>
      <c r="J21" s="119">
        <f>'[15]Лист1'!AG15</f>
        <v>2587.518</v>
      </c>
      <c r="K21" s="114">
        <f>'[15]Лист1'!AI15+'[15]Лист1'!AJ15</f>
        <v>4166.867111699999</v>
      </c>
      <c r="L21" s="114">
        <f>'[15]Лист1'!AH15+'[15]Лист1'!AK15+'[15]Лист1'!AL15+'[15]Лист1'!AM15+'[15]Лист1'!AN15+'[15]Лист1'!AO15+'[15]Лист1'!AP15+'[15]Лист1'!AQ15+'[15]Лист1'!AR15</f>
        <v>14330.876825695997</v>
      </c>
      <c r="M21" s="115">
        <f>'[15]Лист1'!AS15+'[15]Лист1'!AT15+'[15]Лист1'!AU15+'[15]Лист1'!AZ15+'[15]Лист1'!BA15</f>
        <v>4607.9</v>
      </c>
      <c r="N21" s="115">
        <f>'[15]Лист1'!AX15</f>
        <v>672.364</v>
      </c>
      <c r="O21" s="117">
        <f>'[15]Лист1'!BB15</f>
        <v>25693.161937396</v>
      </c>
      <c r="P21" s="144">
        <f>'[15]Лист1'!BC15</f>
        <v>0</v>
      </c>
      <c r="Q21" s="118">
        <f>'[15]Лист1'!BD15</f>
        <v>7560.133687604</v>
      </c>
      <c r="R21" s="118">
        <f>'[15]Лист1'!BE15</f>
        <v>-3649.7999999999956</v>
      </c>
      <c r="S21" s="39"/>
      <c r="T21" s="39"/>
    </row>
    <row r="22" spans="1:20" ht="13.5" hidden="1" thickBot="1">
      <c r="A22" s="53" t="s">
        <v>35</v>
      </c>
      <c r="B22" s="19">
        <f>'[15]Лист1'!B16</f>
        <v>4791.7</v>
      </c>
      <c r="C22" s="9">
        <f t="shared" si="0"/>
        <v>41448.205</v>
      </c>
      <c r="D22" s="10">
        <f>'[15]Лист1'!D16</f>
        <v>5181.025625</v>
      </c>
      <c r="E22" s="114">
        <f>'[15]Лист1'!S16</f>
        <v>28069.27</v>
      </c>
      <c r="F22" s="117">
        <f>'[15]Лист1'!T16</f>
        <v>4912.5599999999995</v>
      </c>
      <c r="G22" s="119">
        <f>'[15]Лист1'!AB16</f>
        <v>31525.59</v>
      </c>
      <c r="H22" s="117">
        <f>'[15]Лист1'!AC16</f>
        <v>41619.175625</v>
      </c>
      <c r="I22" s="143">
        <f>'[15]Лист1'!AF16</f>
        <v>0</v>
      </c>
      <c r="J22" s="119">
        <f>'[15]Лист1'!AG16</f>
        <v>2587.518</v>
      </c>
      <c r="K22" s="114">
        <f>'[15]Лист1'!AI16+'[15]Лист1'!AJ16</f>
        <v>4169.27014925</v>
      </c>
      <c r="L22" s="114">
        <f>'[15]Лист1'!AH16+'[15]Лист1'!AK16+'[15]Лист1'!AL16+'[15]Лист1'!AM16+'[15]Лист1'!AN16+'[15]Лист1'!AO16+'[15]Лист1'!AP16+'[15]Лист1'!AQ16+'[15]Лист1'!AR16</f>
        <v>13854.179822065997</v>
      </c>
      <c r="M22" s="115">
        <f>'[15]Лист1'!AS16+'[15]Лист1'!AT16+'[15]Лист1'!AU16+'[15]Лист1'!AZ16+'[15]Лист1'!BA16</f>
        <v>37372.96</v>
      </c>
      <c r="N22" s="115">
        <f>'[15]Лист1'!AX16</f>
        <v>632.716</v>
      </c>
      <c r="O22" s="117">
        <f>'[15]Лист1'!BB16</f>
        <v>57983.927971316</v>
      </c>
      <c r="P22" s="144">
        <f>'[15]Лист1'!BC16</f>
        <v>0</v>
      </c>
      <c r="Q22" s="118">
        <f>'[15]Лист1'!BD16</f>
        <v>-16364.752346315996</v>
      </c>
      <c r="R22" s="118">
        <f>'[15]Лист1'!BE16</f>
        <v>3456.3199999999997</v>
      </c>
      <c r="S22" s="39"/>
      <c r="T22" s="39"/>
    </row>
    <row r="23" spans="1:20" ht="13.5" hidden="1" thickBot="1">
      <c r="A23" s="53" t="s">
        <v>36</v>
      </c>
      <c r="B23" s="19">
        <f>'[15]Лист1'!B17</f>
        <v>4791.7</v>
      </c>
      <c r="C23" s="9">
        <f t="shared" si="0"/>
        <v>41448.205</v>
      </c>
      <c r="D23" s="10">
        <f>'[15]Лист1'!D17</f>
        <v>5181.025625</v>
      </c>
      <c r="E23" s="114">
        <f>'[15]Лист1'!S17</f>
        <v>29510.420000000002</v>
      </c>
      <c r="F23" s="117">
        <f>'[15]Лист1'!T17</f>
        <v>5035.39</v>
      </c>
      <c r="G23" s="119">
        <f>'[15]Лист1'!AB17</f>
        <v>27027.239999999998</v>
      </c>
      <c r="H23" s="117">
        <f>'[15]Лист1'!AC17</f>
        <v>37243.655625</v>
      </c>
      <c r="I23" s="143">
        <f>'[15]Лист1'!AF17</f>
        <v>0</v>
      </c>
      <c r="J23" s="119">
        <f>'[15]Лист1'!AG17</f>
        <v>2587.518</v>
      </c>
      <c r="K23" s="114">
        <f>'[15]Лист1'!AI17+'[15]Лист1'!AJ17</f>
        <v>4293.747494339999</v>
      </c>
      <c r="L23" s="114">
        <f>'[15]Лист1'!AH17+'[15]Лист1'!AK17+'[15]Лист1'!AL17+'[15]Лист1'!AM17+'[15]Лист1'!AN17+'[15]Лист1'!AO17+'[15]Лист1'!AP17+'[15]Лист1'!AQ17+'[15]Лист1'!AR17</f>
        <v>14050.478425111998</v>
      </c>
      <c r="M23" s="115">
        <f>'[15]Лист1'!AS17+'[15]Лист1'!AT17+'[15]Лист1'!AU17+'[15]Лист1'!AZ17+'[15]Лист1'!BA17</f>
        <v>8598.247</v>
      </c>
      <c r="N23" s="115">
        <f>'[15]Лист1'!AX17</f>
        <v>507.16400000000004</v>
      </c>
      <c r="O23" s="117">
        <f>'[15]Лист1'!BB17</f>
        <v>32181.450919452003</v>
      </c>
      <c r="P23" s="144">
        <f>'[15]Лист1'!BC17</f>
        <v>0</v>
      </c>
      <c r="Q23" s="118">
        <f>'[15]Лист1'!BD17</f>
        <v>5062.204705547996</v>
      </c>
      <c r="R23" s="118">
        <f>'[15]Лист1'!BE17</f>
        <v>-2483.180000000004</v>
      </c>
      <c r="S23" s="39"/>
      <c r="T23" s="39"/>
    </row>
    <row r="24" spans="1:20" ht="13.5" hidden="1" thickBot="1">
      <c r="A24" s="53" t="s">
        <v>37</v>
      </c>
      <c r="B24" s="19">
        <f>'[15]Лист1'!B18</f>
        <v>4793.3</v>
      </c>
      <c r="C24" s="9">
        <f t="shared" si="0"/>
        <v>41462.045000000006</v>
      </c>
      <c r="D24" s="10">
        <f>'[15]Лист1'!D18</f>
        <v>4388.885000000005</v>
      </c>
      <c r="E24" s="114">
        <f>'[15]Лист1'!S18</f>
        <v>31796.97</v>
      </c>
      <c r="F24" s="117">
        <f>'[15]Лист1'!T18</f>
        <v>5276.1900000000005</v>
      </c>
      <c r="G24" s="119">
        <f>'[15]Лист1'!AB18</f>
        <v>25080.92</v>
      </c>
      <c r="H24" s="117">
        <f>'[15]Лист1'!AC18</f>
        <v>34745.995</v>
      </c>
      <c r="I24" s="143">
        <f>'[15]Лист1'!AF18</f>
        <v>0</v>
      </c>
      <c r="J24" s="119">
        <f>'[15]Лист1'!AG18</f>
        <v>2875.98</v>
      </c>
      <c r="K24" s="114">
        <f>'[15]Лист1'!AI18+'[15]Лист1'!AJ18</f>
        <v>4807.6799</v>
      </c>
      <c r="L24" s="114">
        <f>'[15]Лист1'!AH18+'[15]Лист1'!AK18+'[15]Лист1'!AL18+'[15]Лист1'!AM18+'[15]Лист1'!AN18+'[15]Лист1'!AO18+'[15]Лист1'!AP18+'[15]Лист1'!AQ18+'[15]Лист1'!AR18</f>
        <v>16465.94416</v>
      </c>
      <c r="M24" s="115">
        <f>'[15]Лист1'!AS18+'[15]Лист1'!AT18+'[15]Лист1'!AU18+'[15]Лист1'!AZ18+'[15]Лист1'!BA18</f>
        <v>17337.0674</v>
      </c>
      <c r="N24" s="115">
        <f>'[15]Лист1'!AX18</f>
        <v>434.47600000000006</v>
      </c>
      <c r="O24" s="117">
        <f>'[15]Лист1'!BB18</f>
        <v>41921.14746000001</v>
      </c>
      <c r="P24" s="144">
        <f>'[15]Лист1'!BC18</f>
        <v>0</v>
      </c>
      <c r="Q24" s="118">
        <f>'[15]Лист1'!BD18</f>
        <v>-7175.152460000005</v>
      </c>
      <c r="R24" s="118">
        <f>'[15]Лист1'!BE18</f>
        <v>-6716.050000000003</v>
      </c>
      <c r="S24" s="39"/>
      <c r="T24" s="39"/>
    </row>
    <row r="25" spans="1:20" ht="13.5" hidden="1" thickBot="1">
      <c r="A25" s="53" t="s">
        <v>38</v>
      </c>
      <c r="B25" s="19">
        <f>'[15]Лист1'!B19</f>
        <v>4793.3</v>
      </c>
      <c r="C25" s="9">
        <f t="shared" si="0"/>
        <v>41462.045000000006</v>
      </c>
      <c r="D25" s="10">
        <f>'[15]Лист1'!D19</f>
        <v>4335.9950000000035</v>
      </c>
      <c r="E25" s="114">
        <f>'[15]Лист1'!S19</f>
        <v>31705.729999999996</v>
      </c>
      <c r="F25" s="117">
        <f>'[15]Лист1'!T19</f>
        <v>5420.320000000001</v>
      </c>
      <c r="G25" s="119">
        <f>'[15]Лист1'!AB19</f>
        <v>24451.870000000003</v>
      </c>
      <c r="H25" s="117">
        <f>'[15]Лист1'!AC19</f>
        <v>34208.185000000005</v>
      </c>
      <c r="I25" s="143">
        <f>'[15]Лист1'!AF19</f>
        <v>0</v>
      </c>
      <c r="J25" s="119">
        <f>'[15]Лист1'!AG19</f>
        <v>2875.98</v>
      </c>
      <c r="K25" s="114">
        <f>'[15]Лист1'!AI19+'[15]Лист1'!AJ19</f>
        <v>4807.6799</v>
      </c>
      <c r="L25" s="114">
        <f>'[15]Лист1'!AH19+'[15]Лист1'!AK19+'[15]Лист1'!AL19+'[15]Лист1'!AM19+'[15]Лист1'!AN19+'[15]Лист1'!AO19+'[15]Лист1'!AP19+'[15]Лист1'!AQ19+'[15]Лист1'!AR19</f>
        <v>40870.226957000006</v>
      </c>
      <c r="M25" s="115">
        <f>'[15]Лист1'!AS19+'[15]Лист1'!AT19+'[15]Лист1'!AU19+'[15]Лист1'!AZ19+'[15]Лист1'!BA19</f>
        <v>10202.4688</v>
      </c>
      <c r="N25" s="115">
        <f>'[15]Лист1'!AX19</f>
        <v>384.91600000000005</v>
      </c>
      <c r="O25" s="117">
        <f>'[15]Лист1'!BB19</f>
        <v>59141.271657000005</v>
      </c>
      <c r="P25" s="144">
        <f>'[15]Лист1'!BC19</f>
        <v>0</v>
      </c>
      <c r="Q25" s="118">
        <f>'[15]Лист1'!BD19</f>
        <v>-24933.086657</v>
      </c>
      <c r="R25" s="118">
        <f>'[15]Лист1'!BE19</f>
        <v>-7253.859999999993</v>
      </c>
      <c r="S25" s="39"/>
      <c r="T25" s="39"/>
    </row>
    <row r="26" spans="1:20" ht="13.5" hidden="1" thickBot="1">
      <c r="A26" s="53" t="s">
        <v>39</v>
      </c>
      <c r="B26" s="19">
        <f>'[15]Лист1'!B20</f>
        <v>4793.3</v>
      </c>
      <c r="C26" s="9">
        <f t="shared" si="0"/>
        <v>41462.045000000006</v>
      </c>
      <c r="D26" s="10">
        <f>'[15]Лист1'!D20</f>
        <v>4365.725000000002</v>
      </c>
      <c r="E26" s="114">
        <f>'[15]Лист1'!S20</f>
        <v>31675.980000000003</v>
      </c>
      <c r="F26" s="117">
        <f>'[15]Лист1'!T20</f>
        <v>5420.34</v>
      </c>
      <c r="G26" s="119">
        <f>'[15]Лист1'!AB20</f>
        <v>36483.729999999996</v>
      </c>
      <c r="H26" s="117">
        <f>'[15]Лист1'!AC20</f>
        <v>46269.795</v>
      </c>
      <c r="I26" s="143">
        <f>'[15]Лист1'!AF20</f>
        <v>633.88066</v>
      </c>
      <c r="J26" s="119">
        <f>'[15]Лист1'!AG20</f>
        <v>2875.98</v>
      </c>
      <c r="K26" s="114">
        <f>'[15]Лист1'!AI20+'[15]Лист1'!AJ20</f>
        <v>4738.93007743</v>
      </c>
      <c r="L26" s="114">
        <f>'[15]Лист1'!AH20+'[15]Лист1'!AK20+'[15]Лист1'!AL20+'[15]Лист1'!AM20+'[15]Лист1'!AN20+'[15]Лист1'!AO20+'[15]Лист1'!AP20+'[15]Лист1'!AQ20+'[15]Лист1'!AR20</f>
        <v>16302.546410825998</v>
      </c>
      <c r="M26" s="115">
        <f>'[15]Лист1'!AS20+'[15]Лист1'!AT20+'[15]Лист1'!AU20+'[15]Лист1'!AZ20+'[15]Лист1'!BA20</f>
        <v>23739.239999999998</v>
      </c>
      <c r="N26" s="115">
        <f>'[15]Лист1'!AX20</f>
        <v>409.696</v>
      </c>
      <c r="O26" s="117">
        <f>'[15]Лист1'!BB20</f>
        <v>48066.39248825601</v>
      </c>
      <c r="P26" s="144">
        <f>'[15]Лист1'!BC20</f>
        <v>299.54623802000003</v>
      </c>
      <c r="Q26" s="118">
        <f>'[15]Лист1'!BD20</f>
        <v>-1462.2630662760089</v>
      </c>
      <c r="R26" s="118">
        <f>'[15]Лист1'!BE20</f>
        <v>4807.749999999993</v>
      </c>
      <c r="S26" s="39"/>
      <c r="T26" s="39"/>
    </row>
    <row r="27" spans="1:20" ht="13.5" hidden="1" thickBot="1">
      <c r="A27" s="53" t="s">
        <v>40</v>
      </c>
      <c r="B27" s="19">
        <f>'[15]Лист1'!B21</f>
        <v>4793.3</v>
      </c>
      <c r="C27" s="9">
        <f t="shared" si="0"/>
        <v>41462.045000000006</v>
      </c>
      <c r="D27" s="10">
        <f>'[15]Лист1'!D21</f>
        <v>4359.4150000000045</v>
      </c>
      <c r="E27" s="114">
        <f>'[15]Лист1'!S21</f>
        <v>31682.309999999998</v>
      </c>
      <c r="F27" s="117">
        <f>'[15]Лист1'!T21</f>
        <v>5420.320000000001</v>
      </c>
      <c r="G27" s="119">
        <f>'[15]Лист1'!AB21</f>
        <v>29629.980000000003</v>
      </c>
      <c r="H27" s="117">
        <f>'[15]Лист1'!AC21</f>
        <v>39409.71500000001</v>
      </c>
      <c r="I27" s="143">
        <f>'[15]Лист1'!AF21</f>
        <v>633.88066</v>
      </c>
      <c r="J27" s="119">
        <f>'[15]Лист1'!AG21</f>
        <v>2875.98</v>
      </c>
      <c r="K27" s="114">
        <f>'[15]Лист1'!AI21+'[15]Лист1'!AJ21</f>
        <v>4736.814698274</v>
      </c>
      <c r="L27" s="114">
        <f>'[15]Лист1'!AH21+'[15]Лист1'!AK21+'[15]Лист1'!AL21+'[15]Лист1'!AM21+'[15]Лист1'!AN21+'[15]Лист1'!AO21+'[15]Лист1'!AP21+'[15]Лист1'!AQ21+'[15]Лист1'!AR21</f>
        <v>16300.182259399999</v>
      </c>
      <c r="M27" s="115">
        <f>'[15]Лист1'!AS21+'[15]Лист1'!AT21+'[15]Лист1'!AU21+'[15]Лист1'!AZ21+'[15]Лист1'!BA21</f>
        <v>4484</v>
      </c>
      <c r="N27" s="115">
        <f>'[15]Лист1'!AX21</f>
        <v>484.036</v>
      </c>
      <c r="O27" s="117">
        <f>'[15]Лист1'!BB21</f>
        <v>28881.012957674</v>
      </c>
      <c r="P27" s="144">
        <f>'[15]Лист1'!BC21</f>
        <v>299.410134106</v>
      </c>
      <c r="Q27" s="118">
        <f>'[15]Лист1'!BD21</f>
        <v>10863.172568220014</v>
      </c>
      <c r="R27" s="118">
        <f>'[15]Лист1'!BE21</f>
        <v>-2052.3299999999945</v>
      </c>
      <c r="S27" s="39"/>
      <c r="T27" s="39"/>
    </row>
    <row r="28" spans="1:20" ht="13.5" hidden="1" thickBot="1">
      <c r="A28" s="53" t="s">
        <v>41</v>
      </c>
      <c r="B28" s="19">
        <f>'[15]Лист1'!B22</f>
        <v>4793.3</v>
      </c>
      <c r="C28" s="9">
        <f t="shared" si="0"/>
        <v>41462.045000000006</v>
      </c>
      <c r="D28" s="10">
        <f>'[15]Лист1'!D22</f>
        <v>4361.885000000005</v>
      </c>
      <c r="E28" s="114">
        <f>'[15]Лист1'!S22</f>
        <v>31692.27</v>
      </c>
      <c r="F28" s="117">
        <f>'[15]Лист1'!T22</f>
        <v>5407.889999999999</v>
      </c>
      <c r="G28" s="119">
        <f>'[15]Лист1'!AB22</f>
        <v>29966.86</v>
      </c>
      <c r="H28" s="117">
        <f>'[15]Лист1'!AC22</f>
        <v>39736.63500000001</v>
      </c>
      <c r="I28" s="143">
        <f>'[15]Лист1'!AF22</f>
        <v>633.88066</v>
      </c>
      <c r="J28" s="119">
        <f>'[15]Лист1'!AG22</f>
        <v>2875.98</v>
      </c>
      <c r="K28" s="114">
        <f>'[15]Лист1'!AI22+'[15]Лист1'!AJ22</f>
        <v>4735.997392691</v>
      </c>
      <c r="L28" s="114">
        <f>'[15]Лист1'!AH22+'[15]Лист1'!AK22+'[15]Лист1'!AL22+'[15]Лист1'!AM22+'[15]Лист1'!AN22+'[15]Лист1'!AO22+'[15]Лист1'!AP22+'[15]Лист1'!AQ22+'[15]Лист1'!AR22</f>
        <v>16298.0403924682</v>
      </c>
      <c r="M28" s="115">
        <f>'[15]Лист1'!AS22+'[15]Лист1'!AT22+'[15]Лист1'!AU22+'[15]Лист1'!AZ22+'[15]Лист1'!BA22</f>
        <v>0</v>
      </c>
      <c r="N28" s="115">
        <f>'[15]Лист1'!AX22</f>
        <v>576.548</v>
      </c>
      <c r="O28" s="117">
        <f>'[15]Лист1'!BB22</f>
        <v>24486.5657851592</v>
      </c>
      <c r="P28" s="144">
        <f>'[15]Лист1'!BC22</f>
        <v>299.3648501074</v>
      </c>
      <c r="Q28" s="118">
        <f>'[15]Лист1'!BD22</f>
        <v>15584.585024733411</v>
      </c>
      <c r="R28" s="118">
        <f>'[15]Лист1'!BE22</f>
        <v>-1725.4099999999999</v>
      </c>
      <c r="S28" s="39"/>
      <c r="T28" s="39"/>
    </row>
    <row r="29" spans="1:20" ht="13.5" hidden="1" thickBot="1">
      <c r="A29" s="53" t="s">
        <v>31</v>
      </c>
      <c r="B29" s="19">
        <f>'[15]Лист1'!B23</f>
        <v>4793.3</v>
      </c>
      <c r="C29" s="9">
        <f>B29*8.65</f>
        <v>41462.045000000006</v>
      </c>
      <c r="D29" s="10">
        <f>'[15]Лист1'!D23</f>
        <v>4339.254999999997</v>
      </c>
      <c r="E29" s="114">
        <f>'[15]Лист1'!S23</f>
        <v>31693.24</v>
      </c>
      <c r="F29" s="117">
        <f>'[15]Лист1'!T23</f>
        <v>5429.55</v>
      </c>
      <c r="G29" s="119">
        <f>'[15]Лист1'!AB23</f>
        <v>33268.04</v>
      </c>
      <c r="H29" s="117">
        <f>'[15]Лист1'!AC23</f>
        <v>43036.845</v>
      </c>
      <c r="I29" s="143">
        <f>'[15]Лист1'!AF23</f>
        <v>633.88066</v>
      </c>
      <c r="J29" s="119">
        <f>'[15]Лист1'!AG23</f>
        <v>2875.98</v>
      </c>
      <c r="K29" s="114">
        <f>'[15]Лист1'!AI23+'[15]Лист1'!AJ23</f>
        <v>4790.711618</v>
      </c>
      <c r="L29" s="114">
        <f>'[15]Лист1'!AH23+'[15]Лист1'!AK23+'[15]Лист1'!AL23+'[15]Лист1'!AM23+'[15]Лист1'!AN23+'[15]Лист1'!AO23+'[15]Лист1'!AP23+'[15]Лист1'!AQ23+'[15]Лист1'!AR23</f>
        <v>16438.14302</v>
      </c>
      <c r="M29" s="115">
        <f>'[15]Лист1'!AS23+'[15]Лист1'!AT23+'[15]Лист1'!AU23+'[15]Лист1'!AZ23+'[15]Лист1'!BA23</f>
        <v>1447.7302</v>
      </c>
      <c r="N29" s="115">
        <f>'[15]Лист1'!AX23</f>
        <v>702.0999999999999</v>
      </c>
      <c r="O29" s="117">
        <f>'[15]Лист1'!BB23</f>
        <v>26254.664837999997</v>
      </c>
      <c r="P29" s="144">
        <f>'[15]Лист1'!BC23</f>
        <v>301.69264200000003</v>
      </c>
      <c r="Q29" s="118">
        <f>'[15]Лист1'!BD23</f>
        <v>17114.368180000005</v>
      </c>
      <c r="R29" s="118">
        <f>'[15]Лист1'!BE23</f>
        <v>1574.7999999999993</v>
      </c>
      <c r="S29" s="39"/>
      <c r="T29" s="39"/>
    </row>
    <row r="30" spans="1:20" ht="13.5" hidden="1" thickBot="1">
      <c r="A30" s="53" t="s">
        <v>32</v>
      </c>
      <c r="B30" s="19">
        <f>'[15]Лист1'!B24</f>
        <v>4793.3</v>
      </c>
      <c r="C30" s="9">
        <f t="shared" si="0"/>
        <v>41462.045000000006</v>
      </c>
      <c r="D30" s="10">
        <f>'[15]Лист1'!D24</f>
        <v>4330.955000000006</v>
      </c>
      <c r="E30" s="114">
        <f>'[15]Лист1'!S24</f>
        <v>31755.14</v>
      </c>
      <c r="F30" s="117">
        <f>'[15]Лист1'!T24</f>
        <v>5375.95</v>
      </c>
      <c r="G30" s="119">
        <f>'[15]Лист1'!AB24</f>
        <v>27791.739999999998</v>
      </c>
      <c r="H30" s="117">
        <f>'[15]Лист1'!AC24</f>
        <v>37498.645000000004</v>
      </c>
      <c r="I30" s="143">
        <f>'[15]Лист1'!AF24</f>
        <v>633.88066</v>
      </c>
      <c r="J30" s="119">
        <f>'[15]Лист1'!AG24</f>
        <v>2875.98</v>
      </c>
      <c r="K30" s="114">
        <f>'[15]Лист1'!AI24+'[15]Лист1'!AJ24</f>
        <v>4807.6799</v>
      </c>
      <c r="L30" s="114">
        <f>'[15]Лист1'!AH24+'[15]Лист1'!AK24+'[15]Лист1'!AL24+'[15]Лист1'!AM24+'[15]Лист1'!AN24+'[15]Лист1'!AO24+'[15]Лист1'!AP24+'[15]Лист1'!AQ24+'[15]Лист1'!AR24</f>
        <v>16456.35756</v>
      </c>
      <c r="M30" s="115">
        <f>'[15]Лист1'!AS24+'[15]Лист1'!AT24+'[15]Лист1'!AU24+'[15]Лист1'!AZ24+'[15]Лист1'!BA24</f>
        <v>6189.1</v>
      </c>
      <c r="N30" s="115">
        <f>'[15]Лист1'!AX24</f>
        <v>776.44</v>
      </c>
      <c r="O30" s="117">
        <f>'[15]Лист1'!BB24</f>
        <v>31105.557459999996</v>
      </c>
      <c r="P30" s="144">
        <f>'[15]Лист1'!BC24</f>
        <v>302.12874000000005</v>
      </c>
      <c r="Q30" s="118">
        <f>'[15]Лист1'!BD24</f>
        <v>6724.83946000001</v>
      </c>
      <c r="R30" s="118">
        <f>'[15]Лист1'!BE24</f>
        <v>-3963.4000000000015</v>
      </c>
      <c r="S30" s="39"/>
      <c r="T30" s="39"/>
    </row>
    <row r="31" spans="1:20" ht="13.5" hidden="1" thickBot="1">
      <c r="A31" s="145" t="s">
        <v>106</v>
      </c>
      <c r="B31" s="19">
        <f>'[15]Лист1'!B25</f>
        <v>4793.3</v>
      </c>
      <c r="C31" s="146">
        <f t="shared" si="0"/>
        <v>41462.045000000006</v>
      </c>
      <c r="D31" s="10">
        <f>'[15]Лист1'!D25</f>
        <v>4323.825000000006</v>
      </c>
      <c r="E31" s="114">
        <f>'[15]Лист1'!S25</f>
        <v>31762.26</v>
      </c>
      <c r="F31" s="117">
        <f>'[15]Лист1'!T25</f>
        <v>5375.96</v>
      </c>
      <c r="G31" s="119">
        <f>'[15]Лист1'!AB25</f>
        <v>39560.75</v>
      </c>
      <c r="H31" s="117">
        <f>'[15]Лист1'!AC25</f>
        <v>49260.535</v>
      </c>
      <c r="I31" s="143">
        <f>'[15]Лист1'!AF25</f>
        <v>633.88066</v>
      </c>
      <c r="J31" s="119">
        <f>'[15]Лист1'!AG25</f>
        <v>2875.98</v>
      </c>
      <c r="K31" s="114">
        <f>'[15]Лист1'!AI25+'[15]Лист1'!AJ25</f>
        <v>4807.6799</v>
      </c>
      <c r="L31" s="114">
        <f>'[15]Лист1'!AH25+'[15]Лист1'!AK25+'[15]Лист1'!AL25+'[15]Лист1'!AM25+'[15]Лист1'!AN25+'[15]Лист1'!AO25+'[15]Лист1'!AP25+'[15]Лист1'!AQ25+'[15]Лист1'!AR25</f>
        <v>16456.35756</v>
      </c>
      <c r="M31" s="115">
        <f>'[15]Лист1'!AS25+'[15]Лист1'!AT25+'[15]Лист1'!AU25+'[15]Лист1'!AZ25+'[15]Лист1'!BA25</f>
        <v>0</v>
      </c>
      <c r="N31" s="115">
        <f>'[15]Лист1'!AX25</f>
        <v>849.1279999999999</v>
      </c>
      <c r="O31" s="117">
        <f>'[15]Лист1'!BB25</f>
        <v>24989.14546</v>
      </c>
      <c r="P31" s="144">
        <f>'[15]Лист1'!BC25</f>
        <v>302.12874000000005</v>
      </c>
      <c r="Q31" s="118">
        <f>'[15]Лист1'!BD25</f>
        <v>24603.141460000006</v>
      </c>
      <c r="R31" s="118">
        <f>'[15]Лист1'!BE25</f>
        <v>7798.490000000002</v>
      </c>
      <c r="S31" s="39"/>
      <c r="T31" s="39"/>
    </row>
    <row r="32" spans="1:20" s="3" customFormat="1" ht="13.5" hidden="1" thickBot="1">
      <c r="A32" s="11" t="s">
        <v>4</v>
      </c>
      <c r="B32" s="147"/>
      <c r="C32" s="148">
        <f aca="true" t="shared" si="2" ref="C32:R32">SUM(C20:C31)</f>
        <v>497489.17999999993</v>
      </c>
      <c r="D32" s="149">
        <f t="shared" si="2"/>
        <v>55530.042500000025</v>
      </c>
      <c r="E32" s="148">
        <f t="shared" si="2"/>
        <v>366348.25</v>
      </c>
      <c r="F32" s="150">
        <f t="shared" si="2"/>
        <v>62706.06</v>
      </c>
      <c r="G32" s="149">
        <f t="shared" si="2"/>
        <v>347445.38</v>
      </c>
      <c r="H32" s="150">
        <f t="shared" si="2"/>
        <v>465681.48250000004</v>
      </c>
      <c r="I32" s="150">
        <f t="shared" si="2"/>
        <v>3803.2839599999998</v>
      </c>
      <c r="J32" s="149">
        <f t="shared" si="2"/>
        <v>33357.912</v>
      </c>
      <c r="K32" s="148">
        <f t="shared" si="2"/>
        <v>55029.90165338501</v>
      </c>
      <c r="L32" s="148">
        <f t="shared" si="2"/>
        <v>212133.55176205418</v>
      </c>
      <c r="M32" s="148">
        <f>SUM(M20:M31)</f>
        <v>121763.18340000002</v>
      </c>
      <c r="N32" s="148">
        <f t="shared" si="2"/>
        <v>7268.8</v>
      </c>
      <c r="O32" s="150">
        <f t="shared" si="2"/>
        <v>429553.34881543915</v>
      </c>
      <c r="P32" s="150">
        <f t="shared" si="2"/>
        <v>1804.2713442334002</v>
      </c>
      <c r="Q32" s="151">
        <f>SUM(Q20:Q31)</f>
        <v>38127.14630032743</v>
      </c>
      <c r="R32" s="151">
        <f t="shared" si="2"/>
        <v>-18902.87</v>
      </c>
      <c r="S32" s="94"/>
      <c r="T32" s="94"/>
    </row>
    <row r="33" spans="1:20" ht="13.5" thickBot="1">
      <c r="A33" s="314" t="s">
        <v>64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105"/>
      <c r="S33" s="39"/>
      <c r="T33" s="39"/>
    </row>
    <row r="34" spans="1:20" s="3" customFormat="1" ht="13.5" thickBot="1">
      <c r="A34" s="107" t="s">
        <v>90</v>
      </c>
      <c r="B34" s="108"/>
      <c r="C34" s="14">
        <f>C18+C32</f>
        <v>621820.82</v>
      </c>
      <c r="D34" s="153">
        <f aca="true" t="shared" si="3" ref="D34:R34">D18+D32</f>
        <v>85457.08268680003</v>
      </c>
      <c r="E34" s="108">
        <f t="shared" si="3"/>
        <v>451313.76</v>
      </c>
      <c r="F34" s="14">
        <f t="shared" si="3"/>
        <v>77020.58</v>
      </c>
      <c r="G34" s="153">
        <f t="shared" si="3"/>
        <v>393931.46</v>
      </c>
      <c r="H34" s="14">
        <f t="shared" si="3"/>
        <v>556409.1226868001</v>
      </c>
      <c r="I34" s="14">
        <f t="shared" si="3"/>
        <v>3803.2839599999998</v>
      </c>
      <c r="J34" s="153">
        <f t="shared" si="3"/>
        <v>41982.072</v>
      </c>
      <c r="K34" s="108">
        <f t="shared" si="3"/>
        <v>69463.107412105</v>
      </c>
      <c r="L34" s="108">
        <f t="shared" si="3"/>
        <v>262734.7509538702</v>
      </c>
      <c r="M34" s="108">
        <f t="shared" si="3"/>
        <v>159023.5124</v>
      </c>
      <c r="N34" s="108">
        <f t="shared" si="3"/>
        <v>7268.8</v>
      </c>
      <c r="O34" s="154">
        <f t="shared" si="3"/>
        <v>540472.2427659752</v>
      </c>
      <c r="P34" s="154">
        <f>P18+P32</f>
        <v>1804.2713442334002</v>
      </c>
      <c r="Q34" s="155">
        <f>Q18+Q32</f>
        <v>17935.892536591437</v>
      </c>
      <c r="R34" s="155">
        <f t="shared" si="3"/>
        <v>-57382.29999999999</v>
      </c>
      <c r="S34" s="109"/>
      <c r="T34" s="94"/>
    </row>
    <row r="35" spans="1:20" ht="12.75">
      <c r="A35" s="2" t="s">
        <v>108</v>
      </c>
      <c r="B35" s="110"/>
      <c r="C35" s="12"/>
      <c r="D35" s="13"/>
      <c r="E35" s="111"/>
      <c r="F35" s="112"/>
      <c r="G35" s="113"/>
      <c r="H35" s="112"/>
      <c r="I35" s="132"/>
      <c r="J35" s="113"/>
      <c r="K35" s="114"/>
      <c r="L35" s="114"/>
      <c r="M35" s="115"/>
      <c r="N35" s="20"/>
      <c r="O35" s="117"/>
      <c r="P35" s="144"/>
      <c r="Q35" s="118"/>
      <c r="R35" s="118"/>
      <c r="S35" s="39"/>
      <c r="T35" s="39"/>
    </row>
    <row r="36" spans="1:20" ht="12.75" customHeight="1">
      <c r="A36" s="53" t="s">
        <v>33</v>
      </c>
      <c r="B36" s="19">
        <f>'[15]Лист1'!B30</f>
        <v>4793.3</v>
      </c>
      <c r="C36" s="9">
        <f aca="true" t="shared" si="4" ref="C36:C47">B36*8.65</f>
        <v>41462.045000000006</v>
      </c>
      <c r="D36" s="10">
        <f>'[15]Лист1'!D30</f>
        <v>4314.725000000005</v>
      </c>
      <c r="E36" s="114">
        <f>'[15]Лист1'!S30</f>
        <v>31802.949999999997</v>
      </c>
      <c r="F36" s="117">
        <f>'[15]Лист1'!T30</f>
        <v>5344.370000000001</v>
      </c>
      <c r="G36" s="119">
        <f>'[15]Лист1'!AB30</f>
        <v>23823.54</v>
      </c>
      <c r="H36" s="117">
        <f>'[15]Лист1'!AC30</f>
        <v>33482.63500000001</v>
      </c>
      <c r="I36" s="143">
        <f>'[15]Лист1'!AF30</f>
        <v>633.88066</v>
      </c>
      <c r="J36" s="119">
        <f>'[15]Лист1'!AG30</f>
        <v>2875.98</v>
      </c>
      <c r="K36" s="114">
        <f>'[15]Лист1'!AI30+'[15]Лист1'!AJ30</f>
        <v>4793.3</v>
      </c>
      <c r="L36" s="114">
        <f>'[15]Лист1'!AH30+'[15]Лист1'!AK30+'[15]Лист1'!AL30+'[15]Лист1'!AM30+'[15]Лист1'!AN30+'[15]Лист1'!AO30+'[15]Лист1'!AP30+'[15]Лист1'!AQ30+'[15]Лист1'!AR30</f>
        <v>16441.019</v>
      </c>
      <c r="M36" s="115">
        <f>'[15]Лист1'!AS30+'[15]Лист1'!AT30+'[15]Лист1'!AU30+'[15]Лист1'!AZ30+'[15]Лист1'!BA30</f>
        <v>0</v>
      </c>
      <c r="N36" s="115">
        <f>'[15]Лист1'!AX30</f>
        <v>889</v>
      </c>
      <c r="O36" s="117">
        <f>'[15]Лист1'!BB30</f>
        <v>24999.299</v>
      </c>
      <c r="P36" s="144">
        <f>'[15]Лист1'!BC30</f>
        <v>301.771</v>
      </c>
      <c r="Q36" s="118">
        <f>'[15]Лист1'!BD30</f>
        <v>8815.445660000012</v>
      </c>
      <c r="R36" s="118">
        <f>'[15]Лист1'!BE30</f>
        <v>-7979.409999999996</v>
      </c>
      <c r="S36" s="39"/>
      <c r="T36" s="39"/>
    </row>
    <row r="37" spans="1:20" ht="12.75">
      <c r="A37" s="53" t="s">
        <v>34</v>
      </c>
      <c r="B37" s="19">
        <f>'[15]Лист1'!B31</f>
        <v>4793.3</v>
      </c>
      <c r="C37" s="9">
        <f t="shared" si="4"/>
        <v>41462.045000000006</v>
      </c>
      <c r="D37" s="10">
        <f>'[15]Лист1'!D31</f>
        <v>4324.01500000001</v>
      </c>
      <c r="E37" s="114">
        <f>'[15]Лист1'!S31</f>
        <v>31830.08</v>
      </c>
      <c r="F37" s="117">
        <f>'[15]Лист1'!T31</f>
        <v>5307.950000000001</v>
      </c>
      <c r="G37" s="119">
        <f>'[15]Лист1'!AB31</f>
        <v>28013.68</v>
      </c>
      <c r="H37" s="117">
        <f>'[15]Лист1'!AC31</f>
        <v>37645.64500000001</v>
      </c>
      <c r="I37" s="143">
        <f>'[15]Лист1'!AF31</f>
        <v>633.88066</v>
      </c>
      <c r="J37" s="119">
        <f>'[15]Лист1'!AG31</f>
        <v>2875.98</v>
      </c>
      <c r="K37" s="114">
        <f>'[15]Лист1'!AI31+'[15]Лист1'!AJ31</f>
        <v>4793.3</v>
      </c>
      <c r="L37" s="114">
        <f>'[15]Лист1'!AH31+'[15]Лист1'!AK31+'[15]Лист1'!AL31+'[15]Лист1'!AM31+'[15]Лист1'!AN31+'[15]Лист1'!AO31+'[15]Лист1'!AP31+'[15]Лист1'!AQ31+'[15]Лист1'!AR31</f>
        <v>16441.019</v>
      </c>
      <c r="M37" s="115">
        <f>'[15]Лист1'!AS31+'[15]Лист1'!AT31+'[15]Лист1'!AU31+'[15]Лист1'!AZ31+'[15]Лист1'!BA31</f>
        <v>17284</v>
      </c>
      <c r="N37" s="115">
        <f>'[15]Лист1'!AX31</f>
        <v>712.25</v>
      </c>
      <c r="O37" s="117">
        <f>'[15]Лист1'!BB31</f>
        <v>42106.549</v>
      </c>
      <c r="P37" s="144">
        <f>'[15]Лист1'!BC31</f>
        <v>301.771</v>
      </c>
      <c r="Q37" s="118">
        <f>'[15]Лист1'!BD31</f>
        <v>-4128.794339999985</v>
      </c>
      <c r="R37" s="118">
        <f>'[15]Лист1'!BE31</f>
        <v>-3816.4000000000015</v>
      </c>
      <c r="S37" s="39"/>
      <c r="T37" s="39"/>
    </row>
    <row r="38" spans="1:20" ht="12.75">
      <c r="A38" s="53" t="s">
        <v>35</v>
      </c>
      <c r="B38" s="19">
        <f>'[15]Лист1'!B32</f>
        <v>4793.3</v>
      </c>
      <c r="C38" s="9">
        <f t="shared" si="4"/>
        <v>41462.045000000006</v>
      </c>
      <c r="D38" s="10">
        <f>'[15]Лист1'!D32</f>
        <v>4324.08500000001</v>
      </c>
      <c r="E38" s="114">
        <f>'[15]Лист1'!S32</f>
        <v>31881.719999999998</v>
      </c>
      <c r="F38" s="117">
        <f>'[15]Лист1'!T32</f>
        <v>5256.24</v>
      </c>
      <c r="G38" s="119">
        <f>'[15]Лист1'!AB32</f>
        <v>37813.78</v>
      </c>
      <c r="H38" s="117">
        <f>'[15]Лист1'!AC32</f>
        <v>47394.10500000001</v>
      </c>
      <c r="I38" s="143">
        <f>'[15]Лист1'!AF32</f>
        <v>633.88066</v>
      </c>
      <c r="J38" s="119">
        <f>'[15]Лист1'!AG32</f>
        <v>2875.98</v>
      </c>
      <c r="K38" s="114">
        <f>'[15]Лист1'!AI32+'[15]Лист1'!AJ32</f>
        <v>4793.3</v>
      </c>
      <c r="L38" s="114">
        <f>'[15]Лист1'!AH32+'[15]Лист1'!AK32+'[15]Лист1'!AL32+'[15]Лист1'!AM32+'[15]Лист1'!AN32+'[15]Лист1'!AO32+'[15]Лист1'!AP32+'[15]Лист1'!AQ32+'[15]Лист1'!AR32</f>
        <v>16441.019</v>
      </c>
      <c r="M38" s="115">
        <f>'[15]Лист1'!AS32+'[15]Лист1'!AT32+'[15]Лист1'!AU32+'[15]Лист1'!AZ32+'[15]Лист1'!BA32</f>
        <v>735</v>
      </c>
      <c r="N38" s="115">
        <f>'[15]Лист1'!AX32</f>
        <v>670.25</v>
      </c>
      <c r="O38" s="117">
        <f>'[15]Лист1'!BB32</f>
        <v>25515.549</v>
      </c>
      <c r="P38" s="144">
        <f>'[15]Лист1'!BC32</f>
        <v>301.771</v>
      </c>
      <c r="Q38" s="118">
        <f>'[15]Лист1'!BD32</f>
        <v>22210.665660000013</v>
      </c>
      <c r="R38" s="118">
        <f>'[15]Лист1'!BE32</f>
        <v>5932.060000000001</v>
      </c>
      <c r="S38" s="39"/>
      <c r="T38" s="39"/>
    </row>
    <row r="39" spans="1:20" ht="12.75">
      <c r="A39" s="53" t="s">
        <v>36</v>
      </c>
      <c r="B39" s="19">
        <f>'[15]Лист1'!B33</f>
        <v>4793.3</v>
      </c>
      <c r="C39" s="9">
        <f t="shared" si="4"/>
        <v>41462.045000000006</v>
      </c>
      <c r="D39" s="10">
        <f>'[15]Лист1'!D33</f>
        <v>4279.144999999999</v>
      </c>
      <c r="E39" s="114">
        <f>'[15]Лист1'!S33</f>
        <v>32246.809999999998</v>
      </c>
      <c r="F39" s="117">
        <f>'[15]Лист1'!T33</f>
        <v>4936.09</v>
      </c>
      <c r="G39" s="119">
        <f>'[15]Лист1'!AB33</f>
        <v>27027.239999999998</v>
      </c>
      <c r="H39" s="117">
        <f>'[15]Лист1'!AC33</f>
        <v>36242.475</v>
      </c>
      <c r="I39" s="143">
        <f>'[15]Лист1'!AF33</f>
        <v>633.88066</v>
      </c>
      <c r="J39" s="119">
        <f>'[15]Лист1'!AG33</f>
        <v>2875.98</v>
      </c>
      <c r="K39" s="114">
        <f>'[15]Лист1'!AI33+'[15]Лист1'!AJ33</f>
        <v>4793.3</v>
      </c>
      <c r="L39" s="114">
        <f>'[15]Лист1'!AH33+'[15]Лист1'!AK33+'[15]Лист1'!AL33+'[15]Лист1'!AM33+'[15]Лист1'!AN33+'[15]Лист1'!AO33+'[15]Лист1'!AP33+'[15]Лист1'!AQ33+'[15]Лист1'!AR33</f>
        <v>22709.879</v>
      </c>
      <c r="M39" s="115">
        <f>'[15]Лист1'!AS33+'[15]Лист1'!AT33+'[15]Лист1'!AU33+'[15]Лист1'!AZ33+'[15]Лист1'!BA33</f>
        <v>5928</v>
      </c>
      <c r="N39" s="115">
        <f>'[15]Лист1'!AX33</f>
        <v>537.25</v>
      </c>
      <c r="O39" s="117">
        <f>'[15]Лист1'!BB33</f>
        <v>36844.409</v>
      </c>
      <c r="P39" s="144">
        <f>'[15]Лист1'!BC33</f>
        <v>301.771</v>
      </c>
      <c r="Q39" s="118">
        <f>'[15]Лист1'!BD33</f>
        <v>-269.8243399999986</v>
      </c>
      <c r="R39" s="118">
        <f>'[15]Лист1'!BE33</f>
        <v>-5219.57</v>
      </c>
      <c r="S39" s="39"/>
      <c r="T39" s="39"/>
    </row>
    <row r="40" spans="1:20" ht="12.75">
      <c r="A40" s="53" t="s">
        <v>37</v>
      </c>
      <c r="B40" s="19">
        <f>'[15]Лист1'!B34</f>
        <v>4793.3</v>
      </c>
      <c r="C40" s="9">
        <f t="shared" si="4"/>
        <v>41462.045000000006</v>
      </c>
      <c r="D40" s="10">
        <f>'[15]Лист1'!D34</f>
        <v>4331.805000000008</v>
      </c>
      <c r="E40" s="114">
        <f>'[15]Лист1'!S34</f>
        <v>31953.75</v>
      </c>
      <c r="F40" s="117">
        <f>'[15]Лист1'!T34</f>
        <v>5176.49</v>
      </c>
      <c r="G40" s="119">
        <f>'[15]Лист1'!AB34</f>
        <v>31067.78</v>
      </c>
      <c r="H40" s="117">
        <f>'[15]Лист1'!AC34</f>
        <v>40576.075000000004</v>
      </c>
      <c r="I40" s="143">
        <f>'[15]Лист1'!AF34</f>
        <v>633.88066</v>
      </c>
      <c r="J40" s="119">
        <f>'[15]Лист1'!AG34</f>
        <v>2875.98</v>
      </c>
      <c r="K40" s="114">
        <f>'[15]Лист1'!AI34+'[15]Лист1'!AJ34</f>
        <v>4793.3</v>
      </c>
      <c r="L40" s="114">
        <f>'[15]Лист1'!AH34+'[15]Лист1'!AK34+'[15]Лист1'!AL34+'[15]Лист1'!AM34+'[15]Лист1'!AN34+'[15]Лист1'!AO34+'[15]Лист1'!AP34+'[15]Лист1'!AQ34+'[15]Лист1'!AR34</f>
        <v>16441.019</v>
      </c>
      <c r="M40" s="115">
        <f>'[15]Лист1'!AS34+'[15]Лист1'!AT34+'[15]Лист1'!AU34+'[15]Лист1'!AZ34+'[15]Лист1'!BA34</f>
        <v>55406</v>
      </c>
      <c r="N40" s="115">
        <f>'[15]Лист1'!AX34</f>
        <v>460.24999999999994</v>
      </c>
      <c r="O40" s="117">
        <f>'[15]Лист1'!BB34</f>
        <v>79976.549</v>
      </c>
      <c r="P40" s="144">
        <f>'[15]Лист1'!BC34</f>
        <v>301.771</v>
      </c>
      <c r="Q40" s="118">
        <f>'[15]Лист1'!BD34</f>
        <v>-39068.36433999999</v>
      </c>
      <c r="R40" s="118">
        <f>'[15]Лист1'!BE34</f>
        <v>-885.9700000000012</v>
      </c>
      <c r="S40" s="39"/>
      <c r="T40" s="39"/>
    </row>
    <row r="41" spans="1:20" ht="12.75">
      <c r="A41" s="53" t="s">
        <v>38</v>
      </c>
      <c r="B41" s="19">
        <f>'[15]Лист1'!B35</f>
        <v>4793.3</v>
      </c>
      <c r="C41" s="9">
        <f t="shared" si="4"/>
        <v>41462.045000000006</v>
      </c>
      <c r="D41" s="10">
        <f>'[15]Лист1'!D35</f>
        <v>4332.805000000007</v>
      </c>
      <c r="E41" s="114">
        <f>'[15]Лист1'!S35</f>
        <v>31750.179999999997</v>
      </c>
      <c r="F41" s="117">
        <f>'[15]Лист1'!T35</f>
        <v>5379.0599999999995</v>
      </c>
      <c r="G41" s="119">
        <f>'[15]Лист1'!AB35</f>
        <v>26648.28</v>
      </c>
      <c r="H41" s="117">
        <f>'[15]Лист1'!AC35</f>
        <v>36360.145000000004</v>
      </c>
      <c r="I41" s="143">
        <f>'[15]Лист1'!AF35</f>
        <v>633.88066</v>
      </c>
      <c r="J41" s="119">
        <f>'[15]Лист1'!AG35</f>
        <v>2875.98</v>
      </c>
      <c r="K41" s="114">
        <f>'[15]Лист1'!AI35+'[15]Лист1'!AJ35</f>
        <v>4793.3</v>
      </c>
      <c r="L41" s="114">
        <f>'[15]Лист1'!AH35+'[15]Лист1'!AK35+'[15]Лист1'!AL35+'[15]Лист1'!AM35+'[15]Лист1'!AN35+'[15]Лист1'!AO35+'[15]Лист1'!AP35+'[15]Лист1'!AQ35+'[15]Лист1'!AR35</f>
        <v>16441.019</v>
      </c>
      <c r="M41" s="115">
        <f>'[15]Лист1'!AS35+'[15]Лист1'!AT35+'[15]Лист1'!AU35+'[15]Лист1'!AZ35+'[15]Лист1'!BA35</f>
        <v>26738</v>
      </c>
      <c r="N41" s="115">
        <f>'[15]Лист1'!AX35</f>
        <v>407.75</v>
      </c>
      <c r="O41" s="117">
        <f>'[15]Лист1'!BB35</f>
        <v>51256.049</v>
      </c>
      <c r="P41" s="144">
        <f>'[15]Лист1'!BC35</f>
        <v>301.771</v>
      </c>
      <c r="Q41" s="118">
        <f>'[15]Лист1'!BD35</f>
        <v>-14563.794339999993</v>
      </c>
      <c r="R41" s="118">
        <f>'[15]Лист1'!BE35</f>
        <v>-5101.899999999998</v>
      </c>
      <c r="S41" s="39"/>
      <c r="T41" s="39"/>
    </row>
    <row r="42" spans="1:20" ht="12.75">
      <c r="A42" s="53" t="s">
        <v>39</v>
      </c>
      <c r="B42" s="19">
        <f>'[15]Лист1'!B36</f>
        <v>4793.3</v>
      </c>
      <c r="C42" s="9">
        <f t="shared" si="4"/>
        <v>41462.045000000006</v>
      </c>
      <c r="D42" s="10">
        <f>'[15]Лист1'!D36</f>
        <v>4342.415000000012</v>
      </c>
      <c r="E42" s="114">
        <f>'[15]Лист1'!S36</f>
        <v>37119.630000000005</v>
      </c>
      <c r="F42" s="117">
        <f>'[15]Лист1'!T36</f>
        <v>0</v>
      </c>
      <c r="G42" s="119">
        <f>'[15]Лист1'!AB36</f>
        <v>30719.67</v>
      </c>
      <c r="H42" s="117">
        <f>'[15]Лист1'!AC36</f>
        <v>35062.08500000001</v>
      </c>
      <c r="I42" s="143">
        <f>'[15]Лист1'!AF36</f>
        <v>633.88066</v>
      </c>
      <c r="J42" s="119">
        <f>'[15]Лист1'!AG36</f>
        <v>2875.98</v>
      </c>
      <c r="K42" s="114">
        <f>'[15]Лист1'!AI36+'[15]Лист1'!AJ36</f>
        <v>4793.3</v>
      </c>
      <c r="L42" s="114">
        <f>'[15]Лист1'!AH36+'[15]Лист1'!AK36+'[15]Лист1'!AL36+'[15]Лист1'!AM36+'[15]Лист1'!AN36+'[15]Лист1'!AO36+'[15]Лист1'!AP36+'[15]Лист1'!AQ36+'[15]Лист1'!AR36</f>
        <v>16441.019</v>
      </c>
      <c r="M42" s="115">
        <f>'[15]Лист1'!AS36+'[15]Лист1'!AT36+'[15]Лист1'!AU36+'[15]Лист1'!AZ36+'[15]Лист1'!BA36</f>
        <v>127.98</v>
      </c>
      <c r="N42" s="115">
        <f>'[15]Лист1'!AX36</f>
        <v>434</v>
      </c>
      <c r="O42" s="117">
        <f>'[15]Лист1'!BB36</f>
        <v>24672.279</v>
      </c>
      <c r="P42" s="144">
        <f>'[15]Лист1'!BC36</f>
        <v>301.771</v>
      </c>
      <c r="Q42" s="118">
        <f>'[15]Лист1'!BD36</f>
        <v>10721.91566000001</v>
      </c>
      <c r="R42" s="118">
        <f>'[15]Лист1'!BE36</f>
        <v>-6399.960000000006</v>
      </c>
      <c r="S42" s="39"/>
      <c r="T42" s="39"/>
    </row>
    <row r="43" spans="1:20" ht="12.75">
      <c r="A43" s="53" t="s">
        <v>40</v>
      </c>
      <c r="B43" s="19">
        <f>'[15]Лист1'!B37</f>
        <v>4793.3</v>
      </c>
      <c r="C43" s="9">
        <f t="shared" si="4"/>
        <v>41462.045000000006</v>
      </c>
      <c r="D43" s="10">
        <f>'[15]Лист1'!D37</f>
        <v>54359.855</v>
      </c>
      <c r="E43" s="114">
        <f>'[15]Лист1'!S37</f>
        <v>37102.19</v>
      </c>
      <c r="F43" s="117">
        <f>'[15]Лист1'!T37</f>
        <v>0</v>
      </c>
      <c r="G43" s="119">
        <f>'[15]Лист1'!AB37</f>
        <v>38475.12</v>
      </c>
      <c r="H43" s="117">
        <f>'[15]Лист1'!AC37</f>
        <v>92834.975</v>
      </c>
      <c r="I43" s="143">
        <f>'[15]Лист1'!AF37</f>
        <v>633.88066</v>
      </c>
      <c r="J43" s="119">
        <f>'[15]Лист1'!AG37</f>
        <v>2875.98</v>
      </c>
      <c r="K43" s="114">
        <f>'[15]Лист1'!AI37+'[15]Лист1'!AJ37</f>
        <v>4793.3</v>
      </c>
      <c r="L43" s="114">
        <f>'[15]Лист1'!AH37+'[15]Лист1'!AK37+'[15]Лист1'!AL37+'[15]Лист1'!AM37+'[15]Лист1'!AN37+'[15]Лист1'!AO37+'[15]Лист1'!AP37+'[15]Лист1'!AQ37+'[15]Лист1'!AR37</f>
        <v>16441.019</v>
      </c>
      <c r="M43" s="115">
        <f>'[15]Лист1'!AS37+'[15]Лист1'!AT37+'[15]Лист1'!AU37+'[15]Лист1'!AZ37+'[15]Лист1'!BA37</f>
        <v>9645.8</v>
      </c>
      <c r="N43" s="115">
        <f>'[15]Лист1'!AX37</f>
        <v>512.75</v>
      </c>
      <c r="O43" s="117">
        <f>'[15]Лист1'!BB37</f>
        <v>34268.849</v>
      </c>
      <c r="P43" s="144">
        <f>'[15]Лист1'!BC37</f>
        <v>301.771</v>
      </c>
      <c r="Q43" s="118">
        <f>'[15]Лист1'!BD37</f>
        <v>58898.23566</v>
      </c>
      <c r="R43" s="118">
        <f>'[15]Лист1'!BE37</f>
        <v>1372.9300000000003</v>
      </c>
      <c r="S43" s="39"/>
      <c r="T43" s="39"/>
    </row>
    <row r="44" spans="1:20" ht="12.75">
      <c r="A44" s="53" t="s">
        <v>41</v>
      </c>
      <c r="B44" s="19">
        <f>'[15]Лист1'!B38</f>
        <v>4793.3</v>
      </c>
      <c r="C44" s="9">
        <f t="shared" si="4"/>
        <v>41462.045000000006</v>
      </c>
      <c r="D44" s="10">
        <f>'[15]Лист1'!D38</f>
        <v>54359.83500000001</v>
      </c>
      <c r="E44" s="114">
        <f>'[15]Лист1'!S38</f>
        <v>37102.20999999999</v>
      </c>
      <c r="F44" s="117">
        <f>'[15]Лист1'!T38</f>
        <v>0</v>
      </c>
      <c r="G44" s="119">
        <f>'[15]Лист1'!AB38</f>
        <v>31825.7</v>
      </c>
      <c r="H44" s="117">
        <f>'[15]Лист1'!AC38</f>
        <v>86185.535</v>
      </c>
      <c r="I44" s="143">
        <f>'[15]Лист1'!AF38</f>
        <v>633.88066</v>
      </c>
      <c r="J44" s="119">
        <f>'[15]Лист1'!AG38</f>
        <v>2875.98</v>
      </c>
      <c r="K44" s="114">
        <f>'[15]Лист1'!AI38+'[15]Лист1'!AJ38</f>
        <v>4793.3</v>
      </c>
      <c r="L44" s="114">
        <f>'[15]Лист1'!AH38+'[15]Лист1'!AK38+'[15]Лист1'!AL38+'[15]Лист1'!AM38+'[15]Лист1'!AN38+'[15]Лист1'!AO38+'[15]Лист1'!AP38+'[15]Лист1'!AQ38+'[15]Лист1'!AR38</f>
        <v>16441.019</v>
      </c>
      <c r="M44" s="115">
        <f>'[15]Лист1'!AS38+'[15]Лист1'!AT38+'[15]Лист1'!AU38+'[15]Лист1'!AZ38+'[15]Лист1'!BA38</f>
        <v>139054.88</v>
      </c>
      <c r="N44" s="115">
        <f>'[15]Лист1'!AX38</f>
        <v>610.75</v>
      </c>
      <c r="O44" s="117">
        <f>'[15]Лист1'!BB38</f>
        <v>163775.929</v>
      </c>
      <c r="P44" s="144">
        <f>'[15]Лист1'!BC38</f>
        <v>301.771</v>
      </c>
      <c r="Q44" s="118">
        <f>'[15]Лист1'!BD38</f>
        <v>-77258.28434</v>
      </c>
      <c r="R44" s="118">
        <f>'[15]Лист1'!BE38</f>
        <v>-5276.509999999991</v>
      </c>
      <c r="S44" s="39"/>
      <c r="T44" s="39"/>
    </row>
    <row r="45" spans="1:20" ht="12.75">
      <c r="A45" s="53" t="s">
        <v>31</v>
      </c>
      <c r="B45" s="19">
        <f>'[15]Лист1'!B39</f>
        <v>4793.3</v>
      </c>
      <c r="C45" s="9">
        <f>B45*8.65</f>
        <v>41462.045000000006</v>
      </c>
      <c r="D45" s="10">
        <f>'[15]Лист1'!D39</f>
        <v>4306.605000000003</v>
      </c>
      <c r="E45" s="114">
        <f>'[15]Лист1'!S39</f>
        <v>37155.44</v>
      </c>
      <c r="F45" s="117">
        <f>'[15]Лист1'!T39</f>
        <v>0</v>
      </c>
      <c r="G45" s="119">
        <f>'[15]Лист1'!AB39</f>
        <v>36417.17</v>
      </c>
      <c r="H45" s="117">
        <f>'[15]Лист1'!AC39</f>
        <v>40723.775</v>
      </c>
      <c r="I45" s="143">
        <f>'[15]Лист1'!AF39</f>
        <v>783.88066</v>
      </c>
      <c r="J45" s="119">
        <f>'[15]Лист1'!AG39</f>
        <v>2875.98</v>
      </c>
      <c r="K45" s="114">
        <f>'[15]Лист1'!AI39+'[15]Лист1'!AJ39</f>
        <v>4793.3</v>
      </c>
      <c r="L45" s="114">
        <f>'[15]Лист1'!AH39+'[15]Лист1'!AK39+'[15]Лист1'!AL39+'[15]Лист1'!AM39+'[15]Лист1'!AN39+'[15]Лист1'!AO39+'[15]Лист1'!AP39+'[15]Лист1'!AQ39+'[15]Лист1'!AR39</f>
        <v>16441.019</v>
      </c>
      <c r="M45" s="115">
        <f>'[15]Лист1'!AS39+'[15]Лист1'!AT39+'[15]Лист1'!AU39+'[15]Лист1'!AZ39+'[15]Лист1'!BA39</f>
        <v>3550</v>
      </c>
      <c r="N45" s="115">
        <f>'[15]Лист1'!AX39</f>
        <v>743.75</v>
      </c>
      <c r="O45" s="117">
        <f>'[15]Лист1'!BB39</f>
        <v>28404.049</v>
      </c>
      <c r="P45" s="144">
        <f>'[15]Лист1'!BC39</f>
        <v>339.271</v>
      </c>
      <c r="Q45" s="118">
        <f>'[15]Лист1'!BD39</f>
        <v>12764.335660000004</v>
      </c>
      <c r="R45" s="118">
        <f>'[15]Лист1'!BE39</f>
        <v>-738.2700000000041</v>
      </c>
      <c r="S45" s="39"/>
      <c r="T45" s="39"/>
    </row>
    <row r="46" spans="1:20" ht="12.75">
      <c r="A46" s="53" t="s">
        <v>32</v>
      </c>
      <c r="B46" s="19">
        <f>'[15]Лист1'!B40</f>
        <v>4793.3</v>
      </c>
      <c r="C46" s="9">
        <f t="shared" si="4"/>
        <v>41462.045000000006</v>
      </c>
      <c r="D46" s="10">
        <f>'[15]Лист1'!D40</f>
        <v>4292.745000000006</v>
      </c>
      <c r="E46" s="114">
        <f>'[15]Лист1'!S40</f>
        <v>37169.3</v>
      </c>
      <c r="F46" s="117">
        <f>'[15]Лист1'!T40</f>
        <v>0</v>
      </c>
      <c r="G46" s="119">
        <f>'[15]Лист1'!AB40</f>
        <v>38220.159999999996</v>
      </c>
      <c r="H46" s="117">
        <f>'[15]Лист1'!AC40</f>
        <v>42512.905</v>
      </c>
      <c r="I46" s="143">
        <f>'[15]Лист1'!AF40</f>
        <v>783.88066</v>
      </c>
      <c r="J46" s="119">
        <f>'[15]Лист1'!AG40</f>
        <v>2875.98</v>
      </c>
      <c r="K46" s="114">
        <f>'[15]Лист1'!AI40+'[15]Лист1'!AJ40</f>
        <v>4793.3</v>
      </c>
      <c r="L46" s="114">
        <f>'[15]Лист1'!AH40+'[15]Лист1'!AK40+'[15]Лист1'!AL40+'[15]Лист1'!AM40+'[15]Лист1'!AN40+'[15]Лист1'!AO40+'[15]Лист1'!AP40+'[15]Лист1'!AQ40+'[15]Лист1'!AR40</f>
        <v>16441.019</v>
      </c>
      <c r="M46" s="115">
        <f>'[15]Лист1'!AS40+'[15]Лист1'!AT40+'[15]Лист1'!AU40+'[15]Лист1'!AZ40+'[15]Лист1'!BA40</f>
        <v>1276</v>
      </c>
      <c r="N46" s="115">
        <f>'[15]Лист1'!AX40</f>
        <v>822.5</v>
      </c>
      <c r="O46" s="117">
        <f>'[15]Лист1'!BB40</f>
        <v>26208.799</v>
      </c>
      <c r="P46" s="144">
        <f>'[15]Лист1'!BC40</f>
        <v>339.271</v>
      </c>
      <c r="Q46" s="118">
        <f>'[15]Лист1'!BD40</f>
        <v>16748.71566</v>
      </c>
      <c r="R46" s="118">
        <f>'[15]Лист1'!BE40</f>
        <v>1050.8599999999933</v>
      </c>
      <c r="S46" s="39"/>
      <c r="T46" s="39"/>
    </row>
    <row r="47" spans="1:20" ht="13.5" thickBot="1">
      <c r="A47" s="145" t="s">
        <v>106</v>
      </c>
      <c r="B47" s="19">
        <f>'[15]Лист1'!B41</f>
        <v>4793.3</v>
      </c>
      <c r="C47" s="146">
        <f t="shared" si="4"/>
        <v>41462.045000000006</v>
      </c>
      <c r="D47" s="10">
        <f>'[15]Лист1'!D41</f>
        <v>4305.915000000006</v>
      </c>
      <c r="E47" s="114">
        <f>'[15]Лист1'!S41</f>
        <v>37156.13</v>
      </c>
      <c r="F47" s="117">
        <f>'[15]Лист1'!T41</f>
        <v>0</v>
      </c>
      <c r="G47" s="119">
        <f>'[15]Лист1'!AB41</f>
        <v>42418.21</v>
      </c>
      <c r="H47" s="117">
        <f>'[15]Лист1'!AC41</f>
        <v>46724.12500000001</v>
      </c>
      <c r="I47" s="143">
        <f>'[15]Лист1'!AF41</f>
        <v>783.88066</v>
      </c>
      <c r="J47" s="119">
        <f>'[15]Лист1'!AG41</f>
        <v>2875.98</v>
      </c>
      <c r="K47" s="114">
        <f>'[15]Лист1'!AI41+'[15]Лист1'!AJ41</f>
        <v>4793.3</v>
      </c>
      <c r="L47" s="114">
        <f>'[15]Лист1'!AH41+'[15]Лист1'!AK41+'[15]Лист1'!AL41+'[15]Лист1'!AM41+'[15]Лист1'!AN41+'[15]Лист1'!AO41+'[15]Лист1'!AP41+'[15]Лист1'!AQ41+'[15]Лист1'!AR41</f>
        <v>16441.019</v>
      </c>
      <c r="M47" s="115">
        <f>'[15]Лист1'!AS41+'[15]Лист1'!AT41+'[15]Лист1'!AU41+'[15]Лист1'!AZ41+'[15]Лист1'!BA41</f>
        <v>4211.0778</v>
      </c>
      <c r="N47" s="115">
        <f>'[15]Лист1'!AX41</f>
        <v>899.4999999999999</v>
      </c>
      <c r="O47" s="117">
        <f>'[15]Лист1'!BB41</f>
        <v>29220.8768</v>
      </c>
      <c r="P47" s="144">
        <f>'[15]Лист1'!BC41</f>
        <v>339.271</v>
      </c>
      <c r="Q47" s="118">
        <f>'[15]Лист1'!BD41</f>
        <v>17947.85786000001</v>
      </c>
      <c r="R47" s="118">
        <f>'[15]Лист1'!BE41</f>
        <v>5262.080000000002</v>
      </c>
      <c r="S47" s="39"/>
      <c r="T47" s="39"/>
    </row>
    <row r="48" spans="1:20" s="3" customFormat="1" ht="13.5" thickBot="1">
      <c r="A48" s="11" t="s">
        <v>4</v>
      </c>
      <c r="B48" s="147"/>
      <c r="C48" s="148">
        <f aca="true" t="shared" si="5" ref="C48:R48">SUM(C36:C47)</f>
        <v>497544.54</v>
      </c>
      <c r="D48" s="149">
        <f t="shared" si="5"/>
        <v>151873.95000000007</v>
      </c>
      <c r="E48" s="148">
        <f t="shared" si="5"/>
        <v>414270.39</v>
      </c>
      <c r="F48" s="150">
        <f t="shared" si="5"/>
        <v>31400.199999999997</v>
      </c>
      <c r="G48" s="149">
        <f t="shared" si="5"/>
        <v>392470.32999999996</v>
      </c>
      <c r="H48" s="150">
        <f t="shared" si="5"/>
        <v>575744.4800000002</v>
      </c>
      <c r="I48" s="150">
        <f t="shared" si="5"/>
        <v>8056.567919999999</v>
      </c>
      <c r="J48" s="149">
        <f t="shared" si="5"/>
        <v>34511.76</v>
      </c>
      <c r="K48" s="148">
        <f t="shared" si="5"/>
        <v>57519.60000000001</v>
      </c>
      <c r="L48" s="148">
        <f t="shared" si="5"/>
        <v>203561.088</v>
      </c>
      <c r="M48" s="148">
        <f t="shared" si="5"/>
        <v>263956.7378</v>
      </c>
      <c r="N48" s="148">
        <f t="shared" si="5"/>
        <v>7700</v>
      </c>
      <c r="O48" s="150">
        <f t="shared" si="5"/>
        <v>567249.1857999999</v>
      </c>
      <c r="P48" s="150">
        <f t="shared" si="5"/>
        <v>3733.752000000001</v>
      </c>
      <c r="Q48" s="151">
        <f t="shared" si="5"/>
        <v>12818.110120000085</v>
      </c>
      <c r="R48" s="151">
        <f t="shared" si="5"/>
        <v>-21800.06</v>
      </c>
      <c r="S48" s="94"/>
      <c r="T48" s="94"/>
    </row>
    <row r="49" spans="1:20" ht="13.5" thickBot="1">
      <c r="A49" s="314" t="s">
        <v>64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105"/>
      <c r="S49" s="39"/>
      <c r="T49" s="39"/>
    </row>
    <row r="50" spans="1:20" s="3" customFormat="1" ht="13.5" thickBot="1">
      <c r="A50" s="107" t="s">
        <v>90</v>
      </c>
      <c r="B50" s="108"/>
      <c r="C50" s="14">
        <f>C34+C48</f>
        <v>1119365.3599999999</v>
      </c>
      <c r="D50" s="153">
        <f aca="true" t="shared" si="6" ref="D50:O50">D34+D48</f>
        <v>237331.0326868001</v>
      </c>
      <c r="E50" s="108">
        <f t="shared" si="6"/>
        <v>865584.15</v>
      </c>
      <c r="F50" s="14">
        <f t="shared" si="6"/>
        <v>108420.78</v>
      </c>
      <c r="G50" s="153">
        <f t="shared" si="6"/>
        <v>786401.79</v>
      </c>
      <c r="H50" s="14">
        <f t="shared" si="6"/>
        <v>1132153.6026868003</v>
      </c>
      <c r="I50" s="14">
        <f t="shared" si="6"/>
        <v>11859.851879999998</v>
      </c>
      <c r="J50" s="153">
        <f t="shared" si="6"/>
        <v>76493.832</v>
      </c>
      <c r="K50" s="108">
        <f t="shared" si="6"/>
        <v>126982.70741210502</v>
      </c>
      <c r="L50" s="108">
        <f t="shared" si="6"/>
        <v>466295.8389538702</v>
      </c>
      <c r="M50" s="108">
        <f t="shared" si="6"/>
        <v>422980.2502</v>
      </c>
      <c r="N50" s="108">
        <f t="shared" si="6"/>
        <v>14968.8</v>
      </c>
      <c r="O50" s="154">
        <f t="shared" si="6"/>
        <v>1107721.428565975</v>
      </c>
      <c r="P50" s="154">
        <f>P34+P48</f>
        <v>5538.023344233401</v>
      </c>
      <c r="Q50" s="155">
        <f>Q34+Q48</f>
        <v>30754.00265659152</v>
      </c>
      <c r="R50" s="155">
        <f>R34+R48</f>
        <v>-79182.35999999999</v>
      </c>
      <c r="S50" s="109"/>
      <c r="T50" s="94"/>
    </row>
    <row r="52" spans="19:20" ht="12.75">
      <c r="S52" s="39"/>
      <c r="T52" s="39"/>
    </row>
    <row r="53" spans="1:20" ht="12.75">
      <c r="A53" s="3"/>
      <c r="D53" s="21"/>
      <c r="S53" s="39"/>
      <c r="T53" s="39"/>
    </row>
    <row r="54" spans="1:20" ht="12.75">
      <c r="A54" s="39"/>
      <c r="B54" s="39"/>
      <c r="C54" s="316"/>
      <c r="D54" s="316"/>
      <c r="S54" s="39"/>
      <c r="T54" s="39"/>
    </row>
    <row r="55" spans="1:20" ht="12.75">
      <c r="A55" s="221"/>
      <c r="B55" s="221"/>
      <c r="C55" s="313"/>
      <c r="D55" s="313"/>
      <c r="S55" s="39"/>
      <c r="T55" s="39"/>
    </row>
    <row r="56" spans="1:20" ht="12.75">
      <c r="A56" s="15"/>
      <c r="S56" s="39"/>
      <c r="T56" s="39"/>
    </row>
    <row r="57" spans="19:20" ht="12.75">
      <c r="S57" s="39"/>
      <c r="T57" s="39"/>
    </row>
    <row r="58" ht="12.75">
      <c r="A58" s="39"/>
    </row>
    <row r="59" ht="12.75">
      <c r="A59" s="39"/>
    </row>
  </sheetData>
  <sheetProtection/>
  <mergeCells count="29">
    <mergeCell ref="C55:D55"/>
    <mergeCell ref="M11:M12"/>
    <mergeCell ref="N11:N12"/>
    <mergeCell ref="O11:O12"/>
    <mergeCell ref="A33:Q33"/>
    <mergeCell ref="A49:Q49"/>
    <mergeCell ref="C54:D54"/>
    <mergeCell ref="I9:I12"/>
    <mergeCell ref="J9:O10"/>
    <mergeCell ref="P9:P12"/>
    <mergeCell ref="Q9:Q12"/>
    <mergeCell ref="R9:R12"/>
    <mergeCell ref="E11:F11"/>
    <mergeCell ref="H11:H12"/>
    <mergeCell ref="J11:J12"/>
    <mergeCell ref="K11:K12"/>
    <mergeCell ref="L11:L12"/>
    <mergeCell ref="A9:A12"/>
    <mergeCell ref="B9:B12"/>
    <mergeCell ref="C9:C12"/>
    <mergeCell ref="D9:D12"/>
    <mergeCell ref="E9:F10"/>
    <mergeCell ref="G9:H10"/>
    <mergeCell ref="B1:H1"/>
    <mergeCell ref="B2:H2"/>
    <mergeCell ref="A5:Q5"/>
    <mergeCell ref="A6:G6"/>
    <mergeCell ref="A8:D8"/>
    <mergeCell ref="E8:F8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4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19" sqref="BB19"/>
    </sheetView>
  </sheetViews>
  <sheetFormatPr defaultColWidth="9.00390625" defaultRowHeight="12.75"/>
  <cols>
    <col min="1" max="1" width="8.75390625" style="37" bestFit="1" customWidth="1"/>
    <col min="2" max="2" width="9.125" style="37" customWidth="1"/>
    <col min="3" max="3" width="11.375" style="37" customWidth="1"/>
    <col min="4" max="4" width="10.375" style="37" customWidth="1"/>
    <col min="5" max="6" width="9.125" style="37" customWidth="1"/>
    <col min="7" max="7" width="10.25390625" style="37" customWidth="1"/>
    <col min="8" max="8" width="9.125" style="37" customWidth="1"/>
    <col min="9" max="9" width="9.875" style="37" customWidth="1"/>
    <col min="10" max="10" width="9.125" style="37" customWidth="1"/>
    <col min="11" max="11" width="10.375" style="37" customWidth="1"/>
    <col min="12" max="12" width="9.125" style="37" customWidth="1"/>
    <col min="13" max="13" width="10.125" style="37" bestFit="1" customWidth="1"/>
    <col min="14" max="14" width="9.125" style="37" customWidth="1"/>
    <col min="15" max="15" width="10.125" style="37" bestFit="1" customWidth="1"/>
    <col min="16" max="18" width="9.125" style="37" customWidth="1"/>
    <col min="19" max="19" width="10.125" style="37" bestFit="1" customWidth="1"/>
    <col min="20" max="20" width="10.125" style="37" customWidth="1"/>
    <col min="21" max="21" width="10.125" style="37" bestFit="1" customWidth="1"/>
    <col min="22" max="22" width="10.25390625" style="37" customWidth="1"/>
    <col min="23" max="23" width="10.625" style="37" customWidth="1"/>
    <col min="24" max="24" width="10.125" style="37" customWidth="1"/>
    <col min="25" max="28" width="10.125" style="37" bestFit="1" customWidth="1"/>
    <col min="29" max="30" width="11.375" style="37" customWidth="1"/>
    <col min="31" max="31" width="9.25390625" style="37" bestFit="1" customWidth="1"/>
    <col min="32" max="32" width="10.125" style="37" bestFit="1" customWidth="1"/>
    <col min="33" max="33" width="11.75390625" style="37" customWidth="1"/>
    <col min="34" max="35" width="9.25390625" style="37" bestFit="1" customWidth="1"/>
    <col min="36" max="36" width="10.875" style="37" customWidth="1"/>
    <col min="37" max="38" width="9.25390625" style="37" bestFit="1" customWidth="1"/>
    <col min="39" max="39" width="10.125" style="37" bestFit="1" customWidth="1"/>
    <col min="40" max="40" width="9.25390625" style="37" bestFit="1" customWidth="1"/>
    <col min="41" max="42" width="10.125" style="37" bestFit="1" customWidth="1"/>
    <col min="43" max="44" width="9.25390625" style="37" customWidth="1"/>
    <col min="45" max="45" width="10.125" style="37" bestFit="1" customWidth="1"/>
    <col min="46" max="46" width="11.625" style="37" customWidth="1"/>
    <col min="47" max="47" width="10.875" style="37" customWidth="1"/>
    <col min="48" max="48" width="10.625" style="37" customWidth="1"/>
    <col min="49" max="49" width="10.25390625" style="37" customWidth="1"/>
    <col min="50" max="50" width="10.625" style="37" customWidth="1"/>
    <col min="51" max="51" width="9.25390625" style="37" bestFit="1" customWidth="1"/>
    <col min="52" max="53" width="10.125" style="37" bestFit="1" customWidth="1"/>
    <col min="54" max="54" width="11.625" style="37" customWidth="1"/>
    <col min="55" max="55" width="11.75390625" style="37" customWidth="1"/>
    <col min="56" max="56" width="11.375" style="37" customWidth="1"/>
    <col min="57" max="57" width="14.00390625" style="37" customWidth="1"/>
    <col min="58" max="58" width="11.00390625" style="37" customWidth="1"/>
    <col min="59" max="59" width="10.625" style="37" customWidth="1"/>
    <col min="60" max="16384" width="9.125" style="37" customWidth="1"/>
  </cols>
  <sheetData>
    <row r="1" spans="1:18" ht="21" customHeight="1">
      <c r="A1" s="232" t="s">
        <v>66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39"/>
      <c r="P1" s="39"/>
      <c r="Q1" s="39"/>
      <c r="R1" s="39"/>
    </row>
    <row r="2" spans="1:18" ht="13.5" thickBot="1">
      <c r="A2" s="39"/>
      <c r="B2" s="40"/>
      <c r="C2" s="41"/>
      <c r="D2" s="4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59" ht="29.25" customHeight="1" thickBot="1">
      <c r="A3" s="324" t="s">
        <v>0</v>
      </c>
      <c r="B3" s="326" t="s">
        <v>1</v>
      </c>
      <c r="C3" s="328" t="s">
        <v>2</v>
      </c>
      <c r="D3" s="330" t="s">
        <v>3</v>
      </c>
      <c r="E3" s="324" t="s">
        <v>67</v>
      </c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295"/>
      <c r="S3" s="324"/>
      <c r="T3" s="332"/>
      <c r="U3" s="324" t="s">
        <v>4</v>
      </c>
      <c r="V3" s="332"/>
      <c r="W3" s="336" t="s">
        <v>5</v>
      </c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8"/>
      <c r="AJ3" s="342" t="s">
        <v>65</v>
      </c>
      <c r="AK3" s="345" t="s">
        <v>7</v>
      </c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7"/>
      <c r="BF3" s="351" t="s">
        <v>8</v>
      </c>
      <c r="BG3" s="358" t="s">
        <v>9</v>
      </c>
    </row>
    <row r="4" spans="1:59" ht="51.75" customHeight="1" hidden="1" thickBot="1">
      <c r="A4" s="325"/>
      <c r="B4" s="327"/>
      <c r="C4" s="329"/>
      <c r="D4" s="331"/>
      <c r="E4" s="325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06"/>
      <c r="S4" s="334"/>
      <c r="T4" s="335"/>
      <c r="U4" s="334"/>
      <c r="V4" s="335"/>
      <c r="W4" s="339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1"/>
      <c r="AJ4" s="343"/>
      <c r="AK4" s="348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50"/>
      <c r="BF4" s="352"/>
      <c r="BG4" s="359"/>
    </row>
    <row r="5" spans="1:61" ht="19.5" customHeight="1">
      <c r="A5" s="325"/>
      <c r="B5" s="327"/>
      <c r="C5" s="329"/>
      <c r="D5" s="331"/>
      <c r="E5" s="361" t="s">
        <v>10</v>
      </c>
      <c r="F5" s="362"/>
      <c r="G5" s="361" t="s">
        <v>68</v>
      </c>
      <c r="H5" s="362"/>
      <c r="I5" s="361" t="s">
        <v>11</v>
      </c>
      <c r="J5" s="362"/>
      <c r="K5" s="361" t="s">
        <v>13</v>
      </c>
      <c r="L5" s="362"/>
      <c r="M5" s="361" t="s">
        <v>12</v>
      </c>
      <c r="N5" s="362"/>
      <c r="O5" s="365" t="s">
        <v>14</v>
      </c>
      <c r="P5" s="365"/>
      <c r="Q5" s="361" t="s">
        <v>69</v>
      </c>
      <c r="R5" s="362"/>
      <c r="S5" s="365" t="s">
        <v>70</v>
      </c>
      <c r="T5" s="362"/>
      <c r="U5" s="368" t="s">
        <v>16</v>
      </c>
      <c r="V5" s="354" t="s">
        <v>17</v>
      </c>
      <c r="W5" s="356" t="s">
        <v>18</v>
      </c>
      <c r="X5" s="356" t="s">
        <v>71</v>
      </c>
      <c r="Y5" s="356" t="s">
        <v>19</v>
      </c>
      <c r="Z5" s="356" t="s">
        <v>21</v>
      </c>
      <c r="AA5" s="356" t="s">
        <v>20</v>
      </c>
      <c r="AB5" s="356" t="s">
        <v>22</v>
      </c>
      <c r="AC5" s="356" t="s">
        <v>23</v>
      </c>
      <c r="AD5" s="370" t="s">
        <v>24</v>
      </c>
      <c r="AE5" s="370" t="s">
        <v>72</v>
      </c>
      <c r="AF5" s="372" t="s">
        <v>25</v>
      </c>
      <c r="AG5" s="374" t="s">
        <v>73</v>
      </c>
      <c r="AH5" s="376" t="s">
        <v>60</v>
      </c>
      <c r="AI5" s="378" t="s">
        <v>61</v>
      </c>
      <c r="AJ5" s="343"/>
      <c r="AK5" s="380" t="s">
        <v>74</v>
      </c>
      <c r="AL5" s="382" t="s">
        <v>75</v>
      </c>
      <c r="AM5" s="382" t="s">
        <v>76</v>
      </c>
      <c r="AN5" s="384" t="s">
        <v>77</v>
      </c>
      <c r="AO5" s="382" t="s">
        <v>78</v>
      </c>
      <c r="AP5" s="384" t="s">
        <v>79</v>
      </c>
      <c r="AQ5" s="384" t="s">
        <v>80</v>
      </c>
      <c r="AR5" s="384" t="s">
        <v>81</v>
      </c>
      <c r="AS5" s="384" t="s">
        <v>82</v>
      </c>
      <c r="AT5" s="384" t="s">
        <v>27</v>
      </c>
      <c r="AU5" s="273" t="s">
        <v>83</v>
      </c>
      <c r="AV5" s="271" t="s">
        <v>84</v>
      </c>
      <c r="AW5" s="273" t="s">
        <v>85</v>
      </c>
      <c r="AX5" s="275" t="s">
        <v>86</v>
      </c>
      <c r="AY5" s="34"/>
      <c r="AZ5" s="386" t="s">
        <v>15</v>
      </c>
      <c r="BA5" s="384" t="s">
        <v>29</v>
      </c>
      <c r="BB5" s="384" t="s">
        <v>26</v>
      </c>
      <c r="BC5" s="388" t="s">
        <v>30</v>
      </c>
      <c r="BD5" s="390" t="s">
        <v>87</v>
      </c>
      <c r="BE5" s="384" t="s">
        <v>88</v>
      </c>
      <c r="BF5" s="352"/>
      <c r="BG5" s="359"/>
      <c r="BH5" s="42"/>
      <c r="BI5" s="38"/>
    </row>
    <row r="6" spans="1:61" ht="56.25" customHeight="1" thickBot="1">
      <c r="A6" s="325"/>
      <c r="B6" s="327"/>
      <c r="C6" s="329"/>
      <c r="D6" s="331"/>
      <c r="E6" s="363"/>
      <c r="F6" s="364"/>
      <c r="G6" s="363"/>
      <c r="H6" s="364"/>
      <c r="I6" s="363"/>
      <c r="J6" s="364"/>
      <c r="K6" s="363"/>
      <c r="L6" s="364"/>
      <c r="M6" s="363"/>
      <c r="N6" s="364"/>
      <c r="O6" s="366"/>
      <c r="P6" s="366"/>
      <c r="Q6" s="363"/>
      <c r="R6" s="364"/>
      <c r="S6" s="367"/>
      <c r="T6" s="364"/>
      <c r="U6" s="369"/>
      <c r="V6" s="355"/>
      <c r="W6" s="357"/>
      <c r="X6" s="357"/>
      <c r="Y6" s="357"/>
      <c r="Z6" s="357"/>
      <c r="AA6" s="357"/>
      <c r="AB6" s="357"/>
      <c r="AC6" s="357"/>
      <c r="AD6" s="371"/>
      <c r="AE6" s="371"/>
      <c r="AF6" s="373"/>
      <c r="AG6" s="375"/>
      <c r="AH6" s="377"/>
      <c r="AI6" s="379"/>
      <c r="AJ6" s="344"/>
      <c r="AK6" s="381"/>
      <c r="AL6" s="383"/>
      <c r="AM6" s="383"/>
      <c r="AN6" s="385"/>
      <c r="AO6" s="383"/>
      <c r="AP6" s="385"/>
      <c r="AQ6" s="385"/>
      <c r="AR6" s="385"/>
      <c r="AS6" s="385"/>
      <c r="AT6" s="385"/>
      <c r="AU6" s="274"/>
      <c r="AV6" s="272"/>
      <c r="AW6" s="274"/>
      <c r="AX6" s="276"/>
      <c r="AY6" s="35" t="s">
        <v>89</v>
      </c>
      <c r="AZ6" s="387"/>
      <c r="BA6" s="385"/>
      <c r="BB6" s="385"/>
      <c r="BC6" s="389"/>
      <c r="BD6" s="391"/>
      <c r="BE6" s="385"/>
      <c r="BF6" s="353"/>
      <c r="BG6" s="360"/>
      <c r="BH6" s="42"/>
      <c r="BI6" s="38"/>
    </row>
    <row r="7" spans="1:61" ht="19.5" customHeight="1" thickBot="1">
      <c r="A7" s="43">
        <v>1</v>
      </c>
      <c r="B7" s="44">
        <v>2</v>
      </c>
      <c r="C7" s="44">
        <v>3</v>
      </c>
      <c r="D7" s="43">
        <v>4</v>
      </c>
      <c r="E7" s="44">
        <v>5</v>
      </c>
      <c r="F7" s="44">
        <v>6</v>
      </c>
      <c r="G7" s="43">
        <v>7</v>
      </c>
      <c r="H7" s="44">
        <v>8</v>
      </c>
      <c r="I7" s="44">
        <v>9</v>
      </c>
      <c r="J7" s="43">
        <v>10</v>
      </c>
      <c r="K7" s="44">
        <v>11</v>
      </c>
      <c r="L7" s="44">
        <v>12</v>
      </c>
      <c r="M7" s="43">
        <v>13</v>
      </c>
      <c r="N7" s="44">
        <v>14</v>
      </c>
      <c r="O7" s="44">
        <v>15</v>
      </c>
      <c r="P7" s="43">
        <v>16</v>
      </c>
      <c r="Q7" s="44">
        <v>17</v>
      </c>
      <c r="R7" s="44">
        <v>18</v>
      </c>
      <c r="S7" s="43">
        <v>19</v>
      </c>
      <c r="T7" s="44">
        <v>20</v>
      </c>
      <c r="U7" s="44">
        <v>21</v>
      </c>
      <c r="V7" s="43">
        <v>22</v>
      </c>
      <c r="W7" s="44">
        <v>23</v>
      </c>
      <c r="X7" s="43">
        <v>24</v>
      </c>
      <c r="Y7" s="44">
        <v>25</v>
      </c>
      <c r="Z7" s="43">
        <v>26</v>
      </c>
      <c r="AA7" s="44">
        <v>27</v>
      </c>
      <c r="AB7" s="43">
        <v>28</v>
      </c>
      <c r="AC7" s="44">
        <v>29</v>
      </c>
      <c r="AD7" s="43">
        <v>30</v>
      </c>
      <c r="AE7" s="43">
        <v>31</v>
      </c>
      <c r="AF7" s="44">
        <v>32</v>
      </c>
      <c r="AG7" s="43">
        <v>33</v>
      </c>
      <c r="AH7" s="44">
        <v>34</v>
      </c>
      <c r="AI7" s="43">
        <v>35</v>
      </c>
      <c r="AJ7" s="44">
        <v>36</v>
      </c>
      <c r="AK7" s="43">
        <v>37</v>
      </c>
      <c r="AL7" s="44">
        <v>38</v>
      </c>
      <c r="AM7" s="43">
        <v>39</v>
      </c>
      <c r="AN7" s="43">
        <v>40</v>
      </c>
      <c r="AO7" s="44">
        <v>41</v>
      </c>
      <c r="AP7" s="43">
        <v>42</v>
      </c>
      <c r="AQ7" s="44">
        <v>43</v>
      </c>
      <c r="AR7" s="43"/>
      <c r="AS7" s="43">
        <v>44</v>
      </c>
      <c r="AT7" s="44">
        <v>45</v>
      </c>
      <c r="AU7" s="43">
        <v>46</v>
      </c>
      <c r="AV7" s="44">
        <v>47</v>
      </c>
      <c r="AW7" s="43">
        <v>48</v>
      </c>
      <c r="AX7" s="43">
        <v>49</v>
      </c>
      <c r="AY7" s="44"/>
      <c r="AZ7" s="44">
        <v>50</v>
      </c>
      <c r="BA7" s="44">
        <v>51</v>
      </c>
      <c r="BB7" s="44">
        <v>52</v>
      </c>
      <c r="BC7" s="44">
        <v>53</v>
      </c>
      <c r="BD7" s="44">
        <v>54</v>
      </c>
      <c r="BE7" s="44"/>
      <c r="BF7" s="44">
        <v>55</v>
      </c>
      <c r="BG7" s="44">
        <v>56</v>
      </c>
      <c r="BH7" s="38"/>
      <c r="BI7" s="38"/>
    </row>
    <row r="8" spans="1:59" s="3" customFormat="1" ht="13.5" thickBot="1">
      <c r="A8" s="45" t="s">
        <v>90</v>
      </c>
      <c r="B8" s="46"/>
      <c r="C8" s="46">
        <f>Лист1!C44</f>
        <v>1119365.3599999999</v>
      </c>
      <c r="D8" s="46">
        <f>Лист1!D44</f>
        <v>237331.0326868001</v>
      </c>
      <c r="E8" s="46">
        <f>Лист1!E44</f>
        <v>99940.88</v>
      </c>
      <c r="F8" s="46">
        <f>Лист1!F44</f>
        <v>12518.470000000001</v>
      </c>
      <c r="G8" s="46">
        <f>0</f>
        <v>0</v>
      </c>
      <c r="H8" s="46">
        <f>0</f>
        <v>0</v>
      </c>
      <c r="I8" s="46">
        <f>Лист1!G44</f>
        <v>135285.33000000002</v>
      </c>
      <c r="J8" s="46">
        <f>Лист1!H44</f>
        <v>16946.04</v>
      </c>
      <c r="K8" s="46">
        <f>Лист1!K44</f>
        <v>225232.05</v>
      </c>
      <c r="L8" s="46">
        <f>Лист1!L44</f>
        <v>28212.809999999998</v>
      </c>
      <c r="M8" s="46">
        <f>Лист1!I44</f>
        <v>325174.47</v>
      </c>
      <c r="N8" s="46">
        <f>Лист1!J44</f>
        <v>40729.14</v>
      </c>
      <c r="O8" s="46">
        <f>'[7]Лист1'!M42</f>
        <v>69077.97</v>
      </c>
      <c r="P8" s="46">
        <f>'[7]Лист1'!N42</f>
        <v>9964.18</v>
      </c>
      <c r="Q8" s="46">
        <f>'[8]Лист1'!O44</f>
        <v>0</v>
      </c>
      <c r="R8" s="46">
        <f>'[8]Лист1'!P44</f>
        <v>0</v>
      </c>
      <c r="S8" s="46">
        <f>'[8]Лист1'!Q44</f>
        <v>0</v>
      </c>
      <c r="T8" s="46">
        <f>'[8]Лист1'!R44</f>
        <v>0</v>
      </c>
      <c r="U8" s="46">
        <f>Лист1!S44</f>
        <v>865584.15</v>
      </c>
      <c r="V8" s="46">
        <f>Лист1!T44</f>
        <v>108420.78</v>
      </c>
      <c r="W8" s="46">
        <f>Лист1!U44</f>
        <v>90416.34</v>
      </c>
      <c r="X8" s="46">
        <v>0</v>
      </c>
      <c r="Y8" s="46">
        <f>Лист1!V44</f>
        <v>122971.15</v>
      </c>
      <c r="Z8" s="46">
        <f>Лист1!X44</f>
        <v>204744.76</v>
      </c>
      <c r="AA8" s="46">
        <f>Лист1!W44</f>
        <v>295537.53</v>
      </c>
      <c r="AB8" s="46">
        <f>Лист1!Y44</f>
        <v>72732.01000000001</v>
      </c>
      <c r="AC8" s="46">
        <f>'[7]Лист1'!Z42</f>
        <v>0</v>
      </c>
      <c r="AD8" s="46">
        <f>'[7]Лист1'!AA42</f>
        <v>0</v>
      </c>
      <c r="AE8" s="46">
        <f>0</f>
        <v>0</v>
      </c>
      <c r="AF8" s="46">
        <f>Лист1!AB44</f>
        <v>786401.79</v>
      </c>
      <c r="AG8" s="46">
        <f>Лист1!AC44</f>
        <v>1132153.6026868003</v>
      </c>
      <c r="AH8" s="46">
        <f>'[7]Лист1'!AD42</f>
        <v>0</v>
      </c>
      <c r="AI8" s="46">
        <f>'[7]Лист1'!AE42</f>
        <v>0</v>
      </c>
      <c r="AJ8" s="46">
        <f>Лист1!AF44</f>
        <v>11859.851879999998</v>
      </c>
      <c r="AK8" s="46">
        <f>Лист1!AG44</f>
        <v>76493.832</v>
      </c>
      <c r="AL8" s="46">
        <f>Лист1!AH44</f>
        <v>25631.675291600004</v>
      </c>
      <c r="AM8" s="46">
        <f>Лист1!AI44+Лист1!AJ44</f>
        <v>126982.70741210501</v>
      </c>
      <c r="AN8" s="46">
        <v>0</v>
      </c>
      <c r="AO8" s="46">
        <f>Лист1!AK44+Лист1!AL44</f>
        <v>126654.08960257139</v>
      </c>
      <c r="AP8" s="46">
        <f>Лист1!AM44+Лист1!AN44</f>
        <v>283337.3626596988</v>
      </c>
      <c r="AQ8" s="46">
        <v>0</v>
      </c>
      <c r="AR8" s="46">
        <v>0</v>
      </c>
      <c r="AS8" s="46">
        <v>0</v>
      </c>
      <c r="AT8" s="46">
        <f>Лист1!AO44+Лист1!AP44</f>
        <v>6268.86</v>
      </c>
      <c r="AU8" s="46">
        <f>Лист1!AS44+Лист1!AU44</f>
        <v>278961.0002</v>
      </c>
      <c r="AV8" s="46">
        <v>0</v>
      </c>
      <c r="AW8" s="46">
        <f>Лист1!AT44</f>
        <v>144019.25</v>
      </c>
      <c r="AX8" s="46">
        <f>Лист1!AQ44+Лист1!AR44</f>
        <v>24403.8514</v>
      </c>
      <c r="AY8" s="47">
        <f>Лист1!AX44</f>
        <v>27953.69</v>
      </c>
      <c r="AZ8" s="47">
        <f>'[8]Лист1'!AY44</f>
        <v>0</v>
      </c>
      <c r="BA8" s="47">
        <v>0</v>
      </c>
      <c r="BB8" s="47">
        <v>0</v>
      </c>
      <c r="BC8" s="47">
        <f>Лист1!BB44</f>
        <v>1120706.318565975</v>
      </c>
      <c r="BD8" s="46">
        <f>Лист1!BC44</f>
        <v>5538.023344233401</v>
      </c>
      <c r="BE8" s="46">
        <f>BC8+BD8</f>
        <v>1126244.3419102083</v>
      </c>
      <c r="BF8" s="49">
        <f>Лист1!BD44</f>
        <v>17769.112656591522</v>
      </c>
      <c r="BG8" s="49">
        <f>Лист1!BE44</f>
        <v>-79182.35999999999</v>
      </c>
    </row>
    <row r="9" spans="1:59" ht="12.75">
      <c r="A9" s="1" t="s">
        <v>91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207" t="s">
        <v>123</v>
      </c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49"/>
      <c r="BG9" s="50"/>
    </row>
    <row r="10" spans="1:69" ht="12.75">
      <c r="A10" s="53" t="s">
        <v>33</v>
      </c>
      <c r="B10" s="54">
        <v>4793.3</v>
      </c>
      <c r="C10" s="18">
        <f>B10*8.55</f>
        <v>40982.715000000004</v>
      </c>
      <c r="D10" s="16">
        <v>210.43</v>
      </c>
      <c r="E10" s="27">
        <v>0</v>
      </c>
      <c r="F10" s="27">
        <v>0</v>
      </c>
      <c r="G10" s="25">
        <v>25149.99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11966.23</v>
      </c>
      <c r="N10" s="25">
        <v>0</v>
      </c>
      <c r="O10" s="25">
        <v>4149.5</v>
      </c>
      <c r="P10" s="27">
        <v>0</v>
      </c>
      <c r="Q10" s="55">
        <v>0</v>
      </c>
      <c r="R10" s="56">
        <v>0</v>
      </c>
      <c r="S10" s="77">
        <v>0</v>
      </c>
      <c r="T10" s="71">
        <v>0</v>
      </c>
      <c r="U10" s="57">
        <f>E10+G10+I10+K10+M10+O10+Q10+S10</f>
        <v>41265.72</v>
      </c>
      <c r="V10" s="58">
        <f>F10+H10+J10+L10+N10+P10+R10+T10</f>
        <v>0</v>
      </c>
      <c r="W10" s="25">
        <v>3705.17</v>
      </c>
      <c r="X10" s="25"/>
      <c r="Y10" s="25">
        <v>5019.99</v>
      </c>
      <c r="Z10" s="25">
        <v>8354.76</v>
      </c>
      <c r="AA10" s="25">
        <v>12059.99</v>
      </c>
      <c r="AB10" s="25">
        <v>2964.141</v>
      </c>
      <c r="AC10" s="25">
        <v>0</v>
      </c>
      <c r="AD10" s="27">
        <v>0</v>
      </c>
      <c r="AE10" s="59">
        <v>0</v>
      </c>
      <c r="AF10" s="59">
        <f>SUM(W10:AE10)</f>
        <v>32104.050999999996</v>
      </c>
      <c r="AG10" s="60">
        <f>AF10+V10+D10</f>
        <v>32314.480999999996</v>
      </c>
      <c r="AH10" s="61">
        <f>AC10</f>
        <v>0</v>
      </c>
      <c r="AI10" s="61">
        <f>AD10</f>
        <v>0</v>
      </c>
      <c r="AJ10" s="28">
        <f>'[9]Т01'!$I$82+'[9]Т01'!$I$165</f>
        <v>747.546</v>
      </c>
      <c r="AK10" s="29">
        <f>0.67*B10</f>
        <v>3211.5110000000004</v>
      </c>
      <c r="AL10" s="29">
        <f>B10*0.2</f>
        <v>958.6600000000001</v>
      </c>
      <c r="AM10" s="29">
        <f>B10*1</f>
        <v>4793.3</v>
      </c>
      <c r="AN10" s="29">
        <f>B10*0.21</f>
        <v>1006.593</v>
      </c>
      <c r="AO10" s="29">
        <f>2.02*B10</f>
        <v>9682.466</v>
      </c>
      <c r="AP10" s="29">
        <f>B10*1.03</f>
        <v>4937.099</v>
      </c>
      <c r="AQ10" s="29">
        <f>B10*0.75</f>
        <v>3594.9750000000004</v>
      </c>
      <c r="AR10" s="29">
        <f>B10*0.75</f>
        <v>3594.9750000000004</v>
      </c>
      <c r="AS10" s="29">
        <f>B10*1.15</f>
        <v>5512.295</v>
      </c>
      <c r="AT10" s="29">
        <f aca="true" t="shared" si="0" ref="AT10:AT21">0.45*1160.9</f>
        <v>522.4050000000001</v>
      </c>
      <c r="AU10" s="31"/>
      <c r="AV10" s="30">
        <v>5566</v>
      </c>
      <c r="AW10" s="31">
        <v>16099</v>
      </c>
      <c r="AX10" s="31">
        <f>1.85+6.64+10+29.1+310.5+46.2</f>
        <v>404.29</v>
      </c>
      <c r="AY10" s="17"/>
      <c r="AZ10" s="229"/>
      <c r="BA10" s="32"/>
      <c r="BB10" s="32">
        <f>BA10*0.18</f>
        <v>0</v>
      </c>
      <c r="BC10" s="32">
        <f aca="true" t="shared" si="1" ref="BC10:BC21">SUM(AK10:BB10)</f>
        <v>59883.568999999996</v>
      </c>
      <c r="BD10" s="33">
        <f>'[9]Т01'!$R$82+'[9]Т01'!$R$165</f>
        <v>484.90700000000004</v>
      </c>
      <c r="BE10" s="33">
        <f aca="true" t="shared" si="2" ref="BE10:BE21">BC10+BD10</f>
        <v>60368.475999999995</v>
      </c>
      <c r="BF10" s="33">
        <f aca="true" t="shared" si="3" ref="BF10:BF21">AG10-BE10+AJ10</f>
        <v>-27306.449</v>
      </c>
      <c r="BG10" s="32">
        <f aca="true" t="shared" si="4" ref="BG10:BG21">AF10-U10</f>
        <v>-9161.669000000005</v>
      </c>
      <c r="BH10" s="32"/>
      <c r="BI10" s="32"/>
      <c r="BJ10" s="32"/>
      <c r="BK10" s="49"/>
      <c r="BL10" s="49"/>
      <c r="BM10" s="50"/>
      <c r="BN10" s="63"/>
      <c r="BO10" s="64"/>
      <c r="BP10" s="65"/>
      <c r="BQ10" s="66"/>
    </row>
    <row r="11" spans="1:67" ht="12.75">
      <c r="A11" s="53" t="s">
        <v>34</v>
      </c>
      <c r="B11" s="54">
        <v>4793.3</v>
      </c>
      <c r="C11" s="18">
        <f>B11*8.55</f>
        <v>40982.715000000004</v>
      </c>
      <c r="D11" s="16">
        <v>174.22</v>
      </c>
      <c r="E11" s="27">
        <v>-1.27</v>
      </c>
      <c r="F11" s="27">
        <v>0</v>
      </c>
      <c r="G11" s="25">
        <v>24143.9</v>
      </c>
      <c r="H11" s="25">
        <v>0</v>
      </c>
      <c r="I11" s="25">
        <v>-1.71</v>
      </c>
      <c r="J11" s="25">
        <v>0</v>
      </c>
      <c r="K11" s="25">
        <v>-2.85</v>
      </c>
      <c r="L11" s="25">
        <v>0</v>
      </c>
      <c r="M11" s="25">
        <v>11965.66</v>
      </c>
      <c r="N11" s="25">
        <v>0</v>
      </c>
      <c r="O11" s="25">
        <v>4149.75</v>
      </c>
      <c r="P11" s="27">
        <v>0</v>
      </c>
      <c r="Q11" s="27">
        <v>0</v>
      </c>
      <c r="R11" s="27">
        <v>0</v>
      </c>
      <c r="S11" s="27">
        <v>0</v>
      </c>
      <c r="T11" s="25">
        <v>0</v>
      </c>
      <c r="U11" s="67">
        <f aca="true" t="shared" si="5" ref="U11:V13">E11+G11+I11+K11+M11+O11+Q11+S11</f>
        <v>40253.48</v>
      </c>
      <c r="V11" s="58">
        <f t="shared" si="5"/>
        <v>0</v>
      </c>
      <c r="W11" s="25">
        <v>986.39</v>
      </c>
      <c r="X11" s="27">
        <v>17293.02</v>
      </c>
      <c r="Y11" s="25">
        <v>1335.71</v>
      </c>
      <c r="Z11" s="25">
        <v>2223.82</v>
      </c>
      <c r="AA11" s="25">
        <v>11911.38</v>
      </c>
      <c r="AB11" s="25">
        <v>3820.18</v>
      </c>
      <c r="AC11" s="25">
        <v>0</v>
      </c>
      <c r="AD11" s="27">
        <v>0</v>
      </c>
      <c r="AE11" s="27">
        <v>0</v>
      </c>
      <c r="AF11" s="59">
        <f>SUM(W11:AE11)</f>
        <v>37570.5</v>
      </c>
      <c r="AG11" s="60">
        <f>AF11+V11+D11</f>
        <v>37744.72</v>
      </c>
      <c r="AH11" s="61">
        <f aca="true" t="shared" si="6" ref="AH11:AI13">AC11</f>
        <v>0</v>
      </c>
      <c r="AI11" s="61">
        <f t="shared" si="6"/>
        <v>0</v>
      </c>
      <c r="AJ11" s="28">
        <f>'[9]Т02'!$J$82+'[9]Т02'!$J$167</f>
        <v>747.546</v>
      </c>
      <c r="AK11" s="29">
        <f>0.67*B11</f>
        <v>3211.5110000000004</v>
      </c>
      <c r="AL11" s="29">
        <f>B11*0.2</f>
        <v>958.6600000000001</v>
      </c>
      <c r="AM11" s="29">
        <f>B11*1</f>
        <v>4793.3</v>
      </c>
      <c r="AN11" s="29">
        <f>B11*0.21</f>
        <v>1006.593</v>
      </c>
      <c r="AO11" s="29">
        <f>2.02*B11</f>
        <v>9682.466</v>
      </c>
      <c r="AP11" s="29">
        <f>B11*1.03</f>
        <v>4937.099</v>
      </c>
      <c r="AQ11" s="29">
        <f>B11*0.75</f>
        <v>3594.9750000000004</v>
      </c>
      <c r="AR11" s="29">
        <f>B11*0.75</f>
        <v>3594.9750000000004</v>
      </c>
      <c r="AS11" s="29">
        <f>B11*1.15</f>
        <v>5512.295</v>
      </c>
      <c r="AT11" s="29">
        <f t="shared" si="0"/>
        <v>522.4050000000001</v>
      </c>
      <c r="AU11" s="31">
        <v>317</v>
      </c>
      <c r="AV11" s="30">
        <v>3371</v>
      </c>
      <c r="AW11" s="31"/>
      <c r="AX11" s="31">
        <f>33.84+317</f>
        <v>350.84000000000003</v>
      </c>
      <c r="AY11" s="17"/>
      <c r="AZ11" s="229"/>
      <c r="BA11" s="32"/>
      <c r="BB11" s="32">
        <f>BA11*0.18</f>
        <v>0</v>
      </c>
      <c r="BC11" s="32">
        <f t="shared" si="1"/>
        <v>41853.11899999999</v>
      </c>
      <c r="BD11" s="33">
        <f>'[9]Т02'!$S$82+'[9]Т02'!$S$166</f>
        <v>484.90700000000004</v>
      </c>
      <c r="BE11" s="33">
        <f t="shared" si="2"/>
        <v>42338.02599999999</v>
      </c>
      <c r="BF11" s="33">
        <f t="shared" si="3"/>
        <v>-3845.7599999999893</v>
      </c>
      <c r="BG11" s="32">
        <f t="shared" si="4"/>
        <v>-2682.980000000003</v>
      </c>
      <c r="BH11" s="32"/>
      <c r="BI11" s="32"/>
      <c r="BJ11" s="32"/>
      <c r="BK11" s="49"/>
      <c r="BL11" s="49"/>
      <c r="BM11" s="50"/>
      <c r="BN11" s="64"/>
      <c r="BO11" s="68"/>
    </row>
    <row r="12" spans="1:66" ht="12.75">
      <c r="A12" s="53" t="s">
        <v>35</v>
      </c>
      <c r="B12" s="54">
        <v>4793.3</v>
      </c>
      <c r="C12" s="18">
        <f>B12*8.55</f>
        <v>40982.715000000004</v>
      </c>
      <c r="D12" s="16">
        <v>174.22</v>
      </c>
      <c r="E12" s="27">
        <v>0</v>
      </c>
      <c r="F12" s="27">
        <v>0</v>
      </c>
      <c r="G12" s="25">
        <v>24650.56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11969.78</v>
      </c>
      <c r="N12" s="25">
        <v>0</v>
      </c>
      <c r="O12" s="25">
        <v>4150.76</v>
      </c>
      <c r="P12" s="25">
        <v>0</v>
      </c>
      <c r="Q12" s="23">
        <v>0</v>
      </c>
      <c r="R12" s="23">
        <v>0</v>
      </c>
      <c r="S12" s="23">
        <v>0</v>
      </c>
      <c r="T12" s="25">
        <v>0</v>
      </c>
      <c r="U12" s="25">
        <f t="shared" si="5"/>
        <v>40771.100000000006</v>
      </c>
      <c r="V12" s="26">
        <f t="shared" si="5"/>
        <v>0</v>
      </c>
      <c r="W12" s="69">
        <v>714.08</v>
      </c>
      <c r="X12" s="27">
        <v>21090.14</v>
      </c>
      <c r="Y12" s="25">
        <v>395.31</v>
      </c>
      <c r="Z12" s="25">
        <v>658</v>
      </c>
      <c r="AA12" s="25">
        <v>10504.07</v>
      </c>
      <c r="AB12" s="25">
        <v>3565.18</v>
      </c>
      <c r="AC12" s="25">
        <v>0</v>
      </c>
      <c r="AD12" s="27">
        <v>0</v>
      </c>
      <c r="AE12" s="25">
        <v>0</v>
      </c>
      <c r="AF12" s="70">
        <f>SUM(W12:AE12)</f>
        <v>36926.780000000006</v>
      </c>
      <c r="AG12" s="60">
        <f>AF12+V12+D12</f>
        <v>37101.00000000001</v>
      </c>
      <c r="AH12" s="61">
        <f t="shared" si="6"/>
        <v>0</v>
      </c>
      <c r="AI12" s="61">
        <f t="shared" si="6"/>
        <v>0</v>
      </c>
      <c r="AJ12" s="28">
        <f>'[9]Т03'!$J$82+'[9]Т03'!$J$167</f>
        <v>747.546</v>
      </c>
      <c r="AK12" s="29">
        <f>0.67*B12</f>
        <v>3211.5110000000004</v>
      </c>
      <c r="AL12" s="29">
        <f>B12*0.2</f>
        <v>958.6600000000001</v>
      </c>
      <c r="AM12" s="29">
        <f>B12*1</f>
        <v>4793.3</v>
      </c>
      <c r="AN12" s="29">
        <f>B12*0.21</f>
        <v>1006.593</v>
      </c>
      <c r="AO12" s="29">
        <f>2.02*B12</f>
        <v>9682.466</v>
      </c>
      <c r="AP12" s="29">
        <f>B12*1.03</f>
        <v>4937.099</v>
      </c>
      <c r="AQ12" s="29">
        <f>B12*0.75</f>
        <v>3594.9750000000004</v>
      </c>
      <c r="AR12" s="29">
        <f>B12*0.75</f>
        <v>3594.9750000000004</v>
      </c>
      <c r="AS12" s="29">
        <f>B12*1.15</f>
        <v>5512.295</v>
      </c>
      <c r="AT12" s="29">
        <f t="shared" si="0"/>
        <v>522.4050000000001</v>
      </c>
      <c r="AU12" s="31">
        <v>2294</v>
      </c>
      <c r="AV12" s="30"/>
      <c r="AW12" s="31"/>
      <c r="AX12" s="31">
        <f>'[10]март 2011'!$F$85</f>
        <v>10.4</v>
      </c>
      <c r="AY12" s="17"/>
      <c r="AZ12" s="32"/>
      <c r="BA12" s="32"/>
      <c r="BB12" s="32">
        <f>AZ12*0.18</f>
        <v>0</v>
      </c>
      <c r="BC12" s="32">
        <f t="shared" si="1"/>
        <v>40118.679</v>
      </c>
      <c r="BD12" s="33">
        <f>'[9]Т01'!$R$82+'[9]Т01'!$R$165</f>
        <v>484.90700000000004</v>
      </c>
      <c r="BE12" s="33">
        <f t="shared" si="2"/>
        <v>40603.585999999996</v>
      </c>
      <c r="BF12" s="33">
        <f t="shared" si="3"/>
        <v>-2755.039999999988</v>
      </c>
      <c r="BG12" s="32">
        <f t="shared" si="4"/>
        <v>-3844.3199999999997</v>
      </c>
      <c r="BH12" s="32"/>
      <c r="BI12" s="32"/>
      <c r="BJ12" s="32"/>
      <c r="BK12" s="49"/>
      <c r="BL12" s="49"/>
      <c r="BM12" s="64"/>
      <c r="BN12" s="68"/>
    </row>
    <row r="13" spans="1:68" ht="12.75">
      <c r="A13" s="53" t="s">
        <v>36</v>
      </c>
      <c r="B13" s="54">
        <v>4793.3</v>
      </c>
      <c r="C13" s="18">
        <f>B13*8.55</f>
        <v>40982.715000000004</v>
      </c>
      <c r="D13" s="16">
        <v>174.22</v>
      </c>
      <c r="E13" s="77">
        <v>0</v>
      </c>
      <c r="F13" s="27">
        <v>0</v>
      </c>
      <c r="G13" s="69">
        <v>24650.56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11969.78</v>
      </c>
      <c r="N13" s="25">
        <v>0</v>
      </c>
      <c r="O13" s="25">
        <v>4150.76</v>
      </c>
      <c r="P13" s="27">
        <v>0</v>
      </c>
      <c r="Q13" s="208">
        <v>0</v>
      </c>
      <c r="R13" s="121">
        <v>0</v>
      </c>
      <c r="S13" s="209">
        <v>0</v>
      </c>
      <c r="T13" s="71">
        <v>0</v>
      </c>
      <c r="U13" s="67">
        <f t="shared" si="5"/>
        <v>40771.100000000006</v>
      </c>
      <c r="V13" s="26">
        <f t="shared" si="5"/>
        <v>0</v>
      </c>
      <c r="W13" s="25">
        <v>468.75</v>
      </c>
      <c r="X13" s="27">
        <v>21730.44</v>
      </c>
      <c r="Y13" s="25">
        <v>635.21</v>
      </c>
      <c r="Z13" s="25">
        <v>1057.1</v>
      </c>
      <c r="AA13" s="25">
        <v>12049.67</v>
      </c>
      <c r="AB13" s="27">
        <v>4028.49</v>
      </c>
      <c r="AC13" s="25">
        <v>0</v>
      </c>
      <c r="AD13" s="27">
        <v>0</v>
      </c>
      <c r="AE13" s="27">
        <v>0</v>
      </c>
      <c r="AF13" s="59">
        <f>SUM(W13:AD13)</f>
        <v>39969.659999999996</v>
      </c>
      <c r="AG13" s="72">
        <f>AF13+V13+D13</f>
        <v>40143.88</v>
      </c>
      <c r="AH13" s="62">
        <f t="shared" si="6"/>
        <v>0</v>
      </c>
      <c r="AI13" s="62">
        <f t="shared" si="6"/>
        <v>0</v>
      </c>
      <c r="AJ13" s="73">
        <f>'[11]Т04'!$J$83+'[11]Т04'!$J$169</f>
        <v>747.546</v>
      </c>
      <c r="AK13" s="29">
        <f>0.67*B13</f>
        <v>3211.5110000000004</v>
      </c>
      <c r="AL13" s="29">
        <f>B13*0.2</f>
        <v>958.6600000000001</v>
      </c>
      <c r="AM13" s="29">
        <f>B13*1</f>
        <v>4793.3</v>
      </c>
      <c r="AN13" s="29">
        <f>B13*0.21</f>
        <v>1006.593</v>
      </c>
      <c r="AO13" s="29">
        <f>2.02*B13</f>
        <v>9682.466</v>
      </c>
      <c r="AP13" s="29">
        <f>B13*1.03</f>
        <v>4937.099</v>
      </c>
      <c r="AQ13" s="29">
        <f>B13*0.75</f>
        <v>3594.9750000000004</v>
      </c>
      <c r="AR13" s="29">
        <f>B13*0.75</f>
        <v>3594.9750000000004</v>
      </c>
      <c r="AS13" s="29"/>
      <c r="AT13" s="210">
        <f t="shared" si="0"/>
        <v>522.4050000000001</v>
      </c>
      <c r="AU13" s="75"/>
      <c r="AV13" s="75"/>
      <c r="AW13" s="75"/>
      <c r="AX13" s="75">
        <f>71</f>
        <v>71</v>
      </c>
      <c r="AY13" s="17"/>
      <c r="AZ13" s="74"/>
      <c r="BA13" s="74"/>
      <c r="BB13" s="74"/>
      <c r="BC13" s="23">
        <f t="shared" si="1"/>
        <v>32372.983999999997</v>
      </c>
      <c r="BD13" s="33">
        <f>'[9]Т02'!$S$82+'[9]Т02'!$S$166</f>
        <v>484.90700000000004</v>
      </c>
      <c r="BE13" s="33">
        <f t="shared" si="2"/>
        <v>32857.890999999996</v>
      </c>
      <c r="BF13" s="33">
        <f t="shared" si="3"/>
        <v>8033.535000000002</v>
      </c>
      <c r="BG13" s="32">
        <f t="shared" si="4"/>
        <v>-801.4400000000096</v>
      </c>
      <c r="BH13" s="32">
        <f>AF13-U13</f>
        <v>-801.4400000000096</v>
      </c>
      <c r="BI13" s="32"/>
      <c r="BJ13" s="32"/>
      <c r="BK13" s="49"/>
      <c r="BL13" s="49"/>
      <c r="BM13" s="49"/>
      <c r="BN13" s="50"/>
      <c r="BO13" s="64"/>
      <c r="BP13" s="68"/>
    </row>
    <row r="14" spans="1:65" ht="12.75">
      <c r="A14" s="53" t="s">
        <v>37</v>
      </c>
      <c r="B14" s="76">
        <v>4793.3</v>
      </c>
      <c r="C14" s="18">
        <f aca="true" t="shared" si="7" ref="C14:C21">B14*8.55</f>
        <v>40982.715000000004</v>
      </c>
      <c r="D14" s="16">
        <v>174.22</v>
      </c>
      <c r="E14" s="211">
        <v>0</v>
      </c>
      <c r="F14" s="27">
        <v>0</v>
      </c>
      <c r="G14" s="25">
        <v>24623.76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11956.62</v>
      </c>
      <c r="N14" s="25">
        <v>0</v>
      </c>
      <c r="O14" s="25">
        <v>4146.05</v>
      </c>
      <c r="P14" s="27">
        <v>0</v>
      </c>
      <c r="Q14" s="23">
        <v>0</v>
      </c>
      <c r="R14" s="24">
        <v>0</v>
      </c>
      <c r="S14" s="23">
        <v>0</v>
      </c>
      <c r="T14" s="27">
        <v>0</v>
      </c>
      <c r="U14" s="77">
        <f aca="true" t="shared" si="8" ref="U14:V21">E14+G14+I14+K14+M14+O14+Q14+S14</f>
        <v>40726.43</v>
      </c>
      <c r="V14" s="126">
        <f>F14+H14+J14+L14+N14++R14+T14</f>
        <v>0</v>
      </c>
      <c r="W14" s="25">
        <v>73.11</v>
      </c>
      <c r="X14" s="27">
        <v>21982.06</v>
      </c>
      <c r="Y14" s="25">
        <v>99.09</v>
      </c>
      <c r="Z14" s="25">
        <v>164.93</v>
      </c>
      <c r="AA14" s="25">
        <v>11021.76</v>
      </c>
      <c r="AB14" s="25">
        <v>3791.93</v>
      </c>
      <c r="AC14" s="25">
        <v>0</v>
      </c>
      <c r="AD14" s="27">
        <v>0</v>
      </c>
      <c r="AE14" s="59">
        <v>0</v>
      </c>
      <c r="AF14" s="78">
        <f>SUM(W14:AE14)</f>
        <v>37132.880000000005</v>
      </c>
      <c r="AG14" s="72">
        <f aca="true" t="shared" si="9" ref="AG14:AG21">D14+V14+AF14</f>
        <v>37307.100000000006</v>
      </c>
      <c r="AH14" s="62">
        <f aca="true" t="shared" si="10" ref="AH14:AI21">AC14</f>
        <v>0</v>
      </c>
      <c r="AI14" s="62">
        <f t="shared" si="10"/>
        <v>0</v>
      </c>
      <c r="AJ14" s="73">
        <f>'[9]Т05'!$J$81+'[9]Т05'!$J$167</f>
        <v>747.546</v>
      </c>
      <c r="AK14" s="29">
        <f aca="true" t="shared" si="11" ref="AK14:AK21">0.67*B14</f>
        <v>3211.5110000000004</v>
      </c>
      <c r="AL14" s="29">
        <f aca="true" t="shared" si="12" ref="AL14:AL21">B14*0.2</f>
        <v>958.6600000000001</v>
      </c>
      <c r="AM14" s="29">
        <f aca="true" t="shared" si="13" ref="AM14:AM21">B14*1</f>
        <v>4793.3</v>
      </c>
      <c r="AN14" s="29">
        <f aca="true" t="shared" si="14" ref="AN14:AN21">B14*0.21</f>
        <v>1006.593</v>
      </c>
      <c r="AO14" s="29">
        <f aca="true" t="shared" si="15" ref="AO14:AO21">2.02*B14</f>
        <v>9682.466</v>
      </c>
      <c r="AP14" s="29">
        <f aca="true" t="shared" si="16" ref="AP14:AP21">B14*1.03</f>
        <v>4937.099</v>
      </c>
      <c r="AQ14" s="29">
        <f aca="true" t="shared" si="17" ref="AQ14:AQ21">B14*0.75</f>
        <v>3594.9750000000004</v>
      </c>
      <c r="AR14" s="29">
        <f aca="true" t="shared" si="18" ref="AR14:AR21">B14*0.75</f>
        <v>3594.9750000000004</v>
      </c>
      <c r="AS14" s="29"/>
      <c r="AT14" s="210">
        <f t="shared" si="0"/>
        <v>522.4050000000001</v>
      </c>
      <c r="AU14" s="75"/>
      <c r="AV14" s="75">
        <v>125</v>
      </c>
      <c r="AW14" s="75">
        <v>1045</v>
      </c>
      <c r="AX14" s="75">
        <f>333</f>
        <v>333</v>
      </c>
      <c r="AY14" s="17"/>
      <c r="AZ14" s="74"/>
      <c r="BA14" s="74"/>
      <c r="BB14" s="74"/>
      <c r="BC14" s="23">
        <f t="shared" si="1"/>
        <v>33804.984</v>
      </c>
      <c r="BD14" s="33">
        <f>'[9]Т01'!$R$82+'[9]Т01'!$R$165</f>
        <v>484.90700000000004</v>
      </c>
      <c r="BE14" s="33">
        <f t="shared" si="2"/>
        <v>34289.890999999996</v>
      </c>
      <c r="BF14" s="33">
        <f t="shared" si="3"/>
        <v>3764.75500000001</v>
      </c>
      <c r="BG14" s="32">
        <f t="shared" si="4"/>
        <v>-3593.5499999999956</v>
      </c>
      <c r="BH14" s="32"/>
      <c r="BI14" s="49"/>
      <c r="BJ14" s="49"/>
      <c r="BK14" s="50"/>
      <c r="BL14" s="64"/>
      <c r="BM14" s="68"/>
    </row>
    <row r="15" spans="1:66" ht="13.5" thickBot="1">
      <c r="A15" s="53" t="s">
        <v>38</v>
      </c>
      <c r="B15" s="54">
        <v>4793.3</v>
      </c>
      <c r="C15" s="18">
        <f t="shared" si="7"/>
        <v>40982.715000000004</v>
      </c>
      <c r="D15" s="16">
        <v>174.22</v>
      </c>
      <c r="E15" s="79">
        <v>0</v>
      </c>
      <c r="F15" s="79"/>
      <c r="G15" s="79">
        <v>24648.81</v>
      </c>
      <c r="H15" s="79"/>
      <c r="I15" s="80">
        <v>0</v>
      </c>
      <c r="J15" s="80"/>
      <c r="K15" s="80">
        <v>0</v>
      </c>
      <c r="L15" s="80"/>
      <c r="M15" s="80">
        <v>11968.93</v>
      </c>
      <c r="N15" s="80"/>
      <c r="O15" s="80">
        <v>4150.45</v>
      </c>
      <c r="P15" s="80"/>
      <c r="Q15" s="80">
        <v>0</v>
      </c>
      <c r="R15" s="81"/>
      <c r="S15" s="81">
        <v>0</v>
      </c>
      <c r="T15" s="80"/>
      <c r="U15" s="82">
        <f t="shared" si="8"/>
        <v>40768.19</v>
      </c>
      <c r="V15" s="125">
        <f t="shared" si="8"/>
        <v>0</v>
      </c>
      <c r="W15" s="83">
        <v>111.8</v>
      </c>
      <c r="X15" s="79">
        <v>20883.38</v>
      </c>
      <c r="Y15" s="79">
        <v>151.49</v>
      </c>
      <c r="Z15" s="79">
        <v>252.07</v>
      </c>
      <c r="AA15" s="79">
        <v>10177.75</v>
      </c>
      <c r="AB15" s="79">
        <v>3505.02</v>
      </c>
      <c r="AC15" s="79">
        <v>0</v>
      </c>
      <c r="AD15" s="79">
        <v>0</v>
      </c>
      <c r="AE15" s="84">
        <v>0</v>
      </c>
      <c r="AF15" s="85">
        <f aca="true" t="shared" si="19" ref="AF15:AF21">SUM(W15:AE15)</f>
        <v>35081.51</v>
      </c>
      <c r="AG15" s="72">
        <f t="shared" si="9"/>
        <v>35255.73</v>
      </c>
      <c r="AH15" s="62">
        <f t="shared" si="10"/>
        <v>0</v>
      </c>
      <c r="AI15" s="62">
        <f t="shared" si="10"/>
        <v>0</v>
      </c>
      <c r="AJ15" s="73">
        <f>'[9]Т06'!$J$81+'[9]Т06'!$J$167</f>
        <v>747.546</v>
      </c>
      <c r="AK15" s="29">
        <f t="shared" si="11"/>
        <v>3211.5110000000004</v>
      </c>
      <c r="AL15" s="29">
        <f t="shared" si="12"/>
        <v>958.6600000000001</v>
      </c>
      <c r="AM15" s="29">
        <f t="shared" si="13"/>
        <v>4793.3</v>
      </c>
      <c r="AN15" s="29">
        <f t="shared" si="14"/>
        <v>1006.593</v>
      </c>
      <c r="AO15" s="29">
        <f t="shared" si="15"/>
        <v>9682.466</v>
      </c>
      <c r="AP15" s="29">
        <f t="shared" si="16"/>
        <v>4937.099</v>
      </c>
      <c r="AQ15" s="29">
        <f t="shared" si="17"/>
        <v>3594.9750000000004</v>
      </c>
      <c r="AR15" s="29">
        <f t="shared" si="18"/>
        <v>3594.9750000000004</v>
      </c>
      <c r="AS15" s="29"/>
      <c r="AT15" s="210">
        <f t="shared" si="0"/>
        <v>522.4050000000001</v>
      </c>
      <c r="AU15" s="75"/>
      <c r="AV15" s="75">
        <v>686</v>
      </c>
      <c r="AW15" s="75"/>
      <c r="AX15" s="75">
        <f>17</f>
        <v>17</v>
      </c>
      <c r="AY15" s="29"/>
      <c r="AZ15" s="74"/>
      <c r="BA15" s="74"/>
      <c r="BB15" s="74"/>
      <c r="BC15" s="212">
        <f t="shared" si="1"/>
        <v>33004.984</v>
      </c>
      <c r="BD15" s="33">
        <f>'[9]Т02'!$S$82+'[9]Т02'!$S$166</f>
        <v>484.90700000000004</v>
      </c>
      <c r="BE15" s="33">
        <f t="shared" si="2"/>
        <v>33489.890999999996</v>
      </c>
      <c r="BF15" s="33">
        <f t="shared" si="3"/>
        <v>2513.3850000000075</v>
      </c>
      <c r="BG15" s="32">
        <f t="shared" si="4"/>
        <v>-5686.68</v>
      </c>
      <c r="BH15" s="32"/>
      <c r="BI15" s="32"/>
      <c r="BJ15" s="49"/>
      <c r="BK15" s="49"/>
      <c r="BL15" s="50"/>
      <c r="BM15" s="86"/>
      <c r="BN15" s="68"/>
    </row>
    <row r="16" spans="1:63" ht="12.75">
      <c r="A16" s="53" t="s">
        <v>39</v>
      </c>
      <c r="B16" s="54">
        <v>4793.3</v>
      </c>
      <c r="C16" s="18">
        <f t="shared" si="7"/>
        <v>40982.715000000004</v>
      </c>
      <c r="D16" s="16">
        <v>174.22</v>
      </c>
      <c r="E16" s="87"/>
      <c r="F16" s="87"/>
      <c r="G16" s="87">
        <v>24631.49</v>
      </c>
      <c r="H16" s="87"/>
      <c r="I16" s="87"/>
      <c r="J16" s="87"/>
      <c r="K16" s="87"/>
      <c r="L16" s="87"/>
      <c r="M16" s="87">
        <v>11960.43</v>
      </c>
      <c r="N16" s="87"/>
      <c r="O16" s="87">
        <v>4147.42</v>
      </c>
      <c r="P16" s="87"/>
      <c r="Q16" s="87"/>
      <c r="R16" s="87"/>
      <c r="S16" s="88"/>
      <c r="T16" s="83"/>
      <c r="U16" s="89">
        <f t="shared" si="8"/>
        <v>40739.34</v>
      </c>
      <c r="V16" s="123">
        <f t="shared" si="8"/>
        <v>0</v>
      </c>
      <c r="W16" s="90">
        <v>26.69</v>
      </c>
      <c r="X16" s="87">
        <v>22059.75</v>
      </c>
      <c r="Y16" s="87">
        <v>36.16</v>
      </c>
      <c r="Z16" s="87">
        <v>60.19</v>
      </c>
      <c r="AA16" s="87">
        <v>10797.87</v>
      </c>
      <c r="AB16" s="87">
        <v>3734.8</v>
      </c>
      <c r="AC16" s="79"/>
      <c r="AD16" s="87"/>
      <c r="AE16" s="88"/>
      <c r="AF16" s="85">
        <f t="shared" si="19"/>
        <v>36715.46</v>
      </c>
      <c r="AG16" s="91">
        <f t="shared" si="9"/>
        <v>36889.68</v>
      </c>
      <c r="AH16" s="62">
        <f t="shared" si="10"/>
        <v>0</v>
      </c>
      <c r="AI16" s="62">
        <f t="shared" si="10"/>
        <v>0</v>
      </c>
      <c r="AJ16" s="73">
        <f>'[9]Т07'!$J$81+'[9]Т07'!$J$171</f>
        <v>747.546</v>
      </c>
      <c r="AK16" s="29">
        <f t="shared" si="11"/>
        <v>3211.5110000000004</v>
      </c>
      <c r="AL16" s="29">
        <f t="shared" si="12"/>
        <v>958.6600000000001</v>
      </c>
      <c r="AM16" s="29">
        <f t="shared" si="13"/>
        <v>4793.3</v>
      </c>
      <c r="AN16" s="29">
        <f t="shared" si="14"/>
        <v>1006.593</v>
      </c>
      <c r="AO16" s="29">
        <f t="shared" si="15"/>
        <v>9682.466</v>
      </c>
      <c r="AP16" s="29">
        <f t="shared" si="16"/>
        <v>4937.099</v>
      </c>
      <c r="AQ16" s="29">
        <f t="shared" si="17"/>
        <v>3594.9750000000004</v>
      </c>
      <c r="AR16" s="29">
        <f t="shared" si="18"/>
        <v>3594.9750000000004</v>
      </c>
      <c r="AS16" s="29"/>
      <c r="AT16" s="210">
        <f t="shared" si="0"/>
        <v>522.4050000000001</v>
      </c>
      <c r="AU16" s="75">
        <v>12955</v>
      </c>
      <c r="AV16" s="75"/>
      <c r="AW16" s="75"/>
      <c r="AX16" s="75">
        <f>28+176+111.43+9.43+32.56+8+1572</f>
        <v>1937.42</v>
      </c>
      <c r="AY16" s="75"/>
      <c r="AZ16" s="17"/>
      <c r="BA16" s="74"/>
      <c r="BB16" s="74"/>
      <c r="BC16" s="23">
        <f t="shared" si="1"/>
        <v>47194.403999999995</v>
      </c>
      <c r="BD16" s="33">
        <f>'[9]Т01'!$R$82+'[9]Т01'!$R$165</f>
        <v>484.90700000000004</v>
      </c>
      <c r="BE16" s="33">
        <f t="shared" si="2"/>
        <v>47679.310999999994</v>
      </c>
      <c r="BF16" s="33">
        <f t="shared" si="3"/>
        <v>-10042.084999999994</v>
      </c>
      <c r="BG16" s="32">
        <f t="shared" si="4"/>
        <v>-4023.8799999999974</v>
      </c>
      <c r="BH16" s="32"/>
      <c r="BI16" s="32"/>
      <c r="BJ16" s="49"/>
      <c r="BK16" s="49"/>
    </row>
    <row r="17" spans="1:63" ht="12.75">
      <c r="A17" s="53" t="s">
        <v>40</v>
      </c>
      <c r="B17" s="54">
        <v>4793.3</v>
      </c>
      <c r="C17" s="18">
        <f t="shared" si="7"/>
        <v>40982.715000000004</v>
      </c>
      <c r="D17" s="16">
        <v>174.22</v>
      </c>
      <c r="E17" s="87"/>
      <c r="F17" s="87"/>
      <c r="G17" s="87">
        <v>24642.78</v>
      </c>
      <c r="H17" s="87"/>
      <c r="I17" s="87"/>
      <c r="J17" s="87"/>
      <c r="K17" s="87"/>
      <c r="L17" s="87"/>
      <c r="M17" s="87">
        <v>11965.96</v>
      </c>
      <c r="N17" s="87"/>
      <c r="O17" s="87">
        <v>4149.4</v>
      </c>
      <c r="P17" s="87"/>
      <c r="Q17" s="87"/>
      <c r="R17" s="87"/>
      <c r="S17" s="88"/>
      <c r="T17" s="84"/>
      <c r="U17" s="92">
        <f t="shared" si="8"/>
        <v>40758.14</v>
      </c>
      <c r="V17" s="124">
        <f t="shared" si="8"/>
        <v>0</v>
      </c>
      <c r="W17" s="87">
        <v>203.9</v>
      </c>
      <c r="X17" s="87">
        <v>21658.35</v>
      </c>
      <c r="Y17" s="87">
        <v>275.47</v>
      </c>
      <c r="Z17" s="87">
        <v>458.98</v>
      </c>
      <c r="AA17" s="87">
        <v>11181.49</v>
      </c>
      <c r="AB17" s="87">
        <v>3810.12</v>
      </c>
      <c r="AC17" s="87"/>
      <c r="AD17" s="87"/>
      <c r="AE17" s="88"/>
      <c r="AF17" s="85">
        <f t="shared" si="19"/>
        <v>37588.310000000005</v>
      </c>
      <c r="AG17" s="91">
        <f t="shared" si="9"/>
        <v>37762.530000000006</v>
      </c>
      <c r="AH17" s="62">
        <f t="shared" si="10"/>
        <v>0</v>
      </c>
      <c r="AI17" s="62">
        <f t="shared" si="10"/>
        <v>0</v>
      </c>
      <c r="AJ17" s="73">
        <f>'[9]Т08'!$J$81+'[9]Т08'!$J$175</f>
        <v>747.546</v>
      </c>
      <c r="AK17" s="29">
        <f t="shared" si="11"/>
        <v>3211.5110000000004</v>
      </c>
      <c r="AL17" s="29">
        <f t="shared" si="12"/>
        <v>958.6600000000001</v>
      </c>
      <c r="AM17" s="29">
        <f t="shared" si="13"/>
        <v>4793.3</v>
      </c>
      <c r="AN17" s="29">
        <f t="shared" si="14"/>
        <v>1006.593</v>
      </c>
      <c r="AO17" s="29">
        <f t="shared" si="15"/>
        <v>9682.466</v>
      </c>
      <c r="AP17" s="29">
        <f t="shared" si="16"/>
        <v>4937.099</v>
      </c>
      <c r="AQ17" s="29">
        <f t="shared" si="17"/>
        <v>3594.9750000000004</v>
      </c>
      <c r="AR17" s="29">
        <f t="shared" si="18"/>
        <v>3594.9750000000004</v>
      </c>
      <c r="AS17" s="29"/>
      <c r="AT17" s="210">
        <f t="shared" si="0"/>
        <v>522.4050000000001</v>
      </c>
      <c r="AU17" s="75"/>
      <c r="AV17" s="75"/>
      <c r="AW17" s="75">
        <v>1623</v>
      </c>
      <c r="AX17" s="75">
        <f>130</f>
        <v>130</v>
      </c>
      <c r="AY17" s="17"/>
      <c r="AZ17" s="74"/>
      <c r="BA17" s="74"/>
      <c r="BB17" s="74"/>
      <c r="BC17" s="23">
        <f t="shared" si="1"/>
        <v>34054.984</v>
      </c>
      <c r="BD17" s="33">
        <f>'[9]Т02'!$S$82+'[9]Т02'!$S$166</f>
        <v>484.90700000000004</v>
      </c>
      <c r="BE17" s="33">
        <f t="shared" si="2"/>
        <v>34539.890999999996</v>
      </c>
      <c r="BF17" s="33">
        <f t="shared" si="3"/>
        <v>3970.1850000000104</v>
      </c>
      <c r="BG17" s="32">
        <f t="shared" si="4"/>
        <v>-3169.8299999999945</v>
      </c>
      <c r="BH17" s="32"/>
      <c r="BI17" s="32"/>
      <c r="BJ17" s="49"/>
      <c r="BK17" s="49"/>
    </row>
    <row r="18" spans="1:63" ht="12.75">
      <c r="A18" s="53" t="s">
        <v>41</v>
      </c>
      <c r="B18" s="54">
        <v>4793.3</v>
      </c>
      <c r="C18" s="18">
        <f t="shared" si="7"/>
        <v>40982.715000000004</v>
      </c>
      <c r="D18" s="16">
        <v>174.22</v>
      </c>
      <c r="E18" s="87"/>
      <c r="F18" s="87"/>
      <c r="G18" s="87">
        <v>25138.47</v>
      </c>
      <c r="H18" s="87"/>
      <c r="I18" s="87"/>
      <c r="J18" s="87"/>
      <c r="K18" s="87"/>
      <c r="L18" s="87"/>
      <c r="M18" s="87">
        <v>12206.69</v>
      </c>
      <c r="N18" s="87"/>
      <c r="O18" s="87">
        <v>4232.89</v>
      </c>
      <c r="P18" s="87"/>
      <c r="Q18" s="87"/>
      <c r="R18" s="87"/>
      <c r="S18" s="88"/>
      <c r="T18" s="130"/>
      <c r="U18" s="130">
        <f t="shared" si="8"/>
        <v>41578.05</v>
      </c>
      <c r="V18" s="131">
        <f t="shared" si="8"/>
        <v>0</v>
      </c>
      <c r="W18" s="87">
        <v>104.97</v>
      </c>
      <c r="X18" s="87">
        <v>19272.34</v>
      </c>
      <c r="Y18" s="87">
        <v>126.48</v>
      </c>
      <c r="Z18" s="87">
        <v>209.45</v>
      </c>
      <c r="AA18" s="87">
        <v>9683.53</v>
      </c>
      <c r="AB18" s="87">
        <v>3293.24</v>
      </c>
      <c r="AC18" s="87"/>
      <c r="AD18" s="87"/>
      <c r="AE18" s="88"/>
      <c r="AF18" s="85">
        <f t="shared" si="19"/>
        <v>32690.010000000002</v>
      </c>
      <c r="AG18" s="91">
        <f t="shared" si="9"/>
        <v>32864.23</v>
      </c>
      <c r="AH18" s="62">
        <f t="shared" si="10"/>
        <v>0</v>
      </c>
      <c r="AI18" s="62">
        <f t="shared" si="10"/>
        <v>0</v>
      </c>
      <c r="AJ18" s="73">
        <f>'[9]Т09'!$J$81+'[9]Т09'!$J$175</f>
        <v>747.546</v>
      </c>
      <c r="AK18" s="29">
        <f t="shared" si="11"/>
        <v>3211.5110000000004</v>
      </c>
      <c r="AL18" s="29">
        <f t="shared" si="12"/>
        <v>958.6600000000001</v>
      </c>
      <c r="AM18" s="29">
        <f t="shared" si="13"/>
        <v>4793.3</v>
      </c>
      <c r="AN18" s="29">
        <f t="shared" si="14"/>
        <v>1006.593</v>
      </c>
      <c r="AO18" s="29">
        <f t="shared" si="15"/>
        <v>9682.466</v>
      </c>
      <c r="AP18" s="29">
        <f t="shared" si="16"/>
        <v>4937.099</v>
      </c>
      <c r="AQ18" s="29">
        <f t="shared" si="17"/>
        <v>3594.9750000000004</v>
      </c>
      <c r="AR18" s="29">
        <f t="shared" si="18"/>
        <v>3594.9750000000004</v>
      </c>
      <c r="AS18" s="29"/>
      <c r="AT18" s="210">
        <f t="shared" si="0"/>
        <v>522.4050000000001</v>
      </c>
      <c r="AU18" s="75"/>
      <c r="AV18" s="75"/>
      <c r="AW18" s="75">
        <v>4181</v>
      </c>
      <c r="AX18" s="75">
        <f>884.83</f>
        <v>884.83</v>
      </c>
      <c r="AY18" s="17"/>
      <c r="AZ18" s="74"/>
      <c r="BA18" s="74"/>
      <c r="BB18" s="74"/>
      <c r="BC18" s="23">
        <f t="shared" si="1"/>
        <v>37367.814</v>
      </c>
      <c r="BD18" s="33">
        <f>'[9]Т01'!$R$82+'[9]Т01'!$R$165</f>
        <v>484.90700000000004</v>
      </c>
      <c r="BE18" s="33">
        <f t="shared" si="2"/>
        <v>37852.721</v>
      </c>
      <c r="BF18" s="33">
        <f t="shared" si="3"/>
        <v>-4240.944999999994</v>
      </c>
      <c r="BG18" s="32">
        <f t="shared" si="4"/>
        <v>-8888.04</v>
      </c>
      <c r="BH18" s="32"/>
      <c r="BI18" s="32"/>
      <c r="BJ18" s="48"/>
      <c r="BK18" s="109"/>
    </row>
    <row r="19" spans="1:63" ht="12.75">
      <c r="A19" s="53" t="s">
        <v>31</v>
      </c>
      <c r="B19" s="54">
        <v>4793.3</v>
      </c>
      <c r="C19" s="18">
        <f t="shared" si="7"/>
        <v>40982.715000000004</v>
      </c>
      <c r="D19" s="16">
        <v>174.22</v>
      </c>
      <c r="E19" s="79"/>
      <c r="F19" s="79"/>
      <c r="G19" s="79">
        <v>25149.34</v>
      </c>
      <c r="H19" s="79"/>
      <c r="I19" s="79"/>
      <c r="J19" s="79"/>
      <c r="K19" s="79"/>
      <c r="L19" s="79"/>
      <c r="M19" s="79">
        <v>12212.03</v>
      </c>
      <c r="N19" s="79"/>
      <c r="O19" s="79">
        <v>4234.8</v>
      </c>
      <c r="P19" s="79"/>
      <c r="Q19" s="79"/>
      <c r="R19" s="79"/>
      <c r="S19" s="84"/>
      <c r="T19" s="127"/>
      <c r="U19" s="128">
        <f t="shared" si="8"/>
        <v>41596.170000000006</v>
      </c>
      <c r="V19" s="129">
        <f t="shared" si="8"/>
        <v>0</v>
      </c>
      <c r="W19" s="79">
        <v>0</v>
      </c>
      <c r="X19" s="79">
        <v>27360.96</v>
      </c>
      <c r="Y19" s="79">
        <v>0</v>
      </c>
      <c r="Z19" s="79">
        <v>0</v>
      </c>
      <c r="AA19" s="79">
        <v>13381.83</v>
      </c>
      <c r="AB19" s="79">
        <v>4762.75</v>
      </c>
      <c r="AC19" s="79"/>
      <c r="AD19" s="79"/>
      <c r="AE19" s="84"/>
      <c r="AF19" s="85">
        <f t="shared" si="19"/>
        <v>45505.54</v>
      </c>
      <c r="AG19" s="91">
        <f t="shared" si="9"/>
        <v>45679.76</v>
      </c>
      <c r="AH19" s="62">
        <f t="shared" si="10"/>
        <v>0</v>
      </c>
      <c r="AI19" s="62">
        <f t="shared" si="10"/>
        <v>0</v>
      </c>
      <c r="AJ19" s="73">
        <f>'[14]Т10'!$J$81+'[14]Т10'!$J$175</f>
        <v>747.546</v>
      </c>
      <c r="AK19" s="29">
        <f t="shared" si="11"/>
        <v>3211.5110000000004</v>
      </c>
      <c r="AL19" s="29">
        <f t="shared" si="12"/>
        <v>958.6600000000001</v>
      </c>
      <c r="AM19" s="29">
        <f t="shared" si="13"/>
        <v>4793.3</v>
      </c>
      <c r="AN19" s="29">
        <f t="shared" si="14"/>
        <v>1006.593</v>
      </c>
      <c r="AO19" s="29">
        <f t="shared" si="15"/>
        <v>9682.466</v>
      </c>
      <c r="AP19" s="29">
        <f t="shared" si="16"/>
        <v>4937.099</v>
      </c>
      <c r="AQ19" s="29">
        <f t="shared" si="17"/>
        <v>3594.9750000000004</v>
      </c>
      <c r="AR19" s="29">
        <f t="shared" si="18"/>
        <v>3594.9750000000004</v>
      </c>
      <c r="AS19" s="225">
        <f>B19*1.15</f>
        <v>5512.295</v>
      </c>
      <c r="AT19" s="210">
        <f t="shared" si="0"/>
        <v>522.4050000000001</v>
      </c>
      <c r="AU19" s="75">
        <v>1116</v>
      </c>
      <c r="AV19" s="75"/>
      <c r="AW19" s="75">
        <v>6888</v>
      </c>
      <c r="AX19" s="75">
        <f>127.5+83.6+5070+53.3</f>
        <v>5334.400000000001</v>
      </c>
      <c r="AY19" s="17"/>
      <c r="AZ19" s="74"/>
      <c r="BA19" s="74"/>
      <c r="BB19" s="74"/>
      <c r="BC19" s="23">
        <f t="shared" si="1"/>
        <v>51152.679</v>
      </c>
      <c r="BD19" s="33">
        <f>'[9]Т02'!$S$82+'[9]Т02'!$S$166</f>
        <v>484.90700000000004</v>
      </c>
      <c r="BE19" s="33">
        <f t="shared" si="2"/>
        <v>51637.585999999996</v>
      </c>
      <c r="BF19" s="33">
        <f t="shared" si="3"/>
        <v>-5210.279999999993</v>
      </c>
      <c r="BG19" s="32">
        <f t="shared" si="4"/>
        <v>3909.3699999999953</v>
      </c>
      <c r="BH19" s="32"/>
      <c r="BI19" s="32"/>
      <c r="BJ19" s="48"/>
      <c r="BK19" s="109"/>
    </row>
    <row r="20" spans="1:64" ht="12.75">
      <c r="A20" s="53" t="s">
        <v>32</v>
      </c>
      <c r="B20" s="54">
        <v>4793.3</v>
      </c>
      <c r="C20" s="18">
        <f t="shared" si="7"/>
        <v>40982.715000000004</v>
      </c>
      <c r="D20" s="16">
        <v>174.22</v>
      </c>
      <c r="E20" s="79"/>
      <c r="F20" s="79"/>
      <c r="G20" s="79">
        <v>25150.87</v>
      </c>
      <c r="H20" s="79"/>
      <c r="I20" s="79"/>
      <c r="J20" s="79"/>
      <c r="K20" s="79"/>
      <c r="L20" s="79"/>
      <c r="M20" s="79">
        <v>12212.78</v>
      </c>
      <c r="N20" s="79"/>
      <c r="O20" s="79">
        <v>4235.06</v>
      </c>
      <c r="P20" s="79"/>
      <c r="Q20" s="79"/>
      <c r="R20" s="79"/>
      <c r="S20" s="84"/>
      <c r="T20" s="127"/>
      <c r="U20" s="128">
        <f t="shared" si="8"/>
        <v>41598.71</v>
      </c>
      <c r="V20" s="129">
        <f t="shared" si="8"/>
        <v>0</v>
      </c>
      <c r="W20" s="79">
        <v>0</v>
      </c>
      <c r="X20" s="79">
        <v>23866.08</v>
      </c>
      <c r="Y20" s="79">
        <v>0</v>
      </c>
      <c r="Z20" s="79">
        <v>0</v>
      </c>
      <c r="AA20" s="79">
        <v>11587.88</v>
      </c>
      <c r="AB20" s="79">
        <v>4017.26</v>
      </c>
      <c r="AC20" s="79"/>
      <c r="AD20" s="79"/>
      <c r="AE20" s="84"/>
      <c r="AF20" s="85">
        <f t="shared" si="19"/>
        <v>39471.22</v>
      </c>
      <c r="AG20" s="91">
        <f t="shared" si="9"/>
        <v>39645.44</v>
      </c>
      <c r="AH20" s="62">
        <f t="shared" si="10"/>
        <v>0</v>
      </c>
      <c r="AI20" s="62">
        <f t="shared" si="10"/>
        <v>0</v>
      </c>
      <c r="AJ20" s="73">
        <f>'[9]Т11'!$J$81+'[9]Т11'!$J$175</f>
        <v>747.546</v>
      </c>
      <c r="AK20" s="29">
        <f t="shared" si="11"/>
        <v>3211.5110000000004</v>
      </c>
      <c r="AL20" s="29">
        <f t="shared" si="12"/>
        <v>958.6600000000001</v>
      </c>
      <c r="AM20" s="29">
        <f t="shared" si="13"/>
        <v>4793.3</v>
      </c>
      <c r="AN20" s="29">
        <f t="shared" si="14"/>
        <v>1006.593</v>
      </c>
      <c r="AO20" s="29">
        <f t="shared" si="15"/>
        <v>9682.466</v>
      </c>
      <c r="AP20" s="29">
        <f t="shared" si="16"/>
        <v>4937.099</v>
      </c>
      <c r="AQ20" s="29">
        <f t="shared" si="17"/>
        <v>3594.9750000000004</v>
      </c>
      <c r="AR20" s="29">
        <f t="shared" si="18"/>
        <v>3594.9750000000004</v>
      </c>
      <c r="AS20" s="225">
        <f>B20*1.15</f>
        <v>5512.295</v>
      </c>
      <c r="AT20" s="210">
        <f t="shared" si="0"/>
        <v>522.4050000000001</v>
      </c>
      <c r="AU20" s="75">
        <v>263</v>
      </c>
      <c r="AV20" s="75"/>
      <c r="AW20" s="75"/>
      <c r="AX20" s="75">
        <f>96.58+310.5+129</f>
        <v>536.0799999999999</v>
      </c>
      <c r="AY20" s="17"/>
      <c r="AZ20" s="74"/>
      <c r="BA20" s="74"/>
      <c r="BB20" s="74"/>
      <c r="BC20" s="23">
        <f t="shared" si="1"/>
        <v>38613.359</v>
      </c>
      <c r="BD20" s="33">
        <f>'[9]Т01'!$R$82+'[9]Т01'!$R$165</f>
        <v>484.90700000000004</v>
      </c>
      <c r="BE20" s="33">
        <f t="shared" si="2"/>
        <v>39098.265999999996</v>
      </c>
      <c r="BF20" s="33">
        <f t="shared" si="3"/>
        <v>1294.7200000000064</v>
      </c>
      <c r="BG20" s="32">
        <f t="shared" si="4"/>
        <v>-2127.489999999998</v>
      </c>
      <c r="BH20" s="32"/>
      <c r="BI20" s="32"/>
      <c r="BJ20" s="32"/>
      <c r="BK20" s="48"/>
      <c r="BL20" s="109"/>
    </row>
    <row r="21" spans="1:65" ht="13.5" thickBot="1">
      <c r="A21" s="53" t="s">
        <v>106</v>
      </c>
      <c r="B21" s="54">
        <v>4793.3</v>
      </c>
      <c r="C21" s="18">
        <f t="shared" si="7"/>
        <v>40982.715000000004</v>
      </c>
      <c r="D21" s="16">
        <v>174.22</v>
      </c>
      <c r="E21" s="226"/>
      <c r="F21" s="226"/>
      <c r="G21" s="226">
        <v>25131.58</v>
      </c>
      <c r="H21" s="226"/>
      <c r="I21" s="226"/>
      <c r="J21" s="226"/>
      <c r="K21" s="226"/>
      <c r="L21" s="226"/>
      <c r="M21" s="226">
        <v>12203.3</v>
      </c>
      <c r="N21" s="226"/>
      <c r="O21" s="226">
        <v>4231.67</v>
      </c>
      <c r="P21" s="226"/>
      <c r="Q21" s="226"/>
      <c r="R21" s="226"/>
      <c r="S21" s="227"/>
      <c r="T21" s="228"/>
      <c r="U21" s="128">
        <f t="shared" si="8"/>
        <v>41566.55</v>
      </c>
      <c r="V21" s="129">
        <f t="shared" si="8"/>
        <v>0</v>
      </c>
      <c r="W21" s="79">
        <v>0</v>
      </c>
      <c r="X21" s="79">
        <v>29897.11</v>
      </c>
      <c r="Y21" s="79">
        <v>0</v>
      </c>
      <c r="Z21" s="79">
        <v>0</v>
      </c>
      <c r="AA21" s="79">
        <v>14517.49</v>
      </c>
      <c r="AB21" s="79">
        <v>5034.51</v>
      </c>
      <c r="AC21" s="79"/>
      <c r="AD21" s="79"/>
      <c r="AE21" s="84"/>
      <c r="AF21" s="85">
        <f t="shared" si="19"/>
        <v>49449.11</v>
      </c>
      <c r="AG21" s="91">
        <f t="shared" si="9"/>
        <v>49623.33</v>
      </c>
      <c r="AH21" s="62">
        <f t="shared" si="10"/>
        <v>0</v>
      </c>
      <c r="AI21" s="62">
        <f t="shared" si="10"/>
        <v>0</v>
      </c>
      <c r="AJ21" s="73">
        <f>'[9]Т12'!$J$81+'[9]Т12'!$J$195</f>
        <v>747.546</v>
      </c>
      <c r="AK21" s="29">
        <f t="shared" si="11"/>
        <v>3211.5110000000004</v>
      </c>
      <c r="AL21" s="29">
        <f t="shared" si="12"/>
        <v>958.6600000000001</v>
      </c>
      <c r="AM21" s="29">
        <f t="shared" si="13"/>
        <v>4793.3</v>
      </c>
      <c r="AN21" s="29">
        <f t="shared" si="14"/>
        <v>1006.593</v>
      </c>
      <c r="AO21" s="29">
        <f t="shared" si="15"/>
        <v>9682.466</v>
      </c>
      <c r="AP21" s="29">
        <f t="shared" si="16"/>
        <v>4937.099</v>
      </c>
      <c r="AQ21" s="29">
        <f t="shared" si="17"/>
        <v>3594.9750000000004</v>
      </c>
      <c r="AR21" s="29">
        <f t="shared" si="18"/>
        <v>3594.9750000000004</v>
      </c>
      <c r="AS21" s="225">
        <f>B21*1.15</f>
        <v>5512.295</v>
      </c>
      <c r="AT21" s="210">
        <f t="shared" si="0"/>
        <v>522.4050000000001</v>
      </c>
      <c r="AU21" s="75"/>
      <c r="AV21" s="75">
        <v>1656</v>
      </c>
      <c r="AW21" s="75"/>
      <c r="AX21" s="75">
        <f>440+158+520</f>
        <v>1118</v>
      </c>
      <c r="AY21" s="17"/>
      <c r="AZ21" s="74"/>
      <c r="BA21" s="74"/>
      <c r="BB21" s="74"/>
      <c r="BC21" s="23">
        <f t="shared" si="1"/>
        <v>40588.278999999995</v>
      </c>
      <c r="BD21" s="33">
        <f>'[9]Т02'!$S$82+'[9]Т02'!$S$166</f>
        <v>484.90700000000004</v>
      </c>
      <c r="BE21" s="33">
        <f t="shared" si="2"/>
        <v>41073.185999999994</v>
      </c>
      <c r="BF21" s="33">
        <f t="shared" si="3"/>
        <v>9297.690000000008</v>
      </c>
      <c r="BG21" s="32">
        <f t="shared" si="4"/>
        <v>7882.559999999998</v>
      </c>
      <c r="BH21" s="32"/>
      <c r="BI21" s="32"/>
      <c r="BJ21" s="29"/>
      <c r="BK21" s="40"/>
      <c r="BL21" s="109"/>
      <c r="BM21" s="109"/>
    </row>
    <row r="22" spans="1:61" s="3" customFormat="1" ht="13.5" thickBot="1">
      <c r="A22" s="93" t="s">
        <v>4</v>
      </c>
      <c r="B22" s="96"/>
      <c r="C22" s="101">
        <f aca="true" t="shared" si="20" ref="C22:BF22">SUM(C10:C21)</f>
        <v>491792.58000000013</v>
      </c>
      <c r="D22" s="101">
        <f t="shared" si="20"/>
        <v>2126.85</v>
      </c>
      <c r="E22" s="101">
        <f t="shared" si="20"/>
        <v>-1.27</v>
      </c>
      <c r="F22" s="101">
        <f t="shared" si="20"/>
        <v>0</v>
      </c>
      <c r="G22" s="101">
        <f t="shared" si="20"/>
        <v>297712.11</v>
      </c>
      <c r="H22" s="101">
        <f t="shared" si="20"/>
        <v>0</v>
      </c>
      <c r="I22" s="101">
        <f t="shared" si="20"/>
        <v>-1.71</v>
      </c>
      <c r="J22" s="101">
        <f t="shared" si="20"/>
        <v>0</v>
      </c>
      <c r="K22" s="101">
        <f t="shared" si="20"/>
        <v>-2.85</v>
      </c>
      <c r="L22" s="101">
        <f t="shared" si="20"/>
        <v>0</v>
      </c>
      <c r="M22" s="101">
        <f t="shared" si="20"/>
        <v>144558.18999999997</v>
      </c>
      <c r="N22" s="101">
        <f t="shared" si="20"/>
        <v>0</v>
      </c>
      <c r="O22" s="101">
        <f t="shared" si="20"/>
        <v>50128.51</v>
      </c>
      <c r="P22" s="101">
        <f t="shared" si="20"/>
        <v>0</v>
      </c>
      <c r="Q22" s="101">
        <f t="shared" si="20"/>
        <v>0</v>
      </c>
      <c r="R22" s="101">
        <f t="shared" si="20"/>
        <v>0</v>
      </c>
      <c r="S22" s="101">
        <f t="shared" si="20"/>
        <v>0</v>
      </c>
      <c r="T22" s="101">
        <f t="shared" si="20"/>
        <v>0</v>
      </c>
      <c r="U22" s="101">
        <f t="shared" si="20"/>
        <v>492392.98</v>
      </c>
      <c r="V22" s="101">
        <f t="shared" si="20"/>
        <v>0</v>
      </c>
      <c r="W22" s="101">
        <f t="shared" si="20"/>
        <v>6394.86</v>
      </c>
      <c r="X22" s="101">
        <f t="shared" si="20"/>
        <v>247093.63</v>
      </c>
      <c r="Y22" s="101">
        <f t="shared" si="20"/>
        <v>8074.91</v>
      </c>
      <c r="Z22" s="101">
        <f t="shared" si="20"/>
        <v>13439.300000000001</v>
      </c>
      <c r="AA22" s="101">
        <f t="shared" si="20"/>
        <v>138874.71</v>
      </c>
      <c r="AB22" s="101">
        <f t="shared" si="20"/>
        <v>46327.621</v>
      </c>
      <c r="AC22" s="101">
        <f t="shared" si="20"/>
        <v>0</v>
      </c>
      <c r="AD22" s="101">
        <f t="shared" si="20"/>
        <v>0</v>
      </c>
      <c r="AE22" s="101">
        <f t="shared" si="20"/>
        <v>0</v>
      </c>
      <c r="AF22" s="101">
        <f t="shared" si="20"/>
        <v>460205.03099999996</v>
      </c>
      <c r="AG22" s="101">
        <f t="shared" si="20"/>
        <v>462331.88100000005</v>
      </c>
      <c r="AH22" s="101">
        <f t="shared" si="20"/>
        <v>0</v>
      </c>
      <c r="AI22" s="101">
        <f t="shared" si="20"/>
        <v>0</v>
      </c>
      <c r="AJ22" s="101">
        <f t="shared" si="20"/>
        <v>8970.552000000001</v>
      </c>
      <c r="AK22" s="101">
        <f t="shared" si="20"/>
        <v>38538.132</v>
      </c>
      <c r="AL22" s="101">
        <f t="shared" si="20"/>
        <v>11503.92</v>
      </c>
      <c r="AM22" s="101">
        <f t="shared" si="20"/>
        <v>57519.60000000001</v>
      </c>
      <c r="AN22" s="101">
        <f t="shared" si="20"/>
        <v>12079.116000000002</v>
      </c>
      <c r="AO22" s="101">
        <f t="shared" si="20"/>
        <v>116189.592</v>
      </c>
      <c r="AP22" s="101">
        <f t="shared" si="20"/>
        <v>59245.18800000002</v>
      </c>
      <c r="AQ22" s="101">
        <f t="shared" si="20"/>
        <v>43139.69999999999</v>
      </c>
      <c r="AR22" s="101">
        <f t="shared" si="20"/>
        <v>43139.69999999999</v>
      </c>
      <c r="AS22" s="101">
        <f t="shared" si="20"/>
        <v>33073.77</v>
      </c>
      <c r="AT22" s="101">
        <f t="shared" si="20"/>
        <v>6268.86</v>
      </c>
      <c r="AU22" s="101">
        <f t="shared" si="20"/>
        <v>16945</v>
      </c>
      <c r="AV22" s="101">
        <f t="shared" si="20"/>
        <v>11404</v>
      </c>
      <c r="AW22" s="101">
        <f t="shared" si="20"/>
        <v>29836</v>
      </c>
      <c r="AX22" s="101">
        <f t="shared" si="20"/>
        <v>11127.26</v>
      </c>
      <c r="AY22" s="101">
        <f t="shared" si="20"/>
        <v>0</v>
      </c>
      <c r="AZ22" s="101">
        <f t="shared" si="20"/>
        <v>0</v>
      </c>
      <c r="BA22" s="101">
        <f t="shared" si="20"/>
        <v>0</v>
      </c>
      <c r="BB22" s="101">
        <f t="shared" si="20"/>
        <v>0</v>
      </c>
      <c r="BC22" s="101">
        <f t="shared" si="20"/>
        <v>490009.838</v>
      </c>
      <c r="BD22" s="101">
        <f t="shared" si="20"/>
        <v>5818.884000000001</v>
      </c>
      <c r="BE22" s="101">
        <f t="shared" si="20"/>
        <v>495828.722</v>
      </c>
      <c r="BF22" s="101">
        <f t="shared" si="20"/>
        <v>-24526.288999999895</v>
      </c>
      <c r="BG22" s="101">
        <f>SUM(BG10:BG21)</f>
        <v>-32187.949000000008</v>
      </c>
      <c r="BI22" s="94"/>
    </row>
    <row r="23" spans="1:61" s="3" customFormat="1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96"/>
      <c r="BG23" s="98"/>
      <c r="BI23" s="94"/>
    </row>
    <row r="24" spans="1:59" s="3" customFormat="1" ht="13.5" thickBot="1">
      <c r="A24" s="45" t="s">
        <v>90</v>
      </c>
      <c r="B24" s="96"/>
      <c r="C24" s="99">
        <f aca="true" t="shared" si="21" ref="C24:AH24">C22+C8</f>
        <v>1611157.94</v>
      </c>
      <c r="D24" s="99">
        <f t="shared" si="21"/>
        <v>239457.88268680012</v>
      </c>
      <c r="E24" s="99">
        <f t="shared" si="21"/>
        <v>99939.61</v>
      </c>
      <c r="F24" s="99">
        <f t="shared" si="21"/>
        <v>12518.470000000001</v>
      </c>
      <c r="G24" s="99">
        <f t="shared" si="21"/>
        <v>297712.11</v>
      </c>
      <c r="H24" s="99">
        <f t="shared" si="21"/>
        <v>0</v>
      </c>
      <c r="I24" s="99">
        <f t="shared" si="21"/>
        <v>135283.62000000002</v>
      </c>
      <c r="J24" s="99">
        <f t="shared" si="21"/>
        <v>16946.04</v>
      </c>
      <c r="K24" s="99">
        <f t="shared" si="21"/>
        <v>225229.19999999998</v>
      </c>
      <c r="L24" s="99">
        <f t="shared" si="21"/>
        <v>28212.809999999998</v>
      </c>
      <c r="M24" s="99">
        <f t="shared" si="21"/>
        <v>469732.6599999999</v>
      </c>
      <c r="N24" s="99">
        <f t="shared" si="21"/>
        <v>40729.14</v>
      </c>
      <c r="O24" s="99">
        <f t="shared" si="21"/>
        <v>119206.48000000001</v>
      </c>
      <c r="P24" s="99">
        <f t="shared" si="21"/>
        <v>9964.18</v>
      </c>
      <c r="Q24" s="99">
        <f t="shared" si="21"/>
        <v>0</v>
      </c>
      <c r="R24" s="99">
        <f t="shared" si="21"/>
        <v>0</v>
      </c>
      <c r="S24" s="99">
        <f t="shared" si="21"/>
        <v>0</v>
      </c>
      <c r="T24" s="99">
        <f t="shared" si="21"/>
        <v>0</v>
      </c>
      <c r="U24" s="99">
        <f t="shared" si="21"/>
        <v>1357977.13</v>
      </c>
      <c r="V24" s="99">
        <f t="shared" si="21"/>
        <v>108420.78</v>
      </c>
      <c r="W24" s="99">
        <f t="shared" si="21"/>
        <v>96811.2</v>
      </c>
      <c r="X24" s="99">
        <f t="shared" si="21"/>
        <v>247093.63</v>
      </c>
      <c r="Y24" s="99">
        <f t="shared" si="21"/>
        <v>131046.06</v>
      </c>
      <c r="Z24" s="99">
        <f t="shared" si="21"/>
        <v>218184.06</v>
      </c>
      <c r="AA24" s="99">
        <f t="shared" si="21"/>
        <v>434412.24</v>
      </c>
      <c r="AB24" s="99">
        <f t="shared" si="21"/>
        <v>119059.63100000001</v>
      </c>
      <c r="AC24" s="99">
        <f t="shared" si="21"/>
        <v>0</v>
      </c>
      <c r="AD24" s="99">
        <f t="shared" si="21"/>
        <v>0</v>
      </c>
      <c r="AE24" s="99">
        <f t="shared" si="21"/>
        <v>0</v>
      </c>
      <c r="AF24" s="99">
        <f t="shared" si="21"/>
        <v>1246606.821</v>
      </c>
      <c r="AG24" s="99">
        <f t="shared" si="21"/>
        <v>1594485.4836868003</v>
      </c>
      <c r="AH24" s="99">
        <f t="shared" si="21"/>
        <v>0</v>
      </c>
      <c r="AI24" s="99">
        <f aca="true" t="shared" si="22" ref="AI24:BG24">AI22+AI8</f>
        <v>0</v>
      </c>
      <c r="AJ24" s="99">
        <f t="shared" si="22"/>
        <v>20830.403879999998</v>
      </c>
      <c r="AK24" s="99">
        <f t="shared" si="22"/>
        <v>115031.96399999999</v>
      </c>
      <c r="AL24" s="99">
        <f t="shared" si="22"/>
        <v>37135.5952916</v>
      </c>
      <c r="AM24" s="99">
        <f t="shared" si="22"/>
        <v>184502.30741210503</v>
      </c>
      <c r="AN24" s="99">
        <f t="shared" si="22"/>
        <v>12079.116000000002</v>
      </c>
      <c r="AO24" s="99">
        <f t="shared" si="22"/>
        <v>242843.6816025714</v>
      </c>
      <c r="AP24" s="99">
        <f t="shared" si="22"/>
        <v>342582.55065969884</v>
      </c>
      <c r="AQ24" s="99">
        <f t="shared" si="22"/>
        <v>43139.69999999999</v>
      </c>
      <c r="AR24" s="99">
        <f t="shared" si="22"/>
        <v>43139.69999999999</v>
      </c>
      <c r="AS24" s="99">
        <f t="shared" si="22"/>
        <v>33073.77</v>
      </c>
      <c r="AT24" s="99">
        <f t="shared" si="22"/>
        <v>12537.72</v>
      </c>
      <c r="AU24" s="99">
        <f t="shared" si="22"/>
        <v>295906.0002</v>
      </c>
      <c r="AV24" s="99">
        <f t="shared" si="22"/>
        <v>11404</v>
      </c>
      <c r="AW24" s="99">
        <f t="shared" si="22"/>
        <v>173855.25</v>
      </c>
      <c r="AX24" s="99">
        <f t="shared" si="22"/>
        <v>35531.1114</v>
      </c>
      <c r="AY24" s="99">
        <f t="shared" si="22"/>
        <v>27953.69</v>
      </c>
      <c r="AZ24" s="99">
        <f t="shared" si="22"/>
        <v>0</v>
      </c>
      <c r="BA24" s="99">
        <f t="shared" si="22"/>
        <v>0</v>
      </c>
      <c r="BB24" s="99">
        <f t="shared" si="22"/>
        <v>0</v>
      </c>
      <c r="BC24" s="99">
        <f t="shared" si="22"/>
        <v>1610716.156565975</v>
      </c>
      <c r="BD24" s="99">
        <f t="shared" si="22"/>
        <v>11356.907344233401</v>
      </c>
      <c r="BE24" s="100">
        <f t="shared" si="22"/>
        <v>1622073.0639102084</v>
      </c>
      <c r="BF24" s="99">
        <f t="shared" si="22"/>
        <v>-6757.176343408373</v>
      </c>
      <c r="BG24" s="101">
        <f t="shared" si="22"/>
        <v>-111370.309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D7">
      <selection activeCell="C35" sqref="C35"/>
    </sheetView>
  </sheetViews>
  <sheetFormatPr defaultColWidth="9.00390625" defaultRowHeight="12.75"/>
  <cols>
    <col min="1" max="2" width="9.875" style="37" customWidth="1"/>
    <col min="3" max="3" width="11.375" style="37" customWidth="1"/>
    <col min="4" max="4" width="10.00390625" style="37" customWidth="1"/>
    <col min="5" max="5" width="11.375" style="37" customWidth="1"/>
    <col min="6" max="6" width="9.875" style="37" customWidth="1"/>
    <col min="7" max="7" width="11.625" style="37" customWidth="1"/>
    <col min="8" max="8" width="11.375" style="37" customWidth="1"/>
    <col min="9" max="9" width="9.125" style="37" customWidth="1"/>
    <col min="10" max="10" width="9.875" style="37" customWidth="1"/>
    <col min="11" max="11" width="9.125" style="37" customWidth="1"/>
    <col min="12" max="12" width="10.00390625" style="37" customWidth="1"/>
    <col min="13" max="13" width="9.875" style="37" customWidth="1"/>
    <col min="14" max="14" width="8.875" style="37" customWidth="1"/>
    <col min="15" max="15" width="11.625" style="37" hidden="1" customWidth="1"/>
    <col min="16" max="16" width="10.125" style="37" customWidth="1"/>
    <col min="17" max="17" width="11.375" style="37" customWidth="1"/>
    <col min="18" max="18" width="9.75390625" style="37" customWidth="1"/>
    <col min="19" max="19" width="10.625" style="37" customWidth="1"/>
    <col min="20" max="16384" width="9.125" style="37" customWidth="1"/>
  </cols>
  <sheetData>
    <row r="1" spans="2:9" ht="20.25" customHeight="1">
      <c r="B1" s="280" t="s">
        <v>42</v>
      </c>
      <c r="C1" s="280"/>
      <c r="D1" s="280"/>
      <c r="E1" s="280"/>
      <c r="F1" s="280"/>
      <c r="G1" s="280"/>
      <c r="H1" s="280"/>
      <c r="I1" s="4"/>
    </row>
    <row r="2" spans="2:12" ht="21" customHeight="1">
      <c r="B2" s="280" t="s">
        <v>43</v>
      </c>
      <c r="C2" s="280"/>
      <c r="D2" s="280"/>
      <c r="E2" s="280"/>
      <c r="F2" s="280"/>
      <c r="G2" s="280"/>
      <c r="H2" s="280"/>
      <c r="I2" s="4"/>
      <c r="K2" s="39"/>
      <c r="L2" s="39"/>
    </row>
    <row r="5" spans="1:16" ht="12.75">
      <c r="A5" s="281" t="s">
        <v>124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16" ht="12.75">
      <c r="A6" s="282" t="s">
        <v>100</v>
      </c>
      <c r="B6" s="282"/>
      <c r="C6" s="282"/>
      <c r="D6" s="282"/>
      <c r="E6" s="282"/>
      <c r="F6" s="282"/>
      <c r="G6" s="282"/>
      <c r="H6" s="102"/>
      <c r="I6" s="102"/>
      <c r="J6" s="102"/>
      <c r="K6" s="102"/>
      <c r="L6" s="102"/>
      <c r="M6" s="102"/>
      <c r="N6" s="102"/>
      <c r="O6" s="102"/>
      <c r="P6" s="102"/>
    </row>
    <row r="7" spans="1:17" ht="13.5" thickBot="1">
      <c r="A7" s="283" t="s">
        <v>44</v>
      </c>
      <c r="B7" s="283"/>
      <c r="C7" s="283"/>
      <c r="D7" s="283"/>
      <c r="E7" s="283">
        <v>8.55</v>
      </c>
      <c r="F7" s="283"/>
      <c r="J7" s="103"/>
      <c r="K7" s="103"/>
      <c r="L7" s="103"/>
      <c r="M7" s="103"/>
      <c r="N7" s="103"/>
      <c r="O7" s="103"/>
      <c r="P7" s="103"/>
      <c r="Q7" s="103"/>
    </row>
    <row r="8" spans="1:19" ht="12.75" customHeight="1">
      <c r="A8" s="233" t="s">
        <v>45</v>
      </c>
      <c r="B8" s="285" t="s">
        <v>1</v>
      </c>
      <c r="C8" s="288" t="s">
        <v>46</v>
      </c>
      <c r="D8" s="291" t="s">
        <v>3</v>
      </c>
      <c r="E8" s="294" t="s">
        <v>47</v>
      </c>
      <c r="F8" s="295"/>
      <c r="G8" s="298" t="s">
        <v>62</v>
      </c>
      <c r="H8" s="299"/>
      <c r="I8" s="392" t="s">
        <v>98</v>
      </c>
      <c r="J8" s="395" t="s">
        <v>7</v>
      </c>
      <c r="K8" s="396"/>
      <c r="L8" s="396"/>
      <c r="M8" s="396"/>
      <c r="N8" s="396"/>
      <c r="O8" s="396"/>
      <c r="P8" s="396"/>
      <c r="Q8" s="397"/>
      <c r="R8" s="392" t="s">
        <v>48</v>
      </c>
      <c r="S8" s="392" t="s">
        <v>9</v>
      </c>
    </row>
    <row r="9" spans="1:19" ht="12.75">
      <c r="A9" s="234"/>
      <c r="B9" s="286"/>
      <c r="C9" s="289"/>
      <c r="D9" s="292"/>
      <c r="E9" s="296"/>
      <c r="F9" s="297"/>
      <c r="G9" s="300"/>
      <c r="H9" s="301"/>
      <c r="I9" s="393"/>
      <c r="J9" s="398"/>
      <c r="K9" s="399"/>
      <c r="L9" s="399"/>
      <c r="M9" s="399"/>
      <c r="N9" s="399"/>
      <c r="O9" s="399"/>
      <c r="P9" s="399"/>
      <c r="Q9" s="400"/>
      <c r="R9" s="393"/>
      <c r="S9" s="393"/>
    </row>
    <row r="10" spans="1:19" ht="26.25" customHeight="1">
      <c r="A10" s="234"/>
      <c r="B10" s="286"/>
      <c r="C10" s="289"/>
      <c r="D10" s="292"/>
      <c r="E10" s="305" t="s">
        <v>49</v>
      </c>
      <c r="F10" s="306"/>
      <c r="G10" s="104" t="s">
        <v>92</v>
      </c>
      <c r="H10" s="307" t="s">
        <v>6</v>
      </c>
      <c r="I10" s="393"/>
      <c r="J10" s="309" t="s">
        <v>50</v>
      </c>
      <c r="K10" s="311" t="s">
        <v>93</v>
      </c>
      <c r="L10" s="311" t="s">
        <v>51</v>
      </c>
      <c r="M10" s="311" t="s">
        <v>28</v>
      </c>
      <c r="N10" s="311" t="s">
        <v>52</v>
      </c>
      <c r="O10" s="312" t="s">
        <v>29</v>
      </c>
      <c r="P10" s="312" t="s">
        <v>94</v>
      </c>
      <c r="Q10" s="308" t="s">
        <v>30</v>
      </c>
      <c r="R10" s="393"/>
      <c r="S10" s="393"/>
    </row>
    <row r="11" spans="1:19" ht="66.75" customHeight="1" thickBot="1">
      <c r="A11" s="284"/>
      <c r="B11" s="287"/>
      <c r="C11" s="290"/>
      <c r="D11" s="293"/>
      <c r="E11" s="5" t="s">
        <v>53</v>
      </c>
      <c r="F11" s="6" t="s">
        <v>17</v>
      </c>
      <c r="G11" s="36" t="s">
        <v>95</v>
      </c>
      <c r="H11" s="308"/>
      <c r="I11" s="394"/>
      <c r="J11" s="310"/>
      <c r="K11" s="312"/>
      <c r="L11" s="312"/>
      <c r="M11" s="312"/>
      <c r="N11" s="312"/>
      <c r="O11" s="403"/>
      <c r="P11" s="403"/>
      <c r="Q11" s="404"/>
      <c r="R11" s="394"/>
      <c r="S11" s="394"/>
    </row>
    <row r="12" spans="1:19" ht="13.5" thickBot="1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8">
        <v>8</v>
      </c>
      <c r="I12" s="7">
        <v>9</v>
      </c>
      <c r="J12" s="8">
        <v>10</v>
      </c>
      <c r="K12" s="7">
        <v>11</v>
      </c>
      <c r="L12" s="8">
        <v>12</v>
      </c>
      <c r="M12" s="7">
        <v>13</v>
      </c>
      <c r="N12" s="8">
        <v>14</v>
      </c>
      <c r="O12" s="7">
        <v>15</v>
      </c>
      <c r="P12" s="8">
        <v>16</v>
      </c>
      <c r="Q12" s="7">
        <v>17</v>
      </c>
      <c r="R12" s="8">
        <v>18</v>
      </c>
      <c r="S12" s="7">
        <v>19</v>
      </c>
    </row>
    <row r="13" spans="1:19" ht="13.5" thickBot="1">
      <c r="A13" s="314" t="s">
        <v>63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105"/>
      <c r="R13" s="106"/>
      <c r="S13" s="106"/>
    </row>
    <row r="14" spans="1:21" s="3" customFormat="1" ht="13.5" thickBot="1">
      <c r="A14" s="107" t="s">
        <v>90</v>
      </c>
      <c r="B14" s="108"/>
      <c r="C14" s="14">
        <f>'2011 полн'!C8</f>
        <v>1119365.3599999999</v>
      </c>
      <c r="D14" s="14">
        <f>'2011 полн'!D8</f>
        <v>237331.0326868001</v>
      </c>
      <c r="E14" s="14">
        <f>'2011 полн'!U8</f>
        <v>865584.15</v>
      </c>
      <c r="F14" s="14">
        <f>'2011 полн'!V8</f>
        <v>108420.78</v>
      </c>
      <c r="G14" s="14">
        <f>'2011 полн'!AF8</f>
        <v>786401.79</v>
      </c>
      <c r="H14" s="14">
        <f>'2011 полн'!AG8</f>
        <v>1132153.6026868003</v>
      </c>
      <c r="I14" s="14">
        <f>'2011 полн'!AJ8</f>
        <v>11859.851879999998</v>
      </c>
      <c r="J14" s="14">
        <f>'2011 полн'!AK8</f>
        <v>76493.832</v>
      </c>
      <c r="K14" s="14">
        <f>'2011 полн'!AL8</f>
        <v>25631.675291600004</v>
      </c>
      <c r="L14" s="14">
        <f>'2011 полн'!AM8+'2011 полн'!AO8+'2011 полн'!AP8+'2011 полн'!AT8</f>
        <v>543243.0196743752</v>
      </c>
      <c r="M14" s="14">
        <f>'2011 полн'!AU8+'2011 полн'!AW8+'2011 полн'!AX8</f>
        <v>447384.1016</v>
      </c>
      <c r="N14" s="14">
        <f>'2011 полн'!AY8</f>
        <v>27953.69</v>
      </c>
      <c r="O14" s="14"/>
      <c r="P14" s="14">
        <f>'2011 полн'!BD8</f>
        <v>5538.023344233401</v>
      </c>
      <c r="Q14" s="14">
        <f>'2011 полн'!BE8</f>
        <v>1126244.3419102083</v>
      </c>
      <c r="R14" s="14">
        <f>'2011 полн'!BF8</f>
        <v>17769.112656591522</v>
      </c>
      <c r="S14" s="14">
        <f>'2011 полн'!BG8</f>
        <v>-79182.35999999999</v>
      </c>
      <c r="T14" s="109"/>
      <c r="U14" s="94"/>
    </row>
    <row r="15" spans="1:21" ht="12.75">
      <c r="A15" s="2" t="s">
        <v>91</v>
      </c>
      <c r="B15" s="110"/>
      <c r="C15" s="12"/>
      <c r="D15" s="13"/>
      <c r="E15" s="111"/>
      <c r="F15" s="112"/>
      <c r="G15" s="113"/>
      <c r="H15" s="112"/>
      <c r="I15" s="132"/>
      <c r="J15" s="113"/>
      <c r="K15" s="114"/>
      <c r="L15" s="114"/>
      <c r="M15" s="115"/>
      <c r="N15" s="20"/>
      <c r="O15" s="116"/>
      <c r="P15" s="116"/>
      <c r="Q15" s="117"/>
      <c r="R15" s="118"/>
      <c r="S15" s="118"/>
      <c r="T15" s="39"/>
      <c r="U15" s="39"/>
    </row>
    <row r="16" spans="1:21" ht="12.75">
      <c r="A16" s="53" t="s">
        <v>33</v>
      </c>
      <c r="B16" s="19">
        <f>'2011 полн'!B10</f>
        <v>4793.3</v>
      </c>
      <c r="C16" s="9">
        <f>'2011 полн'!C10</f>
        <v>40982.715000000004</v>
      </c>
      <c r="D16" s="10">
        <f>'2011 полн'!D10</f>
        <v>210.43</v>
      </c>
      <c r="E16" s="114">
        <f>'2011 полн'!U10</f>
        <v>41265.72</v>
      </c>
      <c r="F16" s="114">
        <f>'2011 полн'!V10</f>
        <v>0</v>
      </c>
      <c r="G16" s="119">
        <f>'2011 полн'!AF10</f>
        <v>32104.050999999996</v>
      </c>
      <c r="H16" s="119">
        <f>'2011 полн'!AG10</f>
        <v>32314.480999999996</v>
      </c>
      <c r="I16" s="119">
        <f>'2011 полн'!AJ10</f>
        <v>747.546</v>
      </c>
      <c r="J16" s="119">
        <f>'2011 полн'!AK10</f>
        <v>3211.5110000000004</v>
      </c>
      <c r="K16" s="114">
        <f>'2011 полн'!AL10</f>
        <v>958.6600000000001</v>
      </c>
      <c r="L16" s="114">
        <f>'2011 полн'!AM10+'2011 полн'!AN10+'2011 полн'!AO10+'2011 полн'!AP10+'2011 полн'!AQ10+'2011 полн'!AR10+'2011 полн'!AS10+'2011 полн'!AT10+'2011 полн'!AX10</f>
        <v>34048.397999999994</v>
      </c>
      <c r="M16" s="115">
        <f>'2011 полн'!AU10+'2011 полн'!AV10+'2011 полн'!AW10</f>
        <v>21665</v>
      </c>
      <c r="N16" s="115">
        <f>'2011 полн'!AY10</f>
        <v>0</v>
      </c>
      <c r="O16" s="120"/>
      <c r="P16" s="120">
        <f>'2011 полн'!BF10</f>
        <v>-27306.449</v>
      </c>
      <c r="Q16" s="120">
        <f>'2011 полн'!BG10</f>
        <v>-9161.669000000005</v>
      </c>
      <c r="R16" s="118">
        <f>'2011 полн'!BH10</f>
        <v>0</v>
      </c>
      <c r="S16" s="118">
        <f>'2011 полн'!BI10</f>
        <v>0</v>
      </c>
      <c r="T16" s="39"/>
      <c r="U16" s="39"/>
    </row>
    <row r="17" spans="1:21" ht="12.75">
      <c r="A17" s="53" t="s">
        <v>34</v>
      </c>
      <c r="B17" s="19">
        <f>'2011 полн'!B11</f>
        <v>4793.3</v>
      </c>
      <c r="C17" s="9">
        <f>'2011 полн'!C11</f>
        <v>40982.715000000004</v>
      </c>
      <c r="D17" s="10">
        <f>'2011 полн'!D11</f>
        <v>174.22</v>
      </c>
      <c r="E17" s="114">
        <f>'2011 полн'!U11</f>
        <v>40253.48</v>
      </c>
      <c r="F17" s="114">
        <f>'2011 полн'!V11</f>
        <v>0</v>
      </c>
      <c r="G17" s="119">
        <f>'2011 полн'!AF11</f>
        <v>37570.5</v>
      </c>
      <c r="H17" s="119">
        <f>'2011 полн'!AG11</f>
        <v>37744.72</v>
      </c>
      <c r="I17" s="119">
        <f>'2011 полн'!AJ11</f>
        <v>747.546</v>
      </c>
      <c r="J17" s="119">
        <f>'2011 полн'!AK11</f>
        <v>3211.5110000000004</v>
      </c>
      <c r="K17" s="114">
        <f>'2011 полн'!AL11</f>
        <v>958.6600000000001</v>
      </c>
      <c r="L17" s="114">
        <f>'2011 полн'!AM11+'2011 полн'!AN11+'2011 полн'!AO11+'2011 полн'!AP11+'2011 полн'!AQ11+'2011 полн'!AR11+'2011 полн'!AS11+'2011 полн'!AT11+'2011 полн'!AX11</f>
        <v>33994.94799999999</v>
      </c>
      <c r="M17" s="115">
        <f>'2011 полн'!AU11+'2011 полн'!AV11+'2011 полн'!AW11</f>
        <v>3688</v>
      </c>
      <c r="N17" s="115">
        <f>'2011 полн'!AY11</f>
        <v>0</v>
      </c>
      <c r="O17" s="120"/>
      <c r="P17" s="120">
        <f>'2011 полн'!BE11</f>
        <v>42338.02599999999</v>
      </c>
      <c r="Q17" s="120">
        <f>'2011 полн'!BF11</f>
        <v>-3845.7599999999893</v>
      </c>
      <c r="R17" s="118">
        <f>'2011 полн'!BG11</f>
        <v>-2682.980000000003</v>
      </c>
      <c r="S17" s="118">
        <f>'2011 полн'!BH11</f>
        <v>0</v>
      </c>
      <c r="T17" s="39"/>
      <c r="U17" s="39"/>
    </row>
    <row r="18" spans="1:21" ht="12.75">
      <c r="A18" s="53" t="s">
        <v>35</v>
      </c>
      <c r="B18" s="19">
        <f>'2011 полн'!B12</f>
        <v>4793.3</v>
      </c>
      <c r="C18" s="9">
        <f>'2011 полн'!C12</f>
        <v>40982.715000000004</v>
      </c>
      <c r="D18" s="10">
        <f>'2011 полн'!D12</f>
        <v>174.22</v>
      </c>
      <c r="E18" s="114">
        <f>'2011 полн'!U12</f>
        <v>40771.100000000006</v>
      </c>
      <c r="F18" s="114">
        <f>'2011 полн'!V12</f>
        <v>0</v>
      </c>
      <c r="G18" s="119">
        <f>'2011 полн'!AF12</f>
        <v>36926.780000000006</v>
      </c>
      <c r="H18" s="119">
        <f>'2011 полн'!AG12</f>
        <v>37101.00000000001</v>
      </c>
      <c r="I18" s="119">
        <f>'2011 полн'!AJ12</f>
        <v>747.546</v>
      </c>
      <c r="J18" s="119">
        <f>'2011 полн'!AK12</f>
        <v>3211.5110000000004</v>
      </c>
      <c r="K18" s="114">
        <f>'2011 полн'!AL12</f>
        <v>958.6600000000001</v>
      </c>
      <c r="L18" s="114">
        <f>'2011 полн'!AM12+'2011 полн'!AN12+'2011 полн'!AO12+'2011 полн'!AP12+'2011 полн'!AQ12+'2011 полн'!AR12+'2011 полн'!AS12+'2011 полн'!AT12+'2011 полн'!AX12</f>
        <v>33654.507999999994</v>
      </c>
      <c r="M18" s="115">
        <f>'2011 полн'!AU12+'2011 полн'!AV12+'2011 полн'!AW12</f>
        <v>2294</v>
      </c>
      <c r="N18" s="115">
        <f>'2011 полн'!AY12</f>
        <v>0</v>
      </c>
      <c r="O18" s="120"/>
      <c r="P18" s="120">
        <f>'2011 полн'!BE12</f>
        <v>40603.585999999996</v>
      </c>
      <c r="Q18" s="120">
        <f>'2011 полн'!BF12</f>
        <v>-2755.039999999988</v>
      </c>
      <c r="R18" s="118">
        <f>'2011 полн'!BG12</f>
        <v>-3844.3199999999997</v>
      </c>
      <c r="S18" s="118">
        <f>'2011 полн'!BH12</f>
        <v>0</v>
      </c>
      <c r="T18" s="39"/>
      <c r="U18" s="39"/>
    </row>
    <row r="19" spans="1:21" ht="12.75">
      <c r="A19" s="53" t="s">
        <v>36</v>
      </c>
      <c r="B19" s="19">
        <f>'2011 полн'!B13</f>
        <v>4793.3</v>
      </c>
      <c r="C19" s="9">
        <f>'2011 полн'!C13</f>
        <v>40982.715000000004</v>
      </c>
      <c r="D19" s="10">
        <f>'2011 полн'!D13</f>
        <v>174.22</v>
      </c>
      <c r="E19" s="114">
        <f>'2011 полн'!U13</f>
        <v>40771.100000000006</v>
      </c>
      <c r="F19" s="114">
        <f>'2011 полн'!V13</f>
        <v>0</v>
      </c>
      <c r="G19" s="119">
        <f>'2011 полн'!AF13</f>
        <v>39969.659999999996</v>
      </c>
      <c r="H19" s="119">
        <f>'2011 полн'!AG13</f>
        <v>40143.88</v>
      </c>
      <c r="I19" s="119">
        <f>'2011 полн'!AJ13</f>
        <v>747.546</v>
      </c>
      <c r="J19" s="119">
        <f>'2011 полн'!AK13</f>
        <v>3211.5110000000004</v>
      </c>
      <c r="K19" s="114">
        <f>'2011 полн'!AL13</f>
        <v>958.6600000000001</v>
      </c>
      <c r="L19" s="114">
        <f>'2011 полн'!AM13+'2011 полн'!AN13+'2011 полн'!AO13+'2011 полн'!AP13+'2011 полн'!AQ13+'2011 полн'!AR13+'2011 полн'!AS13+'2011 полн'!AT13+'2011 полн'!AX13</f>
        <v>28202.812999999995</v>
      </c>
      <c r="M19" s="115">
        <f>'2011 полн'!AU13+'2011 полн'!AV13+'2011 полн'!AW13</f>
        <v>0</v>
      </c>
      <c r="N19" s="115">
        <f>'2011 полн'!AY13</f>
        <v>0</v>
      </c>
      <c r="O19" s="120"/>
      <c r="P19" s="120">
        <f>'2011 полн'!BF13</f>
        <v>8033.535000000002</v>
      </c>
      <c r="Q19" s="120">
        <f>'2011 полн'!BG13</f>
        <v>-801.4400000000096</v>
      </c>
      <c r="R19" s="118">
        <f>'2011 полн'!BH13</f>
        <v>-801.4400000000096</v>
      </c>
      <c r="S19" s="118">
        <f>'2011 полн'!BI13</f>
        <v>0</v>
      </c>
      <c r="T19" s="39"/>
      <c r="U19" s="39"/>
    </row>
    <row r="20" spans="1:21" ht="12.75">
      <c r="A20" s="53" t="s">
        <v>37</v>
      </c>
      <c r="B20" s="19">
        <f>'2011 полн'!B14</f>
        <v>4793.3</v>
      </c>
      <c r="C20" s="9">
        <f>'2011 полн'!C14</f>
        <v>40982.715000000004</v>
      </c>
      <c r="D20" s="10">
        <f>'2011 полн'!D14</f>
        <v>174.22</v>
      </c>
      <c r="E20" s="114">
        <f>'2011 полн'!U14</f>
        <v>40726.43</v>
      </c>
      <c r="F20" s="114">
        <f>'2011 полн'!V14</f>
        <v>0</v>
      </c>
      <c r="G20" s="119">
        <f>'2011 полн'!AF14</f>
        <v>37132.880000000005</v>
      </c>
      <c r="H20" s="119">
        <f>'2011 полн'!AG14</f>
        <v>37307.100000000006</v>
      </c>
      <c r="I20" s="119">
        <f>'2011 полн'!AJ14</f>
        <v>747.546</v>
      </c>
      <c r="J20" s="119">
        <f>'2011 полн'!AK14</f>
        <v>3211.5110000000004</v>
      </c>
      <c r="K20" s="114">
        <f>'2011 полн'!AL14</f>
        <v>958.6600000000001</v>
      </c>
      <c r="L20" s="114">
        <f>'2011 полн'!AM14+'2011 полн'!AN14+'2011 полн'!AO14+'2011 полн'!AP14+'2011 полн'!AQ14+'2011 полн'!AR14+'2011 полн'!AS14+'2011 полн'!AT14+'2011 полн'!AX14</f>
        <v>28464.812999999995</v>
      </c>
      <c r="M20" s="115">
        <f>'2011 полн'!AU14+'2011 полн'!AV14+'2011 полн'!AW14</f>
        <v>1170</v>
      </c>
      <c r="N20" s="115">
        <f>'2011 полн'!AY14</f>
        <v>0</v>
      </c>
      <c r="O20" s="120"/>
      <c r="P20" s="120">
        <f>'2011 полн'!BD14</f>
        <v>484.90700000000004</v>
      </c>
      <c r="Q20" s="120">
        <f>'2011 полн'!BE14</f>
        <v>34289.890999999996</v>
      </c>
      <c r="R20" s="118">
        <f>'2011 полн'!BF14</f>
        <v>3764.75500000001</v>
      </c>
      <c r="S20" s="118">
        <f>'2011 полн'!BG14</f>
        <v>-3593.5499999999956</v>
      </c>
      <c r="T20" s="39"/>
      <c r="U20" s="39"/>
    </row>
    <row r="21" spans="1:21" ht="12.75">
      <c r="A21" s="53" t="s">
        <v>38</v>
      </c>
      <c r="B21" s="19">
        <f>'2011 полн'!B15</f>
        <v>4793.3</v>
      </c>
      <c r="C21" s="9">
        <f>'2011 полн'!C15</f>
        <v>40982.715000000004</v>
      </c>
      <c r="D21" s="10">
        <f>'2011 полн'!D15</f>
        <v>174.22</v>
      </c>
      <c r="E21" s="114">
        <f>'2011 полн'!U15</f>
        <v>40768.19</v>
      </c>
      <c r="F21" s="114">
        <f>'2011 полн'!V15</f>
        <v>0</v>
      </c>
      <c r="G21" s="119">
        <f>'2011 полн'!AF15</f>
        <v>35081.51</v>
      </c>
      <c r="H21" s="119">
        <f>'2011 полн'!AG15</f>
        <v>35255.73</v>
      </c>
      <c r="I21" s="119">
        <f>'2011 полн'!AJ15</f>
        <v>747.546</v>
      </c>
      <c r="J21" s="119">
        <f>'2011 полн'!AK15</f>
        <v>3211.5110000000004</v>
      </c>
      <c r="K21" s="114">
        <f>'2011 полн'!AL15</f>
        <v>958.6600000000001</v>
      </c>
      <c r="L21" s="114">
        <f>'2011 полн'!AM15+'2011 полн'!AN15+'2011 полн'!AO15+'2011 полн'!AP15+'2011 полн'!AQ15+'2011 полн'!AR15+'2011 полн'!AS15+'2011 полн'!AT15+'2011 полн'!AX15</f>
        <v>28148.812999999995</v>
      </c>
      <c r="M21" s="115">
        <f>'2011 полн'!AU15+'2011 полн'!AV15+'2011 полн'!AW15</f>
        <v>686</v>
      </c>
      <c r="N21" s="115">
        <f>'2011 полн'!AY15</f>
        <v>0</v>
      </c>
      <c r="O21" s="120"/>
      <c r="P21" s="120">
        <f>'2011 полн'!BE15</f>
        <v>33489.890999999996</v>
      </c>
      <c r="Q21" s="120">
        <f>'2011 полн'!BF15</f>
        <v>2513.3850000000075</v>
      </c>
      <c r="R21" s="118">
        <f>'2011 полн'!BG15</f>
        <v>-5686.68</v>
      </c>
      <c r="S21" s="118">
        <f>'2011 полн'!BH15</f>
        <v>0</v>
      </c>
      <c r="T21" s="39"/>
      <c r="U21" s="39"/>
    </row>
    <row r="22" spans="1:19" ht="12.75">
      <c r="A22" s="53" t="s">
        <v>39</v>
      </c>
      <c r="B22" s="19">
        <f>'2011 полн'!B16</f>
        <v>4793.3</v>
      </c>
      <c r="C22" s="9">
        <f>'2011 полн'!C16</f>
        <v>40982.715000000004</v>
      </c>
      <c r="D22" s="10">
        <f>'2011 полн'!D16</f>
        <v>174.22</v>
      </c>
      <c r="E22" s="114">
        <f>'2011 полн'!U16</f>
        <v>40739.34</v>
      </c>
      <c r="F22" s="114">
        <f>'2011 полн'!V16</f>
        <v>0</v>
      </c>
      <c r="G22" s="119">
        <f>'2011 полн'!AF16</f>
        <v>36715.46</v>
      </c>
      <c r="H22" s="119">
        <f>'2011 полн'!AG16</f>
        <v>36889.68</v>
      </c>
      <c r="I22" s="119">
        <f>'2011 полн'!AJ16</f>
        <v>747.546</v>
      </c>
      <c r="J22" s="119">
        <f>'2011 полн'!AK16</f>
        <v>3211.5110000000004</v>
      </c>
      <c r="K22" s="114">
        <f>'2011 полн'!AL16</f>
        <v>958.6600000000001</v>
      </c>
      <c r="L22" s="114">
        <f>'2011 полн'!AM16+'2011 полн'!AN16+'2011 полн'!AO16+'2011 полн'!AP16+'2011 полн'!AQ16+'2011 полн'!AR16+'2011 полн'!AS16+'2011 полн'!AT16+'2011 полн'!AX16-1572</f>
        <v>28497.232999999993</v>
      </c>
      <c r="M22" s="115">
        <f>'2011 полн'!AU16+'2011 полн'!AV16+'2011 полн'!AW16+1572</f>
        <v>14527</v>
      </c>
      <c r="N22" s="115">
        <f>'2011 полн'!AZ16</f>
        <v>0</v>
      </c>
      <c r="O22" s="120"/>
      <c r="P22" s="120">
        <f>'2011 полн'!BE16</f>
        <v>47679.310999999994</v>
      </c>
      <c r="Q22" s="120">
        <f>'2011 полн'!BF16</f>
        <v>-10042.084999999994</v>
      </c>
      <c r="R22" s="118">
        <f>'2011 полн'!BG16</f>
        <v>-4023.8799999999974</v>
      </c>
      <c r="S22" s="118">
        <f>'2011 полн'!BH16</f>
        <v>0</v>
      </c>
    </row>
    <row r="23" spans="1:19" ht="12.75">
      <c r="A23" s="53" t="s">
        <v>40</v>
      </c>
      <c r="B23" s="19">
        <f>'2011 полн'!B17</f>
        <v>4793.3</v>
      </c>
      <c r="C23" s="9">
        <f>'2011 полн'!C17</f>
        <v>40982.715000000004</v>
      </c>
      <c r="D23" s="10">
        <f>'2011 полн'!D17</f>
        <v>174.22</v>
      </c>
      <c r="E23" s="114">
        <f>'2011 полн'!U17</f>
        <v>40758.14</v>
      </c>
      <c r="F23" s="114">
        <f>'2011 полн'!V17</f>
        <v>0</v>
      </c>
      <c r="G23" s="119">
        <f>'2011 полн'!AF17</f>
        <v>37588.310000000005</v>
      </c>
      <c r="H23" s="119">
        <f>'2011 полн'!AG17</f>
        <v>37762.530000000006</v>
      </c>
      <c r="I23" s="119">
        <f>'2011 полн'!AJ17</f>
        <v>747.546</v>
      </c>
      <c r="J23" s="119">
        <f>'2011 полн'!AK17</f>
        <v>3211.5110000000004</v>
      </c>
      <c r="K23" s="114">
        <f>'2011 полн'!AL17</f>
        <v>958.6600000000001</v>
      </c>
      <c r="L23" s="114">
        <f>'2011 полн'!AM17+'2011 полн'!AN17+'2011 полн'!AO17+'2011 полн'!AP17+'2011 полн'!AQ17+'2011 полн'!AR17+'2011 полн'!AS17+'2011 полн'!AT17+'2011 полн'!AX17</f>
        <v>28261.812999999995</v>
      </c>
      <c r="M23" s="115">
        <f>'2011 полн'!AU17+'2011 полн'!AV17+'2011 полн'!AW17</f>
        <v>1623</v>
      </c>
      <c r="N23" s="115">
        <f>'2011 полн'!AY17</f>
        <v>0</v>
      </c>
      <c r="O23" s="120"/>
      <c r="P23" s="120">
        <f>'2011 полн'!BE17</f>
        <v>34539.890999999996</v>
      </c>
      <c r="Q23" s="120">
        <f>'2011 полн'!BF17</f>
        <v>3970.1850000000104</v>
      </c>
      <c r="R23" s="118">
        <f>'2011 полн'!BG17</f>
        <v>-3169.8299999999945</v>
      </c>
      <c r="S23" s="118">
        <f>'2011 полн'!BH17</f>
        <v>0</v>
      </c>
    </row>
    <row r="24" spans="1:19" ht="12.75">
      <c r="A24" s="53" t="s">
        <v>41</v>
      </c>
      <c r="B24" s="19">
        <f>'2011 полн'!B18</f>
        <v>4793.3</v>
      </c>
      <c r="C24" s="9">
        <f>'2011 полн'!C18</f>
        <v>40982.715000000004</v>
      </c>
      <c r="D24" s="10">
        <f>'2011 полн'!D18</f>
        <v>174.22</v>
      </c>
      <c r="E24" s="114">
        <f>'2011 полн'!U18</f>
        <v>41578.05</v>
      </c>
      <c r="F24" s="114">
        <f>'2011 полн'!V18</f>
        <v>0</v>
      </c>
      <c r="G24" s="119">
        <f>'2011 полн'!AF18</f>
        <v>32690.010000000002</v>
      </c>
      <c r="H24" s="119">
        <f>'2011 полн'!AG18</f>
        <v>32864.23</v>
      </c>
      <c r="I24" s="119">
        <f>'2011 полн'!AJ18</f>
        <v>747.546</v>
      </c>
      <c r="J24" s="119">
        <f>'2011 полн'!AK18</f>
        <v>3211.5110000000004</v>
      </c>
      <c r="K24" s="114">
        <f>'2011 полн'!AL18</f>
        <v>958.6600000000001</v>
      </c>
      <c r="L24" s="114">
        <f>'2011 полн'!AM18+'2011 полн'!AN18+'2011 полн'!AO18+'2011 полн'!AP18+'2011 полн'!AQ18+'2011 полн'!AR18+'2011 полн'!AS18+'2011 полн'!AT18+'2011 полн'!AX18</f>
        <v>29016.642999999996</v>
      </c>
      <c r="M24" s="115">
        <f>'2011 полн'!AU18+'2011 полн'!AV18+'2011 полн'!AW18</f>
        <v>4181</v>
      </c>
      <c r="N24" s="115">
        <f>'2011 полн'!AY18</f>
        <v>0</v>
      </c>
      <c r="O24" s="120"/>
      <c r="P24" s="120">
        <f>'2011 полн'!BE18</f>
        <v>37852.721</v>
      </c>
      <c r="Q24" s="120">
        <f>'2011 полн'!BF18</f>
        <v>-4240.944999999994</v>
      </c>
      <c r="R24" s="118">
        <f>'2011 полн'!BG18</f>
        <v>-8888.04</v>
      </c>
      <c r="S24" s="118">
        <f>'2011 полн'!BH18</f>
        <v>0</v>
      </c>
    </row>
    <row r="25" spans="1:19" ht="12.75">
      <c r="A25" s="53" t="s">
        <v>31</v>
      </c>
      <c r="B25" s="19">
        <f>'2011 полн'!B19</f>
        <v>4793.3</v>
      </c>
      <c r="C25" s="9">
        <f>'2011 полн'!C19</f>
        <v>40982.715000000004</v>
      </c>
      <c r="D25" s="10">
        <f>'2011 полн'!D19</f>
        <v>174.22</v>
      </c>
      <c r="E25" s="114">
        <f>'2011 полн'!U19</f>
        <v>41596.170000000006</v>
      </c>
      <c r="F25" s="114">
        <f>'2011 полн'!V19</f>
        <v>0</v>
      </c>
      <c r="G25" s="119">
        <f>'2011 полн'!AF19</f>
        <v>45505.54</v>
      </c>
      <c r="H25" s="119">
        <f>'2011 полн'!AG19</f>
        <v>45679.76</v>
      </c>
      <c r="I25" s="119">
        <f>'2011 полн'!AJ19</f>
        <v>747.546</v>
      </c>
      <c r="J25" s="119">
        <f>'2011 полн'!AK19</f>
        <v>3211.5110000000004</v>
      </c>
      <c r="K25" s="114">
        <f>'2011 полн'!AL19</f>
        <v>958.6600000000001</v>
      </c>
      <c r="L25" s="114">
        <f>'2011 полн'!AM19+'2011 полн'!AN19+'2011 полн'!AO19+'2011 полн'!AP19+'2011 полн'!AQ19+'2011 полн'!AR19+'2011 полн'!AS19+'2011 полн'!AT19+'2011 полн'!AX19</f>
        <v>38978.507999999994</v>
      </c>
      <c r="M25" s="115">
        <f>'2011 полн'!AU19+'2011 полн'!AV19+'2011 полн'!AW19</f>
        <v>8004</v>
      </c>
      <c r="N25" s="115">
        <f>'2011 полн'!AY19</f>
        <v>0</v>
      </c>
      <c r="O25" s="120"/>
      <c r="P25" s="120">
        <f>'2011 полн'!BE19</f>
        <v>51637.585999999996</v>
      </c>
      <c r="Q25" s="120">
        <f>'2011 полн'!BF19</f>
        <v>-5210.279999999993</v>
      </c>
      <c r="R25" s="118">
        <f>'2011 полн'!BG19</f>
        <v>3909.3699999999953</v>
      </c>
      <c r="S25" s="118">
        <f>'2011 полн'!BH19</f>
        <v>0</v>
      </c>
    </row>
    <row r="26" spans="1:19" ht="12.75">
      <c r="A26" s="145" t="s">
        <v>32</v>
      </c>
      <c r="B26" s="214">
        <f>'2011 полн'!B20</f>
        <v>4793.3</v>
      </c>
      <c r="C26" s="146">
        <f>'2011 полн'!C20</f>
        <v>40982.715000000004</v>
      </c>
      <c r="D26" s="215">
        <f>'2011 полн'!D20</f>
        <v>174.22</v>
      </c>
      <c r="E26" s="216">
        <f>'2011 полн'!U20</f>
        <v>41598.71</v>
      </c>
      <c r="F26" s="216">
        <f>'2011 полн'!V20</f>
        <v>0</v>
      </c>
      <c r="G26" s="217">
        <f>'2011 полн'!AF20</f>
        <v>39471.22</v>
      </c>
      <c r="H26" s="217">
        <f>'2011 полн'!AG20</f>
        <v>39645.44</v>
      </c>
      <c r="I26" s="217">
        <f>'2011 полн'!AJ20</f>
        <v>747.546</v>
      </c>
      <c r="J26" s="217">
        <f>'2011 полн'!AK20</f>
        <v>3211.5110000000004</v>
      </c>
      <c r="K26" s="216">
        <f>'2011 полн'!AL20</f>
        <v>958.6600000000001</v>
      </c>
      <c r="L26" s="216">
        <f>'2011 полн'!AM20+'2011 полн'!AN20+'2011 полн'!AO20+'2011 полн'!AP20+'2011 полн'!AQ20+'2011 полн'!AR20+'2011 полн'!AS20+'2011 полн'!AT20+'2011 полн'!AX20</f>
        <v>34180.187999999995</v>
      </c>
      <c r="M26" s="218">
        <f>'2011 полн'!AU20+'2011 полн'!AV20+'2011 полн'!AW20</f>
        <v>263</v>
      </c>
      <c r="N26" s="218">
        <f>'2011 полн'!AY20</f>
        <v>0</v>
      </c>
      <c r="O26" s="219"/>
      <c r="P26" s="219">
        <f>'2011 полн'!BF20</f>
        <v>1294.7200000000064</v>
      </c>
      <c r="Q26" s="219">
        <f>'2011 полн'!BG20</f>
        <v>-2127.489999999998</v>
      </c>
      <c r="R26" s="220">
        <f>'2011 полн'!BH20</f>
        <v>0</v>
      </c>
      <c r="S26" s="220">
        <f>'2011 полн'!BI20</f>
        <v>0</v>
      </c>
    </row>
    <row r="27" spans="1:19" ht="13.5" thickBot="1">
      <c r="A27" s="53" t="s">
        <v>106</v>
      </c>
      <c r="B27" s="19">
        <f>'2011 полн'!B21</f>
        <v>4793.3</v>
      </c>
      <c r="C27" s="9">
        <f>'2011 полн'!C21</f>
        <v>40982.715000000004</v>
      </c>
      <c r="D27" s="10">
        <f>'2011 полн'!D21</f>
        <v>174.22</v>
      </c>
      <c r="E27" s="114">
        <f>'2011 полн'!U21</f>
        <v>41566.55</v>
      </c>
      <c r="F27" s="114">
        <f>'2011 полн'!V21</f>
        <v>0</v>
      </c>
      <c r="G27" s="119">
        <f>'2011 полн'!AF21</f>
        <v>49449.11</v>
      </c>
      <c r="H27" s="119">
        <f>'2011 полн'!AG21</f>
        <v>49623.33</v>
      </c>
      <c r="I27" s="119">
        <f>'2011 полн'!AJ21</f>
        <v>747.546</v>
      </c>
      <c r="J27" s="119">
        <f>'2011 полн'!AK21</f>
        <v>3211.5110000000004</v>
      </c>
      <c r="K27" s="114">
        <f>'2011 полн'!AL21</f>
        <v>958.6600000000001</v>
      </c>
      <c r="L27" s="114">
        <f>'2011 полн'!AM21+'2011 полн'!AN21+'2011 полн'!AO21+'2011 полн'!AP21+'2011 полн'!AQ21+'2011 полн'!AR21+'2011 полн'!AS21+'2011 полн'!AT21+'2011 полн'!AX21</f>
        <v>34762.10799999999</v>
      </c>
      <c r="M27" s="115">
        <f>'2011 полн'!AU21+'2011 полн'!AV21+'2011 полн'!AW21</f>
        <v>1656</v>
      </c>
      <c r="N27" s="115">
        <f>'2011 полн'!AY21</f>
        <v>0</v>
      </c>
      <c r="O27" s="120"/>
      <c r="P27" s="120">
        <f>'2011 полн'!BF21</f>
        <v>9297.690000000008</v>
      </c>
      <c r="Q27" s="120">
        <f>'2011 полн'!BG21</f>
        <v>7882.559999999998</v>
      </c>
      <c r="R27" s="118">
        <f>'2011 полн'!BH21</f>
        <v>0</v>
      </c>
      <c r="S27" s="118">
        <f>'2011 полн'!BI21</f>
        <v>0</v>
      </c>
    </row>
    <row r="28" spans="1:21" s="3" customFormat="1" ht="13.5" thickBot="1">
      <c r="A28" s="11" t="s">
        <v>4</v>
      </c>
      <c r="B28" s="147"/>
      <c r="C28" s="151">
        <f aca="true" t="shared" si="0" ref="C28:R28">SUM(C16:C27)</f>
        <v>491792.58000000013</v>
      </c>
      <c r="D28" s="151">
        <f t="shared" si="0"/>
        <v>2126.85</v>
      </c>
      <c r="E28" s="151">
        <f t="shared" si="0"/>
        <v>492392.98</v>
      </c>
      <c r="F28" s="151">
        <f t="shared" si="0"/>
        <v>0</v>
      </c>
      <c r="G28" s="151">
        <f t="shared" si="0"/>
        <v>460205.03099999996</v>
      </c>
      <c r="H28" s="151">
        <f t="shared" si="0"/>
        <v>462331.88100000005</v>
      </c>
      <c r="I28" s="151">
        <f t="shared" si="0"/>
        <v>8970.552000000001</v>
      </c>
      <c r="J28" s="151">
        <f t="shared" si="0"/>
        <v>38538.132</v>
      </c>
      <c r="K28" s="151">
        <f t="shared" si="0"/>
        <v>11503.92</v>
      </c>
      <c r="L28" s="151">
        <f t="shared" si="0"/>
        <v>380210.78599999996</v>
      </c>
      <c r="M28" s="151">
        <f t="shared" si="0"/>
        <v>59757</v>
      </c>
      <c r="N28" s="151">
        <f t="shared" si="0"/>
        <v>0</v>
      </c>
      <c r="O28" s="151">
        <f t="shared" si="0"/>
        <v>0</v>
      </c>
      <c r="P28" s="151">
        <f t="shared" si="0"/>
        <v>279945.415</v>
      </c>
      <c r="Q28" s="151">
        <f t="shared" si="0"/>
        <v>10471.312000000042</v>
      </c>
      <c r="R28" s="151">
        <f t="shared" si="0"/>
        <v>-21423.045</v>
      </c>
      <c r="S28" s="151">
        <f>SUM(S16:S27)</f>
        <v>-3593.5499999999956</v>
      </c>
      <c r="T28" s="94"/>
      <c r="U28" s="94"/>
    </row>
    <row r="29" spans="1:19" ht="13.5" thickBot="1">
      <c r="A29" s="314" t="s">
        <v>64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105"/>
      <c r="R29" s="106"/>
      <c r="S29" s="106"/>
    </row>
    <row r="30" spans="1:21" s="3" customFormat="1" ht="13.5" thickBot="1">
      <c r="A30" s="107" t="s">
        <v>90</v>
      </c>
      <c r="B30" s="108"/>
      <c r="C30" s="14">
        <f aca="true" t="shared" si="1" ref="C30:S30">C28+C14</f>
        <v>1611157.94</v>
      </c>
      <c r="D30" s="14">
        <f t="shared" si="1"/>
        <v>239457.88268680012</v>
      </c>
      <c r="E30" s="14">
        <f t="shared" si="1"/>
        <v>1357977.13</v>
      </c>
      <c r="F30" s="14">
        <f t="shared" si="1"/>
        <v>108420.78</v>
      </c>
      <c r="G30" s="14">
        <f>G28+G14</f>
        <v>1246606.821</v>
      </c>
      <c r="H30" s="14">
        <f t="shared" si="1"/>
        <v>1594485.4836868003</v>
      </c>
      <c r="I30" s="14">
        <f t="shared" si="1"/>
        <v>20830.403879999998</v>
      </c>
      <c r="J30" s="14">
        <f t="shared" si="1"/>
        <v>115031.96399999999</v>
      </c>
      <c r="K30" s="14">
        <f t="shared" si="1"/>
        <v>37135.5952916</v>
      </c>
      <c r="L30" s="14">
        <f t="shared" si="1"/>
        <v>923453.8056743752</v>
      </c>
      <c r="M30" s="14">
        <f t="shared" si="1"/>
        <v>507141.1016</v>
      </c>
      <c r="N30" s="14">
        <f t="shared" si="1"/>
        <v>27953.69</v>
      </c>
      <c r="O30" s="14">
        <f t="shared" si="1"/>
        <v>0</v>
      </c>
      <c r="P30" s="14">
        <f t="shared" si="1"/>
        <v>285483.4383442334</v>
      </c>
      <c r="Q30" s="14">
        <f t="shared" si="1"/>
        <v>1136715.6539102085</v>
      </c>
      <c r="R30" s="14">
        <f t="shared" si="1"/>
        <v>-3653.9323434084763</v>
      </c>
      <c r="S30" s="14">
        <f t="shared" si="1"/>
        <v>-82775.90999999997</v>
      </c>
      <c r="T30" s="109"/>
      <c r="U30" s="94"/>
    </row>
    <row r="32" spans="1:4" ht="12.75">
      <c r="A32" s="3" t="s">
        <v>54</v>
      </c>
      <c r="D32" s="21" t="s">
        <v>99</v>
      </c>
    </row>
    <row r="33" spans="1:4" ht="12.75">
      <c r="A33" s="51" t="s">
        <v>55</v>
      </c>
      <c r="B33" s="51" t="s">
        <v>56</v>
      </c>
      <c r="C33" s="401" t="s">
        <v>57</v>
      </c>
      <c r="D33" s="402"/>
    </row>
    <row r="34" spans="1:4" ht="12.75">
      <c r="A34" s="22">
        <v>413237.41</v>
      </c>
      <c r="B34" s="213">
        <v>335462.76</v>
      </c>
      <c r="C34" s="121">
        <f>A34-B34</f>
        <v>77774.64999999997</v>
      </c>
      <c r="D34" s="122"/>
    </row>
    <row r="35" ht="12.75">
      <c r="A35" s="15"/>
    </row>
    <row r="36" spans="1:7" ht="12.75">
      <c r="A36" s="37" t="s">
        <v>58</v>
      </c>
      <c r="G36" s="37" t="s">
        <v>59</v>
      </c>
    </row>
    <row r="37" ht="12.75">
      <c r="A37" s="39"/>
    </row>
    <row r="38" ht="12.75">
      <c r="A38" s="39"/>
    </row>
    <row r="39" ht="12.75">
      <c r="A39" s="37" t="s">
        <v>96</v>
      </c>
    </row>
    <row r="40" ht="12.75">
      <c r="A40" s="37" t="s">
        <v>97</v>
      </c>
    </row>
  </sheetData>
  <sheetProtection/>
  <mergeCells count="29">
    <mergeCell ref="C33:D33"/>
    <mergeCell ref="O10:O11"/>
    <mergeCell ref="P10:P11"/>
    <mergeCell ref="Q10:Q11"/>
    <mergeCell ref="A13:P13"/>
    <mergeCell ref="A29:P29"/>
    <mergeCell ref="J8:Q9"/>
    <mergeCell ref="A8:A11"/>
    <mergeCell ref="B8:B11"/>
    <mergeCell ref="C8:C11"/>
    <mergeCell ref="D8:D11"/>
    <mergeCell ref="R8:R11"/>
    <mergeCell ref="I8:I11"/>
    <mergeCell ref="S8:S11"/>
    <mergeCell ref="E10:F10"/>
    <mergeCell ref="H10:H11"/>
    <mergeCell ref="J10:J11"/>
    <mergeCell ref="K10:K11"/>
    <mergeCell ref="L10:L11"/>
    <mergeCell ref="M10:M11"/>
    <mergeCell ref="N10:N11"/>
    <mergeCell ref="E8:F9"/>
    <mergeCell ref="G8:H9"/>
    <mergeCell ref="B1:H1"/>
    <mergeCell ref="B2:H2"/>
    <mergeCell ref="A5:P5"/>
    <mergeCell ref="A6:G6"/>
    <mergeCell ref="A7:D7"/>
    <mergeCell ref="E7:F7"/>
  </mergeCells>
  <printOptions/>
  <pageMargins left="0.2362204724409449" right="0.1968503937007874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3">
      <selection activeCell="B40" sqref="B40"/>
    </sheetView>
  </sheetViews>
  <sheetFormatPr defaultColWidth="9.00390625" defaultRowHeight="12.75"/>
  <cols>
    <col min="1" max="2" width="9.875" style="37" customWidth="1"/>
    <col min="3" max="3" width="11.375" style="37" customWidth="1"/>
    <col min="4" max="4" width="10.00390625" style="37" customWidth="1"/>
    <col min="5" max="5" width="11.375" style="37" customWidth="1"/>
    <col min="6" max="6" width="9.875" style="37" customWidth="1"/>
    <col min="7" max="7" width="11.625" style="37" customWidth="1"/>
    <col min="8" max="8" width="11.375" style="37" customWidth="1"/>
    <col min="9" max="9" width="9.125" style="37" customWidth="1"/>
    <col min="10" max="10" width="9.875" style="37" customWidth="1"/>
    <col min="11" max="11" width="9.125" style="37" customWidth="1"/>
    <col min="12" max="12" width="10.00390625" style="37" customWidth="1"/>
    <col min="13" max="13" width="9.875" style="37" customWidth="1"/>
    <col min="14" max="14" width="8.875" style="37" hidden="1" customWidth="1"/>
    <col min="15" max="15" width="11.625" style="37" hidden="1" customWidth="1"/>
    <col min="16" max="16" width="10.00390625" style="37" customWidth="1"/>
    <col min="17" max="17" width="11.375" style="37" customWidth="1"/>
    <col min="18" max="18" width="9.75390625" style="37" customWidth="1"/>
    <col min="19" max="19" width="10.625" style="37" customWidth="1"/>
    <col min="20" max="16384" width="9.125" style="37" customWidth="1"/>
  </cols>
  <sheetData>
    <row r="1" spans="2:9" ht="20.25" customHeight="1">
      <c r="B1" s="280" t="s">
        <v>42</v>
      </c>
      <c r="C1" s="280"/>
      <c r="D1" s="280"/>
      <c r="E1" s="280"/>
      <c r="F1" s="280"/>
      <c r="G1" s="280"/>
      <c r="H1" s="280"/>
      <c r="I1" s="4"/>
    </row>
    <row r="2" spans="2:12" ht="21" customHeight="1">
      <c r="B2" s="280" t="s">
        <v>43</v>
      </c>
      <c r="C2" s="280"/>
      <c r="D2" s="280"/>
      <c r="E2" s="280"/>
      <c r="F2" s="280"/>
      <c r="G2" s="280"/>
      <c r="H2" s="280"/>
      <c r="I2" s="4"/>
      <c r="K2" s="39"/>
      <c r="L2" s="39"/>
    </row>
    <row r="5" spans="1:16" ht="12.75">
      <c r="A5" s="281" t="s">
        <v>127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16" ht="12.75">
      <c r="A6" s="282" t="s">
        <v>126</v>
      </c>
      <c r="B6" s="282"/>
      <c r="C6" s="282"/>
      <c r="D6" s="282"/>
      <c r="E6" s="282"/>
      <c r="F6" s="282"/>
      <c r="G6" s="282"/>
      <c r="H6" s="102"/>
      <c r="I6" s="102"/>
      <c r="J6" s="102"/>
      <c r="K6" s="102"/>
      <c r="L6" s="102"/>
      <c r="M6" s="102"/>
      <c r="N6" s="102"/>
      <c r="O6" s="102"/>
      <c r="P6" s="102"/>
    </row>
    <row r="7" spans="1:17" ht="13.5" thickBot="1">
      <c r="A7" s="283" t="s">
        <v>44</v>
      </c>
      <c r="B7" s="283"/>
      <c r="C7" s="283"/>
      <c r="D7" s="283"/>
      <c r="E7" s="283">
        <v>8.55</v>
      </c>
      <c r="F7" s="283"/>
      <c r="J7" s="103"/>
      <c r="K7" s="103"/>
      <c r="L7" s="103"/>
      <c r="M7" s="103"/>
      <c r="N7" s="103"/>
      <c r="O7" s="103"/>
      <c r="P7" s="103"/>
      <c r="Q7" s="103"/>
    </row>
    <row r="8" spans="1:19" ht="12.75" customHeight="1">
      <c r="A8" s="233" t="s">
        <v>45</v>
      </c>
      <c r="B8" s="285" t="s">
        <v>1</v>
      </c>
      <c r="C8" s="288" t="s">
        <v>46</v>
      </c>
      <c r="D8" s="291" t="s">
        <v>3</v>
      </c>
      <c r="E8" s="294" t="s">
        <v>47</v>
      </c>
      <c r="F8" s="295"/>
      <c r="G8" s="298" t="s">
        <v>62</v>
      </c>
      <c r="H8" s="299"/>
      <c r="I8" s="392" t="s">
        <v>98</v>
      </c>
      <c r="J8" s="395" t="s">
        <v>7</v>
      </c>
      <c r="K8" s="396"/>
      <c r="L8" s="396"/>
      <c r="M8" s="396"/>
      <c r="N8" s="396"/>
      <c r="O8" s="396"/>
      <c r="P8" s="396"/>
      <c r="Q8" s="397"/>
      <c r="R8" s="392" t="s">
        <v>48</v>
      </c>
      <c r="S8" s="392" t="s">
        <v>9</v>
      </c>
    </row>
    <row r="9" spans="1:19" ht="12.75">
      <c r="A9" s="234"/>
      <c r="B9" s="286"/>
      <c r="C9" s="289"/>
      <c r="D9" s="292"/>
      <c r="E9" s="296"/>
      <c r="F9" s="297"/>
      <c r="G9" s="300"/>
      <c r="H9" s="301"/>
      <c r="I9" s="393"/>
      <c r="J9" s="398"/>
      <c r="K9" s="399"/>
      <c r="L9" s="399"/>
      <c r="M9" s="399"/>
      <c r="N9" s="399"/>
      <c r="O9" s="399"/>
      <c r="P9" s="399"/>
      <c r="Q9" s="400"/>
      <c r="R9" s="393"/>
      <c r="S9" s="393"/>
    </row>
    <row r="10" spans="1:19" ht="26.25" customHeight="1">
      <c r="A10" s="234"/>
      <c r="B10" s="286"/>
      <c r="C10" s="289"/>
      <c r="D10" s="292"/>
      <c r="E10" s="305" t="s">
        <v>49</v>
      </c>
      <c r="F10" s="306"/>
      <c r="G10" s="104" t="s">
        <v>92</v>
      </c>
      <c r="H10" s="307" t="s">
        <v>6</v>
      </c>
      <c r="I10" s="393"/>
      <c r="J10" s="309" t="s">
        <v>50</v>
      </c>
      <c r="K10" s="311" t="s">
        <v>93</v>
      </c>
      <c r="L10" s="311" t="s">
        <v>51</v>
      </c>
      <c r="M10" s="311" t="s">
        <v>28</v>
      </c>
      <c r="N10" s="311" t="s">
        <v>52</v>
      </c>
      <c r="O10" s="312" t="s">
        <v>29</v>
      </c>
      <c r="P10" s="312" t="s">
        <v>94</v>
      </c>
      <c r="Q10" s="308" t="s">
        <v>30</v>
      </c>
      <c r="R10" s="393"/>
      <c r="S10" s="393"/>
    </row>
    <row r="11" spans="1:19" ht="66.75" customHeight="1" thickBot="1">
      <c r="A11" s="284"/>
      <c r="B11" s="287"/>
      <c r="C11" s="290"/>
      <c r="D11" s="293"/>
      <c r="E11" s="5" t="s">
        <v>53</v>
      </c>
      <c r="F11" s="6" t="s">
        <v>17</v>
      </c>
      <c r="G11" s="36" t="s">
        <v>95</v>
      </c>
      <c r="H11" s="308"/>
      <c r="I11" s="394"/>
      <c r="J11" s="310"/>
      <c r="K11" s="312"/>
      <c r="L11" s="312"/>
      <c r="M11" s="312"/>
      <c r="N11" s="312"/>
      <c r="O11" s="403"/>
      <c r="P11" s="403"/>
      <c r="Q11" s="404"/>
      <c r="R11" s="394"/>
      <c r="S11" s="394"/>
    </row>
    <row r="12" spans="1:19" ht="13.5" thickBot="1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8">
        <v>8</v>
      </c>
      <c r="I12" s="7">
        <v>9</v>
      </c>
      <c r="J12" s="8">
        <v>10</v>
      </c>
      <c r="K12" s="7">
        <v>11</v>
      </c>
      <c r="L12" s="8">
        <v>12</v>
      </c>
      <c r="M12" s="7">
        <v>13</v>
      </c>
      <c r="N12" s="8">
        <v>14</v>
      </c>
      <c r="O12" s="7">
        <v>15</v>
      </c>
      <c r="P12" s="8">
        <v>16</v>
      </c>
      <c r="Q12" s="7">
        <v>17</v>
      </c>
      <c r="R12" s="8">
        <v>18</v>
      </c>
      <c r="S12" s="7">
        <v>19</v>
      </c>
    </row>
    <row r="13" spans="1:19" ht="13.5" thickBot="1">
      <c r="A13" s="314" t="s">
        <v>63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105"/>
      <c r="R13" s="106"/>
      <c r="S13" s="106"/>
    </row>
    <row r="14" spans="1:21" s="3" customFormat="1" ht="13.5" thickBot="1">
      <c r="A14" s="107" t="s">
        <v>90</v>
      </c>
      <c r="B14" s="108"/>
      <c r="C14" s="14">
        <f>'2011 полн'!C8</f>
        <v>1119365.3599999999</v>
      </c>
      <c r="D14" s="14">
        <f>'2011 полн'!D8</f>
        <v>237331.0326868001</v>
      </c>
      <c r="E14" s="14">
        <f>'2011 полн'!U8</f>
        <v>865584.15</v>
      </c>
      <c r="F14" s="14">
        <f>'2011 полн'!V8</f>
        <v>108420.78</v>
      </c>
      <c r="G14" s="14">
        <f>'2011 полн'!AF8</f>
        <v>786401.79</v>
      </c>
      <c r="H14" s="14">
        <f>'2011 полн'!AG8</f>
        <v>1132153.6026868003</v>
      </c>
      <c r="I14" s="14">
        <f>'2011 полн'!AJ8</f>
        <v>11859.851879999998</v>
      </c>
      <c r="J14" s="14">
        <f>'2011 полн'!AK8</f>
        <v>76493.832</v>
      </c>
      <c r="K14" s="14">
        <f>'2011 полн'!AL8</f>
        <v>25631.675291600004</v>
      </c>
      <c r="L14" s="14">
        <f>'2011 полн'!AM8+'2011 полн'!AO8+'2011 полн'!AP8+'2011 полн'!AT8+27953.69</f>
        <v>571196.7096743751</v>
      </c>
      <c r="M14" s="14">
        <f>'2011 полн'!AU8+'2011 полн'!AW8+'2011 полн'!AX8</f>
        <v>447384.1016</v>
      </c>
      <c r="N14" s="14"/>
      <c r="O14" s="14"/>
      <c r="P14" s="14">
        <f>'2011 полн'!BD8</f>
        <v>5538.023344233401</v>
      </c>
      <c r="Q14" s="14">
        <f>J14+K14+L14+M14+P14</f>
        <v>1126244.3419102086</v>
      </c>
      <c r="R14" s="14">
        <f>'2011 полн'!BF8</f>
        <v>17769.112656591522</v>
      </c>
      <c r="S14" s="14">
        <f>'2011 полн'!BG8</f>
        <v>-79182.35999999999</v>
      </c>
      <c r="T14" s="109"/>
      <c r="U14" s="94"/>
    </row>
    <row r="15" spans="1:21" ht="12.75">
      <c r="A15" s="2" t="s">
        <v>91</v>
      </c>
      <c r="B15" s="110"/>
      <c r="C15" s="12"/>
      <c r="D15" s="13"/>
      <c r="E15" s="111"/>
      <c r="F15" s="112"/>
      <c r="G15" s="113"/>
      <c r="H15" s="112"/>
      <c r="I15" s="132"/>
      <c r="J15" s="113"/>
      <c r="K15" s="114"/>
      <c r="L15" s="114"/>
      <c r="M15" s="115"/>
      <c r="N15" s="20"/>
      <c r="O15" s="116"/>
      <c r="P15" s="116"/>
      <c r="Q15" s="117"/>
      <c r="R15" s="118"/>
      <c r="S15" s="118"/>
      <c r="T15" s="39"/>
      <c r="U15" s="39"/>
    </row>
    <row r="16" spans="1:21" ht="12.75">
      <c r="A16" s="53" t="s">
        <v>33</v>
      </c>
      <c r="B16" s="19">
        <f>'2011 полн'!B10</f>
        <v>4793.3</v>
      </c>
      <c r="C16" s="9">
        <f>'2011 полн'!C10</f>
        <v>40982.715000000004</v>
      </c>
      <c r="D16" s="10">
        <f>'2011 полн'!D10</f>
        <v>210.43</v>
      </c>
      <c r="E16" s="114">
        <f>'2011 полн'!U10</f>
        <v>41265.72</v>
      </c>
      <c r="F16" s="114">
        <f>'2011 полн'!V10</f>
        <v>0</v>
      </c>
      <c r="G16" s="119">
        <f>'2011 полн'!AF10</f>
        <v>32104.050999999996</v>
      </c>
      <c r="H16" s="119">
        <f>'2011 полн'!AG10</f>
        <v>32314.480999999996</v>
      </c>
      <c r="I16" s="119">
        <f>'2011 полн'!AJ10</f>
        <v>747.546</v>
      </c>
      <c r="J16" s="119">
        <f>'2011 полн'!AK10</f>
        <v>3211.5110000000004</v>
      </c>
      <c r="K16" s="114">
        <f>'2011 полн'!AL10</f>
        <v>958.6600000000001</v>
      </c>
      <c r="L16" s="114">
        <f>'2011 полн'!AM10+'2011 полн'!AN10+'2011 полн'!AO10+'2011 полн'!AP10+'2011 полн'!AQ10+'2011 полн'!AR10+'2011 полн'!AS10+'2011 полн'!AT10+'2011 полн'!AX10+'2011 полн'!AY10</f>
        <v>34048.397999999994</v>
      </c>
      <c r="M16" s="115">
        <f>'2011 полн'!AU10+'2011 полн'!AV10+'2011 полн'!AW10</f>
        <v>21665</v>
      </c>
      <c r="N16" s="115">
        <f>'2011 полн'!AY10</f>
        <v>0</v>
      </c>
      <c r="O16" s="120"/>
      <c r="P16" s="120">
        <f>'2011 полн'!BD10</f>
        <v>484.90700000000004</v>
      </c>
      <c r="Q16" s="120">
        <f>J16+K16+L16+M16+P16</f>
        <v>60368.475999999995</v>
      </c>
      <c r="R16" s="118">
        <f>'2011 полн'!BF10</f>
        <v>-27306.449</v>
      </c>
      <c r="S16" s="118">
        <f>'2011 полн'!BG10</f>
        <v>-9161.669000000005</v>
      </c>
      <c r="T16" s="39"/>
      <c r="U16" s="39"/>
    </row>
    <row r="17" spans="1:21" ht="12.75">
      <c r="A17" s="53" t="s">
        <v>34</v>
      </c>
      <c r="B17" s="19">
        <f>'2011 полн'!B11</f>
        <v>4793.3</v>
      </c>
      <c r="C17" s="9">
        <f>'2011 полн'!C11</f>
        <v>40982.715000000004</v>
      </c>
      <c r="D17" s="10">
        <f>'2011 полн'!D11</f>
        <v>174.22</v>
      </c>
      <c r="E17" s="114">
        <f>'2011 полн'!U11</f>
        <v>40253.48</v>
      </c>
      <c r="F17" s="114">
        <f>'2011 полн'!V11</f>
        <v>0</v>
      </c>
      <c r="G17" s="119">
        <f>'2011 полн'!AF11</f>
        <v>37570.5</v>
      </c>
      <c r="H17" s="119">
        <f>'2011 полн'!AG11</f>
        <v>37744.72</v>
      </c>
      <c r="I17" s="119">
        <f>'2011 полн'!AJ11</f>
        <v>747.546</v>
      </c>
      <c r="J17" s="119">
        <f>'2011 полн'!AK11</f>
        <v>3211.5110000000004</v>
      </c>
      <c r="K17" s="114">
        <f>'2011 полн'!AL11</f>
        <v>958.6600000000001</v>
      </c>
      <c r="L17" s="114">
        <f>'2011 полн'!AM11+'2011 полн'!AN11+'2011 полн'!AO11+'2011 полн'!AP11+'2011 полн'!AQ11+'2011 полн'!AR11+'2011 полн'!AS11+'2011 полн'!AT11+'2011 полн'!AX11+'2011 полн'!AY11</f>
        <v>33994.94799999999</v>
      </c>
      <c r="M17" s="115">
        <f>'2011 полн'!AU11+'2011 полн'!AV11+'2011 полн'!AW11</f>
        <v>3688</v>
      </c>
      <c r="N17" s="115">
        <f>'2011 полн'!AY11</f>
        <v>0</v>
      </c>
      <c r="O17" s="120"/>
      <c r="P17" s="120">
        <f>'2011 полн'!BD11</f>
        <v>484.90700000000004</v>
      </c>
      <c r="Q17" s="120">
        <f aca="true" t="shared" si="0" ref="Q17:Q27">J17+K17+L17+M17+P17</f>
        <v>42338.02599999999</v>
      </c>
      <c r="R17" s="118">
        <f>'2011 полн'!BF11</f>
        <v>-3845.7599999999893</v>
      </c>
      <c r="S17" s="118">
        <f>'2011 полн'!BG11</f>
        <v>-2682.980000000003</v>
      </c>
      <c r="T17" s="39"/>
      <c r="U17" s="39"/>
    </row>
    <row r="18" spans="1:21" ht="12.75">
      <c r="A18" s="53" t="s">
        <v>35</v>
      </c>
      <c r="B18" s="19">
        <f>'2011 полн'!B12</f>
        <v>4793.3</v>
      </c>
      <c r="C18" s="9">
        <f>'2011 полн'!C12</f>
        <v>40982.715000000004</v>
      </c>
      <c r="D18" s="10">
        <f>'2011 полн'!D12</f>
        <v>174.22</v>
      </c>
      <c r="E18" s="114">
        <f>'2011 полн'!U12</f>
        <v>40771.100000000006</v>
      </c>
      <c r="F18" s="114">
        <f>'2011 полн'!V12</f>
        <v>0</v>
      </c>
      <c r="G18" s="119">
        <f>'2011 полн'!AF12</f>
        <v>36926.780000000006</v>
      </c>
      <c r="H18" s="119">
        <f>'2011 полн'!AG12</f>
        <v>37101.00000000001</v>
      </c>
      <c r="I18" s="119">
        <f>'2011 полн'!AJ12</f>
        <v>747.546</v>
      </c>
      <c r="J18" s="119">
        <f>'2011 полн'!AK12</f>
        <v>3211.5110000000004</v>
      </c>
      <c r="K18" s="114">
        <f>'2011 полн'!AL12</f>
        <v>958.6600000000001</v>
      </c>
      <c r="L18" s="114">
        <f>'2011 полн'!AM12+'2011 полн'!AN12+'2011 полн'!AO12+'2011 полн'!AP12+'2011 полн'!AQ12+'2011 полн'!AR12+'2011 полн'!AS12+'2011 полн'!AT12+'2011 полн'!AX12+'2011 полн'!AY12</f>
        <v>33654.507999999994</v>
      </c>
      <c r="M18" s="115">
        <f>'2011 полн'!AU12+'2011 полн'!AV12+'2011 полн'!AW12</f>
        <v>2294</v>
      </c>
      <c r="N18" s="115">
        <f>'2011 полн'!AY12</f>
        <v>0</v>
      </c>
      <c r="O18" s="120"/>
      <c r="P18" s="120">
        <f>'2011 полн'!BD12</f>
        <v>484.90700000000004</v>
      </c>
      <c r="Q18" s="120">
        <f t="shared" si="0"/>
        <v>40603.585999999996</v>
      </c>
      <c r="R18" s="118">
        <f>'2011 полн'!BF12</f>
        <v>-2755.039999999988</v>
      </c>
      <c r="S18" s="118">
        <f>'2011 полн'!BG12</f>
        <v>-3844.3199999999997</v>
      </c>
      <c r="T18" s="39"/>
      <c r="U18" s="39"/>
    </row>
    <row r="19" spans="1:21" ht="12.75">
      <c r="A19" s="53" t="s">
        <v>36</v>
      </c>
      <c r="B19" s="19">
        <f>'2011 полн'!B13</f>
        <v>4793.3</v>
      </c>
      <c r="C19" s="9">
        <f>'2011 полн'!C13</f>
        <v>40982.715000000004</v>
      </c>
      <c r="D19" s="10">
        <f>'2011 полн'!D13</f>
        <v>174.22</v>
      </c>
      <c r="E19" s="114">
        <f>'2011 полн'!U13</f>
        <v>40771.100000000006</v>
      </c>
      <c r="F19" s="114">
        <f>'2011 полн'!V13</f>
        <v>0</v>
      </c>
      <c r="G19" s="119">
        <f>'2011 полн'!AF13</f>
        <v>39969.659999999996</v>
      </c>
      <c r="H19" s="119">
        <f>'2011 полн'!AG13</f>
        <v>40143.88</v>
      </c>
      <c r="I19" s="119">
        <f>'2011 полн'!AJ13</f>
        <v>747.546</v>
      </c>
      <c r="J19" s="119">
        <f>'2011 полн'!AK13</f>
        <v>3211.5110000000004</v>
      </c>
      <c r="K19" s="114">
        <f>'2011 полн'!AL13</f>
        <v>958.6600000000001</v>
      </c>
      <c r="L19" s="114">
        <f>'2011 полн'!AM13+'2011 полн'!AN13+'2011 полн'!AO13+'2011 полн'!AP13+'2011 полн'!AQ13+'2011 полн'!AR13+'2011 полн'!AS13+'2011 полн'!AT13+'2011 полн'!AX13+'2011 полн'!AY13</f>
        <v>28202.812999999995</v>
      </c>
      <c r="M19" s="115">
        <f>'2011 полн'!AU13+'2011 полн'!AV13+'2011 полн'!AW13</f>
        <v>0</v>
      </c>
      <c r="N19" s="115">
        <f>'2011 полн'!AY13</f>
        <v>0</v>
      </c>
      <c r="O19" s="120"/>
      <c r="P19" s="120">
        <f>'2011 полн'!BD13</f>
        <v>484.90700000000004</v>
      </c>
      <c r="Q19" s="120">
        <f t="shared" si="0"/>
        <v>32857.890999999996</v>
      </c>
      <c r="R19" s="118">
        <f>'2011 полн'!BF13</f>
        <v>8033.535000000002</v>
      </c>
      <c r="S19" s="118">
        <f>'2011 полн'!BG13</f>
        <v>-801.4400000000096</v>
      </c>
      <c r="T19" s="39"/>
      <c r="U19" s="39"/>
    </row>
    <row r="20" spans="1:21" ht="12.75">
      <c r="A20" s="53" t="s">
        <v>37</v>
      </c>
      <c r="B20" s="19">
        <f>'2011 полн'!B14</f>
        <v>4793.3</v>
      </c>
      <c r="C20" s="9">
        <f>'2011 полн'!C14</f>
        <v>40982.715000000004</v>
      </c>
      <c r="D20" s="10">
        <f>'2011 полн'!D14</f>
        <v>174.22</v>
      </c>
      <c r="E20" s="114">
        <f>'2011 полн'!U14</f>
        <v>40726.43</v>
      </c>
      <c r="F20" s="114">
        <f>'2011 полн'!V14</f>
        <v>0</v>
      </c>
      <c r="G20" s="119">
        <f>'2011 полн'!AF14</f>
        <v>37132.880000000005</v>
      </c>
      <c r="H20" s="119">
        <f>'2011 полн'!AG14</f>
        <v>37307.100000000006</v>
      </c>
      <c r="I20" s="119">
        <f>'2011 полн'!AJ14</f>
        <v>747.546</v>
      </c>
      <c r="J20" s="119">
        <f>'2011 полн'!AK14</f>
        <v>3211.5110000000004</v>
      </c>
      <c r="K20" s="114">
        <f>'2011 полн'!AL14</f>
        <v>958.6600000000001</v>
      </c>
      <c r="L20" s="114">
        <f>'2011 полн'!AM14+'2011 полн'!AN14+'2011 полн'!AO14+'2011 полн'!AP14+'2011 полн'!AQ14+'2011 полн'!AR14+'2011 полн'!AS14+'2011 полн'!AT14+'2011 полн'!AX14+'2011 полн'!AY14</f>
        <v>28464.812999999995</v>
      </c>
      <c r="M20" s="115">
        <f>'2011 полн'!AU14+'2011 полн'!AV14+'2011 полн'!AW14</f>
        <v>1170</v>
      </c>
      <c r="N20" s="115">
        <f>'2011 полн'!AY14</f>
        <v>0</v>
      </c>
      <c r="O20" s="120"/>
      <c r="P20" s="120">
        <f>'2011 полн'!BD14</f>
        <v>484.90700000000004</v>
      </c>
      <c r="Q20" s="120">
        <f t="shared" si="0"/>
        <v>34289.890999999996</v>
      </c>
      <c r="R20" s="118">
        <f>'2011 полн'!BF14</f>
        <v>3764.75500000001</v>
      </c>
      <c r="S20" s="118">
        <f>'2011 полн'!BG14</f>
        <v>-3593.5499999999956</v>
      </c>
      <c r="T20" s="39"/>
      <c r="U20" s="39"/>
    </row>
    <row r="21" spans="1:21" ht="12.75">
      <c r="A21" s="53" t="s">
        <v>38</v>
      </c>
      <c r="B21" s="19">
        <f>'2011 полн'!B15</f>
        <v>4793.3</v>
      </c>
      <c r="C21" s="9">
        <f>'2011 полн'!C15</f>
        <v>40982.715000000004</v>
      </c>
      <c r="D21" s="10">
        <f>'2011 полн'!D15</f>
        <v>174.22</v>
      </c>
      <c r="E21" s="114">
        <f>'2011 полн'!U15</f>
        <v>40768.19</v>
      </c>
      <c r="F21" s="114">
        <f>'2011 полн'!V15</f>
        <v>0</v>
      </c>
      <c r="G21" s="119">
        <f>'2011 полн'!AF15</f>
        <v>35081.51</v>
      </c>
      <c r="H21" s="119">
        <f>'2011 полн'!AG15</f>
        <v>35255.73</v>
      </c>
      <c r="I21" s="119">
        <f>'2011 полн'!AJ15</f>
        <v>747.546</v>
      </c>
      <c r="J21" s="119">
        <f>'2011 полн'!AK15</f>
        <v>3211.5110000000004</v>
      </c>
      <c r="K21" s="114">
        <f>'2011 полн'!AL15</f>
        <v>958.6600000000001</v>
      </c>
      <c r="L21" s="114">
        <f>'2011 полн'!AM15+'2011 полн'!AN15+'2011 полн'!AO15+'2011 полн'!AP15+'2011 полн'!AQ15+'2011 полн'!AR15+'2011 полн'!AS15+'2011 полн'!AT15+'2011 полн'!AX15+'2011 полн'!AY15</f>
        <v>28148.812999999995</v>
      </c>
      <c r="M21" s="115">
        <f>'2011 полн'!AU15+'2011 полн'!AV15+'2011 полн'!AW15</f>
        <v>686</v>
      </c>
      <c r="N21" s="115">
        <f>'2011 полн'!AY15</f>
        <v>0</v>
      </c>
      <c r="O21" s="120"/>
      <c r="P21" s="120">
        <f>'2011 полн'!BD15</f>
        <v>484.90700000000004</v>
      </c>
      <c r="Q21" s="120">
        <f t="shared" si="0"/>
        <v>33489.890999999996</v>
      </c>
      <c r="R21" s="118">
        <f>'2011 полн'!BF15</f>
        <v>2513.3850000000075</v>
      </c>
      <c r="S21" s="118">
        <f>'2011 полн'!BG15</f>
        <v>-5686.68</v>
      </c>
      <c r="T21" s="39"/>
      <c r="U21" s="39"/>
    </row>
    <row r="22" spans="1:19" ht="12.75">
      <c r="A22" s="53" t="s">
        <v>39</v>
      </c>
      <c r="B22" s="19">
        <f>'2011 полн'!B16</f>
        <v>4793.3</v>
      </c>
      <c r="C22" s="9">
        <f>'2011 полн'!C16</f>
        <v>40982.715000000004</v>
      </c>
      <c r="D22" s="10">
        <f>'2011 полн'!D16</f>
        <v>174.22</v>
      </c>
      <c r="E22" s="114">
        <f>'2011 полн'!U16</f>
        <v>40739.34</v>
      </c>
      <c r="F22" s="114">
        <f>'2011 полн'!V16</f>
        <v>0</v>
      </c>
      <c r="G22" s="119">
        <f>'2011 полн'!AF16</f>
        <v>36715.46</v>
      </c>
      <c r="H22" s="119">
        <f>'2011 полн'!AG16</f>
        <v>36889.68</v>
      </c>
      <c r="I22" s="119">
        <f>'2011 полн'!AJ16</f>
        <v>747.546</v>
      </c>
      <c r="J22" s="119">
        <f>'2011 полн'!AK16</f>
        <v>3211.5110000000004</v>
      </c>
      <c r="K22" s="114">
        <f>'2011 полн'!AL16</f>
        <v>958.6600000000001</v>
      </c>
      <c r="L22" s="114">
        <f>'2011 полн'!AM16+'2011 полн'!AN16+'2011 полн'!AO16+'2011 полн'!AP16+'2011 полн'!AQ16+'2011 полн'!AR16+'2011 полн'!AS16+'2011 полн'!AT16+'2011 полн'!AX16+'2011 полн'!AY16</f>
        <v>30069.232999999993</v>
      </c>
      <c r="M22" s="115">
        <f>'2011 полн'!AU16+'2011 полн'!AV16+'2011 полн'!AW16</f>
        <v>12955</v>
      </c>
      <c r="N22" s="115">
        <f>'2011 полн'!AZ16</f>
        <v>0</v>
      </c>
      <c r="O22" s="120"/>
      <c r="P22" s="120">
        <f>'2011 полн'!BD16</f>
        <v>484.90700000000004</v>
      </c>
      <c r="Q22" s="120">
        <f t="shared" si="0"/>
        <v>47679.310999999994</v>
      </c>
      <c r="R22" s="118">
        <f>'2011 полн'!BF16</f>
        <v>-10042.084999999994</v>
      </c>
      <c r="S22" s="118">
        <f>'2011 полн'!BG16</f>
        <v>-4023.8799999999974</v>
      </c>
    </row>
    <row r="23" spans="1:19" ht="12.75">
      <c r="A23" s="53" t="s">
        <v>40</v>
      </c>
      <c r="B23" s="19">
        <f>'2011 полн'!B17</f>
        <v>4793.3</v>
      </c>
      <c r="C23" s="9">
        <f>'2011 полн'!C17</f>
        <v>40982.715000000004</v>
      </c>
      <c r="D23" s="10">
        <f>'2011 полн'!D17</f>
        <v>174.22</v>
      </c>
      <c r="E23" s="114">
        <f>'2011 полн'!U17</f>
        <v>40758.14</v>
      </c>
      <c r="F23" s="114">
        <f>'2011 полн'!V17</f>
        <v>0</v>
      </c>
      <c r="G23" s="119">
        <f>'2011 полн'!AF17</f>
        <v>37588.310000000005</v>
      </c>
      <c r="H23" s="119">
        <f>'2011 полн'!AG17</f>
        <v>37762.530000000006</v>
      </c>
      <c r="I23" s="119">
        <f>'2011 полн'!AJ17</f>
        <v>747.546</v>
      </c>
      <c r="J23" s="119">
        <f>'2011 полн'!AK17</f>
        <v>3211.5110000000004</v>
      </c>
      <c r="K23" s="114">
        <f>'2011 полн'!AL17</f>
        <v>958.6600000000001</v>
      </c>
      <c r="L23" s="114">
        <f>'2011 полн'!AM17+'2011 полн'!AN17+'2011 полн'!AO17+'2011 полн'!AP17+'2011 полн'!AQ17+'2011 полн'!AR17+'2011 полн'!AS17+'2011 полн'!AT17+'2011 полн'!AX17+'2011 полн'!AY17</f>
        <v>28261.812999999995</v>
      </c>
      <c r="M23" s="115">
        <f>'2011 полн'!AU17+'2011 полн'!AV17+'2011 полн'!AW17</f>
        <v>1623</v>
      </c>
      <c r="N23" s="115">
        <f>'2011 полн'!AY17</f>
        <v>0</v>
      </c>
      <c r="O23" s="120"/>
      <c r="P23" s="120">
        <f>'2011 полн'!BD17</f>
        <v>484.90700000000004</v>
      </c>
      <c r="Q23" s="120">
        <f t="shared" si="0"/>
        <v>34539.890999999996</v>
      </c>
      <c r="R23" s="118">
        <f>'2011 полн'!BF17</f>
        <v>3970.1850000000104</v>
      </c>
      <c r="S23" s="118">
        <f>'2011 полн'!BG17</f>
        <v>-3169.8299999999945</v>
      </c>
    </row>
    <row r="24" spans="1:19" ht="12.75">
      <c r="A24" s="53" t="s">
        <v>41</v>
      </c>
      <c r="B24" s="19">
        <f>'2011 полн'!B18</f>
        <v>4793.3</v>
      </c>
      <c r="C24" s="9">
        <f>'2011 полн'!C18</f>
        <v>40982.715000000004</v>
      </c>
      <c r="D24" s="10">
        <f>'2011 полн'!D18</f>
        <v>174.22</v>
      </c>
      <c r="E24" s="114">
        <f>'2011 полн'!U18</f>
        <v>41578.05</v>
      </c>
      <c r="F24" s="114">
        <f>'2011 полн'!V18</f>
        <v>0</v>
      </c>
      <c r="G24" s="119">
        <f>'2011 полн'!AF18</f>
        <v>32690.010000000002</v>
      </c>
      <c r="H24" s="119">
        <f>'2011 полн'!AG18</f>
        <v>32864.23</v>
      </c>
      <c r="I24" s="119">
        <f>'2011 полн'!AJ18</f>
        <v>747.546</v>
      </c>
      <c r="J24" s="119">
        <f>'2011 полн'!AK18</f>
        <v>3211.5110000000004</v>
      </c>
      <c r="K24" s="114">
        <f>'2011 полн'!AL18</f>
        <v>958.6600000000001</v>
      </c>
      <c r="L24" s="114">
        <f>'2011 полн'!AM18+'2011 полн'!AN18+'2011 полн'!AO18+'2011 полн'!AP18+'2011 полн'!AQ18+'2011 полн'!AR18+'2011 полн'!AS18+'2011 полн'!AT18+'2011 полн'!AX18+'2011 полн'!AY18</f>
        <v>29016.642999999996</v>
      </c>
      <c r="M24" s="115">
        <f>'2011 полн'!AU18+'2011 полн'!AV18+'2011 полн'!AW18</f>
        <v>4181</v>
      </c>
      <c r="N24" s="115">
        <f>'2011 полн'!AY18</f>
        <v>0</v>
      </c>
      <c r="O24" s="120"/>
      <c r="P24" s="120">
        <f>'2011 полн'!BD18</f>
        <v>484.90700000000004</v>
      </c>
      <c r="Q24" s="120">
        <f t="shared" si="0"/>
        <v>37852.721</v>
      </c>
      <c r="R24" s="118">
        <f>'2011 полн'!BF18</f>
        <v>-4240.944999999994</v>
      </c>
      <c r="S24" s="118">
        <f>'2011 полн'!BG18</f>
        <v>-8888.04</v>
      </c>
    </row>
    <row r="25" spans="1:19" ht="12.75">
      <c r="A25" s="53" t="s">
        <v>31</v>
      </c>
      <c r="B25" s="19">
        <f>'2011 полн'!B19</f>
        <v>4793.3</v>
      </c>
      <c r="C25" s="9">
        <f>'2011 полн'!C19</f>
        <v>40982.715000000004</v>
      </c>
      <c r="D25" s="10">
        <f>'2011 полн'!D19</f>
        <v>174.22</v>
      </c>
      <c r="E25" s="114">
        <f>'2011 полн'!U19</f>
        <v>41596.170000000006</v>
      </c>
      <c r="F25" s="114">
        <f>'2011 полн'!V19</f>
        <v>0</v>
      </c>
      <c r="G25" s="119">
        <f>'2011 полн'!AF19</f>
        <v>45505.54</v>
      </c>
      <c r="H25" s="119">
        <f>'2011 полн'!AG19</f>
        <v>45679.76</v>
      </c>
      <c r="I25" s="119">
        <f>'2011 полн'!AJ19</f>
        <v>747.546</v>
      </c>
      <c r="J25" s="119">
        <f>'2011 полн'!AK19</f>
        <v>3211.5110000000004</v>
      </c>
      <c r="K25" s="114">
        <f>'2011 полн'!AL19</f>
        <v>958.6600000000001</v>
      </c>
      <c r="L25" s="114">
        <f>'2011 полн'!AM19+'2011 полн'!AN19+'2011 полн'!AO19+'2011 полн'!AP19+'2011 полн'!AQ19+'2011 полн'!AR19+'2011 полн'!AS19+'2011 полн'!AT19+'2011 полн'!AX19+'2011 полн'!AY19</f>
        <v>38978.507999999994</v>
      </c>
      <c r="M25" s="115">
        <f>'2011 полн'!AU19+'2011 полн'!AV19+'2011 полн'!AW19</f>
        <v>8004</v>
      </c>
      <c r="N25" s="115">
        <f>'2011 полн'!AY19</f>
        <v>0</v>
      </c>
      <c r="O25" s="120"/>
      <c r="P25" s="120">
        <f>'2011 полн'!BD19</f>
        <v>484.90700000000004</v>
      </c>
      <c r="Q25" s="120">
        <f t="shared" si="0"/>
        <v>51637.585999999996</v>
      </c>
      <c r="R25" s="118">
        <f>'2011 полн'!BF19</f>
        <v>-5210.279999999993</v>
      </c>
      <c r="S25" s="118">
        <f>'2011 полн'!BG19</f>
        <v>3909.3699999999953</v>
      </c>
    </row>
    <row r="26" spans="1:19" ht="12.75">
      <c r="A26" s="53" t="s">
        <v>32</v>
      </c>
      <c r="B26" s="19">
        <f>'2011 полн'!B20</f>
        <v>4793.3</v>
      </c>
      <c r="C26" s="9">
        <f>'2011 полн'!C20</f>
        <v>40982.715000000004</v>
      </c>
      <c r="D26" s="10">
        <f>'2011 полн'!D20</f>
        <v>174.22</v>
      </c>
      <c r="E26" s="114">
        <f>'2011 полн'!U20</f>
        <v>41598.71</v>
      </c>
      <c r="F26" s="114">
        <f>'2011 полн'!V20</f>
        <v>0</v>
      </c>
      <c r="G26" s="119">
        <f>'2011 полн'!AF20</f>
        <v>39471.22</v>
      </c>
      <c r="H26" s="119">
        <f>'2011 полн'!AG20</f>
        <v>39645.44</v>
      </c>
      <c r="I26" s="119">
        <f>'2011 полн'!AJ20</f>
        <v>747.546</v>
      </c>
      <c r="J26" s="119">
        <f>'2011 полн'!AK20</f>
        <v>3211.5110000000004</v>
      </c>
      <c r="K26" s="114">
        <f>'2011 полн'!AL20</f>
        <v>958.6600000000001</v>
      </c>
      <c r="L26" s="114">
        <f>'2011 полн'!AM20+'2011 полн'!AN20+'2011 полн'!AO20+'2011 полн'!AP20+'2011 полн'!AQ20+'2011 полн'!AR20+'2011 полн'!AS20+'2011 полн'!AT20+'2011 полн'!AX20+'2011 полн'!AY20</f>
        <v>34180.187999999995</v>
      </c>
      <c r="M26" s="115">
        <f>'2011 полн'!AU20+'2011 полн'!AV20+'2011 полн'!AW20</f>
        <v>263</v>
      </c>
      <c r="N26" s="115">
        <f>'2011 полн'!AY20</f>
        <v>0</v>
      </c>
      <c r="O26" s="120"/>
      <c r="P26" s="120">
        <f>'2011 полн'!BD20</f>
        <v>484.90700000000004</v>
      </c>
      <c r="Q26" s="120">
        <f t="shared" si="0"/>
        <v>39098.265999999996</v>
      </c>
      <c r="R26" s="118">
        <f>'2011 полн'!BF20</f>
        <v>1294.7200000000064</v>
      </c>
      <c r="S26" s="118">
        <f>'2011 полн'!BG20</f>
        <v>-2127.489999999998</v>
      </c>
    </row>
    <row r="27" spans="1:19" ht="12.75">
      <c r="A27" s="53" t="s">
        <v>106</v>
      </c>
      <c r="B27" s="19">
        <f>'2011 полн'!B21</f>
        <v>4793.3</v>
      </c>
      <c r="C27" s="9">
        <f>'2011 полн'!C21</f>
        <v>40982.715000000004</v>
      </c>
      <c r="D27" s="10">
        <f>'2011 полн'!D21</f>
        <v>174.22</v>
      </c>
      <c r="E27" s="114">
        <f>'2011 полн'!U21</f>
        <v>41566.55</v>
      </c>
      <c r="F27" s="114">
        <f>'2011 полн'!V21</f>
        <v>0</v>
      </c>
      <c r="G27" s="119">
        <f>'2011 полн'!AF21</f>
        <v>49449.11</v>
      </c>
      <c r="H27" s="119">
        <f>'2011 полн'!AG21</f>
        <v>49623.33</v>
      </c>
      <c r="I27" s="119">
        <f>'2011 полн'!AJ21</f>
        <v>747.546</v>
      </c>
      <c r="J27" s="119">
        <f>'2011 полн'!AK21</f>
        <v>3211.5110000000004</v>
      </c>
      <c r="K27" s="114">
        <f>'2011 полн'!AL21</f>
        <v>958.6600000000001</v>
      </c>
      <c r="L27" s="114">
        <f>'2011 полн'!AM21+'2011 полн'!AN21+'2011 полн'!AO21+'2011 полн'!AP21+'2011 полн'!AQ21+'2011 полн'!AR21+'2011 полн'!AS21+'2011 полн'!AT21+'2011 полн'!AX21+'2011 полн'!AY21</f>
        <v>34762.10799999999</v>
      </c>
      <c r="M27" s="115">
        <f>'2011 полн'!AU21+'2011 полн'!AV21+'2011 полн'!AW21</f>
        <v>1656</v>
      </c>
      <c r="N27" s="115">
        <f>'2011 полн'!AY21</f>
        <v>0</v>
      </c>
      <c r="O27" s="120"/>
      <c r="P27" s="120">
        <f>'2011 полн'!BD21</f>
        <v>484.90700000000004</v>
      </c>
      <c r="Q27" s="120">
        <f t="shared" si="0"/>
        <v>41073.185999999994</v>
      </c>
      <c r="R27" s="118">
        <f>'2011 полн'!BF21</f>
        <v>9297.690000000008</v>
      </c>
      <c r="S27" s="118">
        <f>'2011 полн'!BG21</f>
        <v>7882.559999999998</v>
      </c>
    </row>
    <row r="28" spans="1:21" s="3" customFormat="1" ht="13.5" thickBot="1">
      <c r="A28" s="222" t="s">
        <v>4</v>
      </c>
      <c r="B28" s="223"/>
      <c r="C28" s="224">
        <f aca="true" t="shared" si="1" ref="C28:R28">SUM(C16:C27)</f>
        <v>491792.58000000013</v>
      </c>
      <c r="D28" s="224">
        <f t="shared" si="1"/>
        <v>2126.85</v>
      </c>
      <c r="E28" s="224">
        <f t="shared" si="1"/>
        <v>492392.98</v>
      </c>
      <c r="F28" s="224">
        <f t="shared" si="1"/>
        <v>0</v>
      </c>
      <c r="G28" s="224">
        <f t="shared" si="1"/>
        <v>460205.03099999996</v>
      </c>
      <c r="H28" s="224">
        <f t="shared" si="1"/>
        <v>462331.88100000005</v>
      </c>
      <c r="I28" s="224">
        <f t="shared" si="1"/>
        <v>8970.552000000001</v>
      </c>
      <c r="J28" s="224">
        <f t="shared" si="1"/>
        <v>38538.132</v>
      </c>
      <c r="K28" s="224">
        <f t="shared" si="1"/>
        <v>11503.92</v>
      </c>
      <c r="L28" s="224">
        <f t="shared" si="1"/>
        <v>381782.78599999996</v>
      </c>
      <c r="M28" s="224">
        <f t="shared" si="1"/>
        <v>58185</v>
      </c>
      <c r="N28" s="224">
        <f t="shared" si="1"/>
        <v>0</v>
      </c>
      <c r="O28" s="224">
        <f t="shared" si="1"/>
        <v>0</v>
      </c>
      <c r="P28" s="224">
        <f t="shared" si="1"/>
        <v>5818.884000000001</v>
      </c>
      <c r="Q28" s="224">
        <f t="shared" si="1"/>
        <v>495828.722</v>
      </c>
      <c r="R28" s="224">
        <f t="shared" si="1"/>
        <v>-24526.288999999895</v>
      </c>
      <c r="S28" s="224">
        <f>SUM(S16:S27)</f>
        <v>-32187.949000000008</v>
      </c>
      <c r="T28" s="94"/>
      <c r="U28" s="94"/>
    </row>
    <row r="29" spans="1:19" ht="13.5" thickBot="1">
      <c r="A29" s="314" t="s">
        <v>64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105"/>
      <c r="R29" s="106"/>
      <c r="S29" s="106"/>
    </row>
    <row r="30" spans="1:21" s="3" customFormat="1" ht="13.5" thickBot="1">
      <c r="A30" s="107" t="s">
        <v>90</v>
      </c>
      <c r="B30" s="108"/>
      <c r="C30" s="14">
        <f aca="true" t="shared" si="2" ref="C30:S30">C28+C14</f>
        <v>1611157.94</v>
      </c>
      <c r="D30" s="14">
        <f t="shared" si="2"/>
        <v>239457.88268680012</v>
      </c>
      <c r="E30" s="14">
        <f t="shared" si="2"/>
        <v>1357977.13</v>
      </c>
      <c r="F30" s="14">
        <f t="shared" si="2"/>
        <v>108420.78</v>
      </c>
      <c r="G30" s="14">
        <f t="shared" si="2"/>
        <v>1246606.821</v>
      </c>
      <c r="H30" s="14">
        <f t="shared" si="2"/>
        <v>1594485.4836868003</v>
      </c>
      <c r="I30" s="14">
        <f t="shared" si="2"/>
        <v>20830.403879999998</v>
      </c>
      <c r="J30" s="14">
        <f t="shared" si="2"/>
        <v>115031.96399999999</v>
      </c>
      <c r="K30" s="14">
        <f t="shared" si="2"/>
        <v>37135.5952916</v>
      </c>
      <c r="L30" s="14">
        <f t="shared" si="2"/>
        <v>952979.4956743751</v>
      </c>
      <c r="M30" s="14">
        <f t="shared" si="2"/>
        <v>505569.1016</v>
      </c>
      <c r="N30" s="14">
        <f t="shared" si="2"/>
        <v>0</v>
      </c>
      <c r="O30" s="14">
        <f t="shared" si="2"/>
        <v>0</v>
      </c>
      <c r="P30" s="14">
        <f t="shared" si="2"/>
        <v>11356.907344233401</v>
      </c>
      <c r="Q30" s="14">
        <f t="shared" si="2"/>
        <v>1622073.0639102086</v>
      </c>
      <c r="R30" s="14">
        <f t="shared" si="2"/>
        <v>-6757.176343408373</v>
      </c>
      <c r="S30" s="14">
        <f t="shared" si="2"/>
        <v>-111370.309</v>
      </c>
      <c r="T30" s="109"/>
      <c r="U30" s="94"/>
    </row>
    <row r="32" spans="1:4" ht="12.75">
      <c r="A32" s="3" t="s">
        <v>54</v>
      </c>
      <c r="D32" s="21" t="s">
        <v>125</v>
      </c>
    </row>
    <row r="33" spans="1:4" ht="12.75">
      <c r="A33" s="51" t="s">
        <v>55</v>
      </c>
      <c r="B33" s="51" t="s">
        <v>56</v>
      </c>
      <c r="C33" s="401" t="s">
        <v>57</v>
      </c>
      <c r="D33" s="402"/>
    </row>
    <row r="34" spans="1:4" ht="12.75">
      <c r="A34" s="22">
        <v>43171.82</v>
      </c>
      <c r="B34" s="213">
        <v>35845.76</v>
      </c>
      <c r="C34" s="121">
        <f>A34-B34</f>
        <v>7326.059999999998</v>
      </c>
      <c r="D34" s="122"/>
    </row>
    <row r="35" ht="12.75">
      <c r="A35" s="15"/>
    </row>
    <row r="36" spans="1:7" ht="12.75">
      <c r="A36" s="37" t="s">
        <v>58</v>
      </c>
      <c r="G36" s="37" t="s">
        <v>59</v>
      </c>
    </row>
    <row r="37" ht="12.75">
      <c r="A37" s="39"/>
    </row>
    <row r="38" ht="12.75">
      <c r="A38" s="39"/>
    </row>
    <row r="39" ht="12.75">
      <c r="A39" s="37" t="s">
        <v>96</v>
      </c>
    </row>
    <row r="40" ht="12.75">
      <c r="A40" s="37" t="s">
        <v>97</v>
      </c>
    </row>
  </sheetData>
  <sheetProtection/>
  <mergeCells count="29">
    <mergeCell ref="C33:D33"/>
    <mergeCell ref="N10:N11"/>
    <mergeCell ref="O10:O11"/>
    <mergeCell ref="P10:P11"/>
    <mergeCell ref="Q10:Q11"/>
    <mergeCell ref="A13:P13"/>
    <mergeCell ref="A29:P29"/>
    <mergeCell ref="I8:I11"/>
    <mergeCell ref="J8:Q9"/>
    <mergeCell ref="A8:A11"/>
    <mergeCell ref="S8:S11"/>
    <mergeCell ref="E10:F10"/>
    <mergeCell ref="H10:H11"/>
    <mergeCell ref="J10:J11"/>
    <mergeCell ref="K10:K11"/>
    <mergeCell ref="L10:L11"/>
    <mergeCell ref="M10:M11"/>
    <mergeCell ref="E8:F9"/>
    <mergeCell ref="G8:H9"/>
    <mergeCell ref="B1:H1"/>
    <mergeCell ref="B2:H2"/>
    <mergeCell ref="A5:P5"/>
    <mergeCell ref="A6:G6"/>
    <mergeCell ref="A7:D7"/>
    <mergeCell ref="R8:R11"/>
    <mergeCell ref="E7:F7"/>
    <mergeCell ref="B8:B11"/>
    <mergeCell ref="C8:C11"/>
    <mergeCell ref="D8:D11"/>
  </mergeCells>
  <printOptions/>
  <pageMargins left="0.2362204724409449" right="0.1968503937007874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pane xSplit="2" ySplit="7" topLeftCell="AY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A36" sqref="BA36"/>
    </sheetView>
  </sheetViews>
  <sheetFormatPr defaultColWidth="9.00390625" defaultRowHeight="12.75"/>
  <cols>
    <col min="1" max="1" width="8.75390625" style="37" bestFit="1" customWidth="1"/>
    <col min="2" max="2" width="9.125" style="37" customWidth="1"/>
    <col min="3" max="3" width="11.375" style="37" customWidth="1"/>
    <col min="4" max="4" width="10.375" style="37" customWidth="1"/>
    <col min="5" max="6" width="9.125" style="37" customWidth="1"/>
    <col min="7" max="7" width="10.25390625" style="37" customWidth="1"/>
    <col min="8" max="8" width="9.125" style="37" customWidth="1"/>
    <col min="9" max="9" width="9.875" style="37" customWidth="1"/>
    <col min="10" max="10" width="9.125" style="37" customWidth="1"/>
    <col min="11" max="11" width="10.375" style="37" customWidth="1"/>
    <col min="12" max="12" width="9.125" style="37" customWidth="1"/>
    <col min="13" max="13" width="10.125" style="37" bestFit="1" customWidth="1"/>
    <col min="14" max="14" width="9.125" style="37" customWidth="1"/>
    <col min="15" max="15" width="10.125" style="37" bestFit="1" customWidth="1"/>
    <col min="16" max="18" width="9.125" style="37" customWidth="1"/>
    <col min="19" max="19" width="10.125" style="37" bestFit="1" customWidth="1"/>
    <col min="20" max="20" width="10.125" style="37" customWidth="1"/>
    <col min="21" max="21" width="10.125" style="37" bestFit="1" customWidth="1"/>
    <col min="22" max="22" width="10.25390625" style="37" customWidth="1"/>
    <col min="23" max="23" width="10.625" style="37" customWidth="1"/>
    <col min="24" max="24" width="10.125" style="37" customWidth="1"/>
    <col min="25" max="28" width="10.125" style="37" bestFit="1" customWidth="1"/>
    <col min="29" max="30" width="11.375" style="37" customWidth="1"/>
    <col min="31" max="31" width="9.25390625" style="37" bestFit="1" customWidth="1"/>
    <col min="32" max="32" width="10.125" style="37" bestFit="1" customWidth="1"/>
    <col min="33" max="33" width="11.75390625" style="37" customWidth="1"/>
    <col min="34" max="35" width="9.25390625" style="37" bestFit="1" customWidth="1"/>
    <col min="36" max="36" width="10.875" style="37" customWidth="1"/>
    <col min="37" max="38" width="9.25390625" style="37" bestFit="1" customWidth="1"/>
    <col min="39" max="39" width="10.125" style="37" bestFit="1" customWidth="1"/>
    <col min="40" max="40" width="9.25390625" style="37" bestFit="1" customWidth="1"/>
    <col min="41" max="42" width="10.125" style="37" bestFit="1" customWidth="1"/>
    <col min="43" max="44" width="9.25390625" style="37" customWidth="1"/>
    <col min="45" max="45" width="10.125" style="37" bestFit="1" customWidth="1"/>
    <col min="46" max="46" width="11.625" style="37" customWidth="1"/>
    <col min="47" max="47" width="10.875" style="37" customWidth="1"/>
    <col min="48" max="48" width="10.625" style="37" customWidth="1"/>
    <col min="49" max="49" width="10.25390625" style="37" customWidth="1"/>
    <col min="50" max="50" width="10.625" style="37" customWidth="1"/>
    <col min="51" max="51" width="9.25390625" style="37" bestFit="1" customWidth="1"/>
    <col min="52" max="53" width="10.125" style="37" bestFit="1" customWidth="1"/>
    <col min="54" max="54" width="11.625" style="37" customWidth="1"/>
    <col min="55" max="55" width="11.75390625" style="37" customWidth="1"/>
    <col min="56" max="56" width="11.375" style="37" customWidth="1"/>
    <col min="57" max="57" width="14.00390625" style="37" customWidth="1"/>
    <col min="58" max="58" width="11.00390625" style="37" customWidth="1"/>
    <col min="59" max="59" width="10.625" style="37" customWidth="1"/>
    <col min="60" max="61" width="0" style="37" hidden="1" customWidth="1"/>
    <col min="62" max="16384" width="9.125" style="37" customWidth="1"/>
  </cols>
  <sheetData>
    <row r="1" spans="1:18" ht="21" customHeight="1">
      <c r="A1" s="232" t="s">
        <v>109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39"/>
      <c r="P1" s="39"/>
      <c r="Q1" s="39"/>
      <c r="R1" s="39"/>
    </row>
    <row r="2" spans="1:18" ht="13.5" thickBot="1">
      <c r="A2" s="39"/>
      <c r="B2" s="40"/>
      <c r="C2" s="41"/>
      <c r="D2" s="4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59" ht="29.25" customHeight="1" thickBot="1">
      <c r="A3" s="324" t="s">
        <v>0</v>
      </c>
      <c r="B3" s="326" t="s">
        <v>1</v>
      </c>
      <c r="C3" s="328" t="s">
        <v>2</v>
      </c>
      <c r="D3" s="330" t="s">
        <v>3</v>
      </c>
      <c r="E3" s="324" t="s">
        <v>67</v>
      </c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295"/>
      <c r="S3" s="324"/>
      <c r="T3" s="332"/>
      <c r="U3" s="324" t="s">
        <v>4</v>
      </c>
      <c r="V3" s="332"/>
      <c r="W3" s="336" t="s">
        <v>5</v>
      </c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8"/>
      <c r="AJ3" s="342" t="s">
        <v>65</v>
      </c>
      <c r="AK3" s="345" t="s">
        <v>7</v>
      </c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7"/>
      <c r="BF3" s="351" t="s">
        <v>8</v>
      </c>
      <c r="BG3" s="358" t="s">
        <v>9</v>
      </c>
    </row>
    <row r="4" spans="1:59" ht="51.75" customHeight="1" hidden="1" thickBot="1">
      <c r="A4" s="325"/>
      <c r="B4" s="327"/>
      <c r="C4" s="329"/>
      <c r="D4" s="331"/>
      <c r="E4" s="325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06"/>
      <c r="S4" s="334"/>
      <c r="T4" s="335"/>
      <c r="U4" s="334"/>
      <c r="V4" s="335"/>
      <c r="W4" s="339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1"/>
      <c r="AJ4" s="343"/>
      <c r="AK4" s="348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50"/>
      <c r="BF4" s="352"/>
      <c r="BG4" s="359"/>
    </row>
    <row r="5" spans="1:61" ht="19.5" customHeight="1">
      <c r="A5" s="325"/>
      <c r="B5" s="327"/>
      <c r="C5" s="329"/>
      <c r="D5" s="331"/>
      <c r="E5" s="361" t="s">
        <v>10</v>
      </c>
      <c r="F5" s="362"/>
      <c r="G5" s="361" t="s">
        <v>68</v>
      </c>
      <c r="H5" s="362"/>
      <c r="I5" s="361" t="s">
        <v>11</v>
      </c>
      <c r="J5" s="362"/>
      <c r="K5" s="361" t="s">
        <v>13</v>
      </c>
      <c r="L5" s="362"/>
      <c r="M5" s="361" t="s">
        <v>12</v>
      </c>
      <c r="N5" s="362"/>
      <c r="O5" s="365" t="s">
        <v>14</v>
      </c>
      <c r="P5" s="365"/>
      <c r="Q5" s="361" t="s">
        <v>69</v>
      </c>
      <c r="R5" s="362"/>
      <c r="S5" s="365" t="s">
        <v>70</v>
      </c>
      <c r="T5" s="362"/>
      <c r="U5" s="368" t="s">
        <v>16</v>
      </c>
      <c r="V5" s="354" t="s">
        <v>17</v>
      </c>
      <c r="W5" s="356" t="s">
        <v>18</v>
      </c>
      <c r="X5" s="356" t="s">
        <v>71</v>
      </c>
      <c r="Y5" s="356" t="s">
        <v>19</v>
      </c>
      <c r="Z5" s="356" t="s">
        <v>21</v>
      </c>
      <c r="AA5" s="356" t="s">
        <v>20</v>
      </c>
      <c r="AB5" s="356" t="s">
        <v>22</v>
      </c>
      <c r="AC5" s="356" t="s">
        <v>23</v>
      </c>
      <c r="AD5" s="370" t="s">
        <v>24</v>
      </c>
      <c r="AE5" s="370" t="s">
        <v>72</v>
      </c>
      <c r="AF5" s="372" t="s">
        <v>25</v>
      </c>
      <c r="AG5" s="374" t="s">
        <v>73</v>
      </c>
      <c r="AH5" s="376" t="s">
        <v>60</v>
      </c>
      <c r="AI5" s="378" t="s">
        <v>61</v>
      </c>
      <c r="AJ5" s="343"/>
      <c r="AK5" s="380" t="s">
        <v>74</v>
      </c>
      <c r="AL5" s="382" t="s">
        <v>75</v>
      </c>
      <c r="AM5" s="382" t="s">
        <v>76</v>
      </c>
      <c r="AN5" s="384" t="s">
        <v>77</v>
      </c>
      <c r="AO5" s="382" t="s">
        <v>78</v>
      </c>
      <c r="AP5" s="384" t="s">
        <v>79</v>
      </c>
      <c r="AQ5" s="384" t="s">
        <v>80</v>
      </c>
      <c r="AR5" s="384" t="s">
        <v>81</v>
      </c>
      <c r="AS5" s="384" t="s">
        <v>82</v>
      </c>
      <c r="AT5" s="384" t="s">
        <v>27</v>
      </c>
      <c r="AU5" s="273" t="s">
        <v>83</v>
      </c>
      <c r="AV5" s="271" t="s">
        <v>84</v>
      </c>
      <c r="AW5" s="273" t="s">
        <v>85</v>
      </c>
      <c r="AX5" s="275" t="s">
        <v>86</v>
      </c>
      <c r="AY5" s="34"/>
      <c r="AZ5" s="386" t="s">
        <v>15</v>
      </c>
      <c r="BA5" s="384" t="s">
        <v>29</v>
      </c>
      <c r="BB5" s="384" t="s">
        <v>26</v>
      </c>
      <c r="BC5" s="388" t="s">
        <v>30</v>
      </c>
      <c r="BD5" s="390" t="s">
        <v>87</v>
      </c>
      <c r="BE5" s="384" t="s">
        <v>88</v>
      </c>
      <c r="BF5" s="352"/>
      <c r="BG5" s="359"/>
      <c r="BH5" s="325" t="s">
        <v>128</v>
      </c>
      <c r="BI5" s="38"/>
    </row>
    <row r="6" spans="1:61" ht="56.25" customHeight="1" thickBot="1">
      <c r="A6" s="325"/>
      <c r="B6" s="327"/>
      <c r="C6" s="329"/>
      <c r="D6" s="331"/>
      <c r="E6" s="363"/>
      <c r="F6" s="364"/>
      <c r="G6" s="363"/>
      <c r="H6" s="364"/>
      <c r="I6" s="363"/>
      <c r="J6" s="364"/>
      <c r="K6" s="363"/>
      <c r="L6" s="364"/>
      <c r="M6" s="363"/>
      <c r="N6" s="364"/>
      <c r="O6" s="366"/>
      <c r="P6" s="366"/>
      <c r="Q6" s="363"/>
      <c r="R6" s="364"/>
      <c r="S6" s="367"/>
      <c r="T6" s="364"/>
      <c r="U6" s="369"/>
      <c r="V6" s="355"/>
      <c r="W6" s="357"/>
      <c r="X6" s="357"/>
      <c r="Y6" s="357"/>
      <c r="Z6" s="357"/>
      <c r="AA6" s="357"/>
      <c r="AB6" s="357"/>
      <c r="AC6" s="357"/>
      <c r="AD6" s="371"/>
      <c r="AE6" s="371"/>
      <c r="AF6" s="373"/>
      <c r="AG6" s="375"/>
      <c r="AH6" s="377"/>
      <c r="AI6" s="379"/>
      <c r="AJ6" s="344"/>
      <c r="AK6" s="381"/>
      <c r="AL6" s="383"/>
      <c r="AM6" s="383"/>
      <c r="AN6" s="385"/>
      <c r="AO6" s="383"/>
      <c r="AP6" s="385"/>
      <c r="AQ6" s="385"/>
      <c r="AR6" s="385"/>
      <c r="AS6" s="385"/>
      <c r="AT6" s="385"/>
      <c r="AU6" s="274"/>
      <c r="AV6" s="272"/>
      <c r="AW6" s="274"/>
      <c r="AX6" s="276"/>
      <c r="AY6" s="35" t="s">
        <v>89</v>
      </c>
      <c r="AZ6" s="387"/>
      <c r="BA6" s="385"/>
      <c r="BB6" s="385"/>
      <c r="BC6" s="389"/>
      <c r="BD6" s="391"/>
      <c r="BE6" s="385"/>
      <c r="BF6" s="353"/>
      <c r="BG6" s="360"/>
      <c r="BH6" s="325"/>
      <c r="BI6" s="38"/>
    </row>
    <row r="7" spans="1:61" ht="19.5" customHeight="1" thickBot="1">
      <c r="A7" s="43">
        <v>1</v>
      </c>
      <c r="B7" s="44">
        <v>2</v>
      </c>
      <c r="C7" s="44">
        <v>3</v>
      </c>
      <c r="D7" s="43">
        <v>4</v>
      </c>
      <c r="E7" s="44">
        <v>5</v>
      </c>
      <c r="F7" s="44">
        <v>6</v>
      </c>
      <c r="G7" s="43">
        <v>7</v>
      </c>
      <c r="H7" s="44">
        <v>8</v>
      </c>
      <c r="I7" s="44">
        <v>9</v>
      </c>
      <c r="J7" s="43">
        <v>10</v>
      </c>
      <c r="K7" s="44">
        <v>11</v>
      </c>
      <c r="L7" s="44">
        <v>12</v>
      </c>
      <c r="M7" s="43">
        <v>13</v>
      </c>
      <c r="N7" s="44">
        <v>14</v>
      </c>
      <c r="O7" s="44">
        <v>15</v>
      </c>
      <c r="P7" s="43">
        <v>16</v>
      </c>
      <c r="Q7" s="44">
        <v>17</v>
      </c>
      <c r="R7" s="44">
        <v>18</v>
      </c>
      <c r="S7" s="43">
        <v>19</v>
      </c>
      <c r="T7" s="44">
        <v>20</v>
      </c>
      <c r="U7" s="44">
        <v>21</v>
      </c>
      <c r="V7" s="43">
        <v>22</v>
      </c>
      <c r="W7" s="44">
        <v>23</v>
      </c>
      <c r="X7" s="43">
        <v>24</v>
      </c>
      <c r="Y7" s="44">
        <v>25</v>
      </c>
      <c r="Z7" s="43">
        <v>26</v>
      </c>
      <c r="AA7" s="44">
        <v>27</v>
      </c>
      <c r="AB7" s="43">
        <v>28</v>
      </c>
      <c r="AC7" s="44">
        <v>29</v>
      </c>
      <c r="AD7" s="43">
        <v>30</v>
      </c>
      <c r="AE7" s="43">
        <v>31</v>
      </c>
      <c r="AF7" s="44">
        <v>32</v>
      </c>
      <c r="AG7" s="43">
        <v>33</v>
      </c>
      <c r="AH7" s="44">
        <v>34</v>
      </c>
      <c r="AI7" s="43">
        <v>35</v>
      </c>
      <c r="AJ7" s="44">
        <v>36</v>
      </c>
      <c r="AK7" s="43">
        <v>37</v>
      </c>
      <c r="AL7" s="44">
        <v>38</v>
      </c>
      <c r="AM7" s="43">
        <v>39</v>
      </c>
      <c r="AN7" s="43">
        <v>40</v>
      </c>
      <c r="AO7" s="44">
        <v>41</v>
      </c>
      <c r="AP7" s="43">
        <v>42</v>
      </c>
      <c r="AQ7" s="44">
        <v>43</v>
      </c>
      <c r="AR7" s="43"/>
      <c r="AS7" s="43">
        <v>44</v>
      </c>
      <c r="AT7" s="44">
        <v>45</v>
      </c>
      <c r="AU7" s="43">
        <v>46</v>
      </c>
      <c r="AV7" s="44">
        <v>47</v>
      </c>
      <c r="AW7" s="43">
        <v>48</v>
      </c>
      <c r="AX7" s="43">
        <v>49</v>
      </c>
      <c r="AY7" s="44"/>
      <c r="AZ7" s="44">
        <v>50</v>
      </c>
      <c r="BA7" s="44">
        <v>51</v>
      </c>
      <c r="BB7" s="44">
        <v>52</v>
      </c>
      <c r="BC7" s="44">
        <v>53</v>
      </c>
      <c r="BD7" s="44">
        <v>54</v>
      </c>
      <c r="BE7" s="44"/>
      <c r="BF7" s="44">
        <v>55</v>
      </c>
      <c r="BG7" s="44">
        <v>56</v>
      </c>
      <c r="BH7" s="44">
        <v>56</v>
      </c>
      <c r="BI7" s="38"/>
    </row>
    <row r="8" spans="1:60" s="3" customFormat="1" ht="13.5" thickBot="1">
      <c r="A8" s="45" t="s">
        <v>90</v>
      </c>
      <c r="B8" s="46"/>
      <c r="C8" s="46">
        <f>Лист1!C44</f>
        <v>1119365.3599999999</v>
      </c>
      <c r="D8" s="46">
        <f>Лист1!D44</f>
        <v>237331.0326868001</v>
      </c>
      <c r="E8" s="46">
        <f>Лист1!E44</f>
        <v>99940.88</v>
      </c>
      <c r="F8" s="46">
        <f>Лист1!F44</f>
        <v>12518.470000000001</v>
      </c>
      <c r="G8" s="46">
        <f>0</f>
        <v>0</v>
      </c>
      <c r="H8" s="46">
        <f>0</f>
        <v>0</v>
      </c>
      <c r="I8" s="46">
        <f>Лист1!G44</f>
        <v>135285.33000000002</v>
      </c>
      <c r="J8" s="46">
        <f>Лист1!H44</f>
        <v>16946.04</v>
      </c>
      <c r="K8" s="46">
        <f>Лист1!K44</f>
        <v>225232.05</v>
      </c>
      <c r="L8" s="46">
        <f>Лист1!L44</f>
        <v>28212.809999999998</v>
      </c>
      <c r="M8" s="46">
        <f>Лист1!I44</f>
        <v>325174.47</v>
      </c>
      <c r="N8" s="46">
        <f>Лист1!J44</f>
        <v>40729.14</v>
      </c>
      <c r="O8" s="46">
        <f>'[7]Лист1'!M42</f>
        <v>69077.97</v>
      </c>
      <c r="P8" s="46">
        <f>'[7]Лист1'!N42</f>
        <v>9964.18</v>
      </c>
      <c r="Q8" s="46">
        <f>'[8]Лист1'!O44</f>
        <v>0</v>
      </c>
      <c r="R8" s="46">
        <f>'[8]Лист1'!P44</f>
        <v>0</v>
      </c>
      <c r="S8" s="46">
        <f>'[8]Лист1'!Q44</f>
        <v>0</v>
      </c>
      <c r="T8" s="46">
        <f>'[8]Лист1'!R44</f>
        <v>0</v>
      </c>
      <c r="U8" s="46">
        <f>Лист1!S44</f>
        <v>865584.15</v>
      </c>
      <c r="V8" s="46">
        <f>Лист1!T44</f>
        <v>108420.78</v>
      </c>
      <c r="W8" s="46">
        <f>Лист1!U44</f>
        <v>90416.34</v>
      </c>
      <c r="X8" s="46">
        <v>0</v>
      </c>
      <c r="Y8" s="46">
        <f>Лист1!V44</f>
        <v>122971.15</v>
      </c>
      <c r="Z8" s="46">
        <f>Лист1!X44</f>
        <v>204744.76</v>
      </c>
      <c r="AA8" s="46">
        <f>Лист1!W44</f>
        <v>295537.53</v>
      </c>
      <c r="AB8" s="46">
        <f>Лист1!Y44</f>
        <v>72732.01000000001</v>
      </c>
      <c r="AC8" s="46">
        <f>'[7]Лист1'!Z42</f>
        <v>0</v>
      </c>
      <c r="AD8" s="46">
        <f>'[7]Лист1'!AA42</f>
        <v>0</v>
      </c>
      <c r="AE8" s="46">
        <f>0</f>
        <v>0</v>
      </c>
      <c r="AF8" s="46">
        <f>Лист1!AB44</f>
        <v>786401.79</v>
      </c>
      <c r="AG8" s="46">
        <f>Лист1!AC44</f>
        <v>1132153.6026868003</v>
      </c>
      <c r="AH8" s="46">
        <f>'[7]Лист1'!AD42</f>
        <v>0</v>
      </c>
      <c r="AI8" s="46">
        <f>'[7]Лист1'!AE42</f>
        <v>0</v>
      </c>
      <c r="AJ8" s="46">
        <f>Лист1!AF44</f>
        <v>11859.851879999998</v>
      </c>
      <c r="AK8" s="46">
        <f>Лист1!AG44</f>
        <v>76493.832</v>
      </c>
      <c r="AL8" s="46">
        <f>Лист1!AH44</f>
        <v>25631.675291600004</v>
      </c>
      <c r="AM8" s="46">
        <f>Лист1!AI44+Лист1!AJ44</f>
        <v>126982.70741210501</v>
      </c>
      <c r="AN8" s="46">
        <v>0</v>
      </c>
      <c r="AO8" s="46">
        <f>Лист1!AK44+Лист1!AL44</f>
        <v>126654.08960257139</v>
      </c>
      <c r="AP8" s="46">
        <f>Лист1!AM44+Лист1!AN44</f>
        <v>283337.3626596988</v>
      </c>
      <c r="AQ8" s="46">
        <v>0</v>
      </c>
      <c r="AR8" s="46">
        <v>0</v>
      </c>
      <c r="AS8" s="46">
        <v>0</v>
      </c>
      <c r="AT8" s="46">
        <f>Лист1!AO44+Лист1!AP44</f>
        <v>6268.86</v>
      </c>
      <c r="AU8" s="46">
        <f>Лист1!AS44+Лист1!AU44</f>
        <v>278961.0002</v>
      </c>
      <c r="AV8" s="46">
        <v>0</v>
      </c>
      <c r="AW8" s="46">
        <f>Лист1!AT44</f>
        <v>144019.25</v>
      </c>
      <c r="AX8" s="46">
        <f>Лист1!AQ44+Лист1!AR44</f>
        <v>24403.8514</v>
      </c>
      <c r="AY8" s="47">
        <f>Лист1!AX44</f>
        <v>27953.69</v>
      </c>
      <c r="AZ8" s="47">
        <f>'[8]Лист1'!AY44</f>
        <v>0</v>
      </c>
      <c r="BA8" s="47">
        <v>0</v>
      </c>
      <c r="BB8" s="47">
        <v>0</v>
      </c>
      <c r="BC8" s="47">
        <f>Лист1!BB44</f>
        <v>1120706.318565975</v>
      </c>
      <c r="BD8" s="46">
        <f>Лист1!BC44</f>
        <v>5538.023344233401</v>
      </c>
      <c r="BE8" s="46">
        <f>BC8+BD8</f>
        <v>1126244.3419102083</v>
      </c>
      <c r="BF8" s="49">
        <f>Лист1!BD44</f>
        <v>17769.112656591522</v>
      </c>
      <c r="BG8" s="49">
        <f>Лист1!BE44</f>
        <v>-79182.35999999999</v>
      </c>
      <c r="BH8" s="3">
        <f>-633.88*18</f>
        <v>-11409.84</v>
      </c>
    </row>
    <row r="9" spans="1:59" ht="12.75">
      <c r="A9" s="1" t="s">
        <v>91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207" t="s">
        <v>123</v>
      </c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49"/>
      <c r="BG9" s="50"/>
    </row>
    <row r="10" spans="1:62" ht="12.75">
      <c r="A10" s="53" t="s">
        <v>33</v>
      </c>
      <c r="B10" s="54">
        <v>4793.3</v>
      </c>
      <c r="C10" s="18">
        <f>B10*8.55</f>
        <v>40982.715000000004</v>
      </c>
      <c r="D10" s="16">
        <v>210.43</v>
      </c>
      <c r="E10" s="27">
        <v>0</v>
      </c>
      <c r="F10" s="27">
        <v>0</v>
      </c>
      <c r="G10" s="25">
        <v>25149.99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11966.23</v>
      </c>
      <c r="N10" s="25">
        <v>0</v>
      </c>
      <c r="O10" s="25">
        <v>4149.5</v>
      </c>
      <c r="P10" s="27">
        <v>0</v>
      </c>
      <c r="Q10" s="55">
        <v>0</v>
      </c>
      <c r="R10" s="56">
        <v>0</v>
      </c>
      <c r="S10" s="77">
        <v>0</v>
      </c>
      <c r="T10" s="71">
        <v>0</v>
      </c>
      <c r="U10" s="57">
        <f>E10+G10+I10+K10+M10+O10+Q10+S10</f>
        <v>41265.72</v>
      </c>
      <c r="V10" s="58">
        <f>F10+H10+J10+L10+N10+P10+R10+T10</f>
        <v>0</v>
      </c>
      <c r="W10" s="25">
        <v>3705.17</v>
      </c>
      <c r="X10" s="25"/>
      <c r="Y10" s="25">
        <v>5019.99</v>
      </c>
      <c r="Z10" s="25">
        <v>8354.76</v>
      </c>
      <c r="AA10" s="25">
        <v>12059.99</v>
      </c>
      <c r="AB10" s="25">
        <v>2964.141</v>
      </c>
      <c r="AC10" s="25">
        <v>0</v>
      </c>
      <c r="AD10" s="27">
        <v>0</v>
      </c>
      <c r="AE10" s="59">
        <v>0</v>
      </c>
      <c r="AF10" s="59">
        <f>SUM(W10:AE10)</f>
        <v>32104.050999999996</v>
      </c>
      <c r="AG10" s="60">
        <f>AF10+V10+D10</f>
        <v>32314.480999999996</v>
      </c>
      <c r="AH10" s="61">
        <f>AC10</f>
        <v>0</v>
      </c>
      <c r="AI10" s="61">
        <f>AD10</f>
        <v>0</v>
      </c>
      <c r="AJ10" s="28">
        <f>'[9]Т01'!$I$82+'[9]Т01'!$I$165</f>
        <v>747.546</v>
      </c>
      <c r="AK10" s="29">
        <f>0.67*B10</f>
        <v>3211.5110000000004</v>
      </c>
      <c r="AL10" s="29">
        <f>B10*0.2</f>
        <v>958.6600000000001</v>
      </c>
      <c r="AM10" s="29">
        <f>B10*1</f>
        <v>4793.3</v>
      </c>
      <c r="AN10" s="29">
        <f>B10*0.21</f>
        <v>1006.593</v>
      </c>
      <c r="AO10" s="29">
        <f>2.02*B10</f>
        <v>9682.466</v>
      </c>
      <c r="AP10" s="29">
        <f>B10*1.03</f>
        <v>4937.099</v>
      </c>
      <c r="AQ10" s="29">
        <f>B10*0.75</f>
        <v>3594.9750000000004</v>
      </c>
      <c r="AR10" s="29">
        <f>B10*0.75</f>
        <v>3594.9750000000004</v>
      </c>
      <c r="AS10" s="29">
        <f>B10*1.15</f>
        <v>5512.295</v>
      </c>
      <c r="AT10" s="29">
        <f aca="true" t="shared" si="0" ref="AT10:AT21">0.45*1160.9</f>
        <v>522.4050000000001</v>
      </c>
      <c r="AU10" s="31"/>
      <c r="AV10" s="30">
        <v>5566</v>
      </c>
      <c r="AW10" s="31">
        <v>16099</v>
      </c>
      <c r="AX10" s="31">
        <f>1.85+6.64+10+29.1+310.5+46.2</f>
        <v>404.29</v>
      </c>
      <c r="AY10" s="17"/>
      <c r="AZ10" s="229"/>
      <c r="BA10" s="32"/>
      <c r="BB10" s="32">
        <f>BA10*0.18</f>
        <v>0</v>
      </c>
      <c r="BC10" s="32">
        <f aca="true" t="shared" si="1" ref="BC10:BC21">SUM(AK10:BB10)</f>
        <v>59883.568999999996</v>
      </c>
      <c r="BD10" s="33">
        <f>'[9]Т01'!$R$82+'[9]Т01'!$R$165</f>
        <v>484.90700000000004</v>
      </c>
      <c r="BE10" s="33">
        <f aca="true" t="shared" si="2" ref="BE10:BE21">BC10+BD10</f>
        <v>60368.475999999995</v>
      </c>
      <c r="BF10" s="33">
        <f aca="true" t="shared" si="3" ref="BF10:BF21">AG10-BE10+AJ10</f>
        <v>-27306.449</v>
      </c>
      <c r="BG10" s="32">
        <f aca="true" t="shared" si="4" ref="BG10:BG21">AF10-U10</f>
        <v>-9161.669000000005</v>
      </c>
      <c r="BH10" s="32"/>
      <c r="BI10" s="32"/>
      <c r="BJ10" s="66"/>
    </row>
    <row r="11" spans="1:61" ht="12.75">
      <c r="A11" s="53" t="s">
        <v>34</v>
      </c>
      <c r="B11" s="54">
        <v>4793.3</v>
      </c>
      <c r="C11" s="18">
        <f>B11*8.55</f>
        <v>40982.715000000004</v>
      </c>
      <c r="D11" s="16">
        <v>174.22</v>
      </c>
      <c r="E11" s="27">
        <v>-1.27</v>
      </c>
      <c r="F11" s="27">
        <v>0</v>
      </c>
      <c r="G11" s="25">
        <v>24143.9</v>
      </c>
      <c r="H11" s="25">
        <v>0</v>
      </c>
      <c r="I11" s="25">
        <v>-1.71</v>
      </c>
      <c r="J11" s="25">
        <v>0</v>
      </c>
      <c r="K11" s="25">
        <v>-2.85</v>
      </c>
      <c r="L11" s="25">
        <v>0</v>
      </c>
      <c r="M11" s="25">
        <v>11965.66</v>
      </c>
      <c r="N11" s="25">
        <v>0</v>
      </c>
      <c r="O11" s="25">
        <v>4149.75</v>
      </c>
      <c r="P11" s="27">
        <v>0</v>
      </c>
      <c r="Q11" s="27">
        <v>0</v>
      </c>
      <c r="R11" s="27">
        <v>0</v>
      </c>
      <c r="S11" s="27">
        <v>0</v>
      </c>
      <c r="T11" s="25">
        <v>0</v>
      </c>
      <c r="U11" s="67">
        <f aca="true" t="shared" si="5" ref="U11:V21">E11+G11+I11+K11+M11+O11+Q11+S11</f>
        <v>40253.48</v>
      </c>
      <c r="V11" s="58">
        <f t="shared" si="5"/>
        <v>0</v>
      </c>
      <c r="W11" s="25">
        <v>986.39</v>
      </c>
      <c r="X11" s="27">
        <v>17293.02</v>
      </c>
      <c r="Y11" s="25">
        <v>1335.71</v>
      </c>
      <c r="Z11" s="25">
        <v>2223.82</v>
      </c>
      <c r="AA11" s="25">
        <v>11911.38</v>
      </c>
      <c r="AB11" s="25">
        <v>3820.18</v>
      </c>
      <c r="AC11" s="25">
        <v>0</v>
      </c>
      <c r="AD11" s="27">
        <v>0</v>
      </c>
      <c r="AE11" s="27">
        <v>0</v>
      </c>
      <c r="AF11" s="59">
        <f>SUM(W11:AE11)</f>
        <v>37570.5</v>
      </c>
      <c r="AG11" s="60">
        <f>AF11+V11+D11</f>
        <v>37744.72</v>
      </c>
      <c r="AH11" s="61">
        <f aca="true" t="shared" si="6" ref="AH11:AI21">AC11</f>
        <v>0</v>
      </c>
      <c r="AI11" s="61">
        <f t="shared" si="6"/>
        <v>0</v>
      </c>
      <c r="AJ11" s="28">
        <f>'[9]Т02'!$J$82+'[9]Т02'!$J$167</f>
        <v>747.546</v>
      </c>
      <c r="AK11" s="29">
        <f>0.67*B11</f>
        <v>3211.5110000000004</v>
      </c>
      <c r="AL11" s="29">
        <f>B11*0.2</f>
        <v>958.6600000000001</v>
      </c>
      <c r="AM11" s="29">
        <f>B11*1</f>
        <v>4793.3</v>
      </c>
      <c r="AN11" s="29">
        <f>B11*0.21</f>
        <v>1006.593</v>
      </c>
      <c r="AO11" s="29">
        <f>2.02*B11</f>
        <v>9682.466</v>
      </c>
      <c r="AP11" s="29">
        <f>B11*1.03</f>
        <v>4937.099</v>
      </c>
      <c r="AQ11" s="29">
        <f>B11*0.75</f>
        <v>3594.9750000000004</v>
      </c>
      <c r="AR11" s="29">
        <f>B11*0.75</f>
        <v>3594.9750000000004</v>
      </c>
      <c r="AS11" s="29">
        <f>B11*1.15</f>
        <v>5512.295</v>
      </c>
      <c r="AT11" s="29">
        <f t="shared" si="0"/>
        <v>522.4050000000001</v>
      </c>
      <c r="AU11" s="31">
        <v>317</v>
      </c>
      <c r="AV11" s="30">
        <v>3371</v>
      </c>
      <c r="AW11" s="31"/>
      <c r="AX11" s="31">
        <f>33.84+317</f>
        <v>350.84000000000003</v>
      </c>
      <c r="AY11" s="17"/>
      <c r="AZ11" s="229"/>
      <c r="BA11" s="32"/>
      <c r="BB11" s="32">
        <f>BA11*0.18</f>
        <v>0</v>
      </c>
      <c r="BC11" s="32">
        <f t="shared" si="1"/>
        <v>41853.11899999999</v>
      </c>
      <c r="BD11" s="33">
        <f>'[9]Т02'!$S$82+'[9]Т02'!$S$166</f>
        <v>484.90700000000004</v>
      </c>
      <c r="BE11" s="33">
        <f t="shared" si="2"/>
        <v>42338.02599999999</v>
      </c>
      <c r="BF11" s="33">
        <f t="shared" si="3"/>
        <v>-3845.7599999999893</v>
      </c>
      <c r="BG11" s="32">
        <f t="shared" si="4"/>
        <v>-2682.980000000003</v>
      </c>
      <c r="BH11" s="32"/>
      <c r="BI11" s="32"/>
    </row>
    <row r="12" spans="1:61" ht="12.75">
      <c r="A12" s="53" t="s">
        <v>35</v>
      </c>
      <c r="B12" s="54">
        <v>4793.3</v>
      </c>
      <c r="C12" s="18">
        <f>B12*8.55</f>
        <v>40982.715000000004</v>
      </c>
      <c r="D12" s="16">
        <v>174.22</v>
      </c>
      <c r="E12" s="27">
        <v>0</v>
      </c>
      <c r="F12" s="27">
        <v>0</v>
      </c>
      <c r="G12" s="25">
        <v>24650.56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11969.78</v>
      </c>
      <c r="N12" s="25">
        <v>0</v>
      </c>
      <c r="O12" s="25">
        <v>4150.76</v>
      </c>
      <c r="P12" s="25">
        <v>0</v>
      </c>
      <c r="Q12" s="23">
        <v>0</v>
      </c>
      <c r="R12" s="23">
        <v>0</v>
      </c>
      <c r="S12" s="23">
        <v>0</v>
      </c>
      <c r="T12" s="25">
        <v>0</v>
      </c>
      <c r="U12" s="25">
        <f t="shared" si="5"/>
        <v>40771.100000000006</v>
      </c>
      <c r="V12" s="26">
        <f t="shared" si="5"/>
        <v>0</v>
      </c>
      <c r="W12" s="69">
        <v>714.08</v>
      </c>
      <c r="X12" s="27">
        <v>21090.14</v>
      </c>
      <c r="Y12" s="25">
        <v>395.31</v>
      </c>
      <c r="Z12" s="25">
        <v>658</v>
      </c>
      <c r="AA12" s="25">
        <v>10504.07</v>
      </c>
      <c r="AB12" s="25">
        <v>3565.18</v>
      </c>
      <c r="AC12" s="25">
        <v>0</v>
      </c>
      <c r="AD12" s="27">
        <v>0</v>
      </c>
      <c r="AE12" s="25">
        <v>0</v>
      </c>
      <c r="AF12" s="70">
        <f>SUM(W12:AE12)</f>
        <v>36926.780000000006</v>
      </c>
      <c r="AG12" s="60">
        <f>AF12+V12+D12</f>
        <v>37101.00000000001</v>
      </c>
      <c r="AH12" s="61">
        <f t="shared" si="6"/>
        <v>0</v>
      </c>
      <c r="AI12" s="61">
        <f t="shared" si="6"/>
        <v>0</v>
      </c>
      <c r="AJ12" s="28">
        <f>'[9]Т03'!$J$82+'[9]Т03'!$J$167</f>
        <v>747.546</v>
      </c>
      <c r="AK12" s="29">
        <f>0.67*B12</f>
        <v>3211.5110000000004</v>
      </c>
      <c r="AL12" s="29">
        <f>B12*0.2</f>
        <v>958.6600000000001</v>
      </c>
      <c r="AM12" s="29">
        <f>B12*1</f>
        <v>4793.3</v>
      </c>
      <c r="AN12" s="29">
        <f>B12*0.21</f>
        <v>1006.593</v>
      </c>
      <c r="AO12" s="29">
        <f>2.02*B12</f>
        <v>9682.466</v>
      </c>
      <c r="AP12" s="29">
        <f>B12*1.03</f>
        <v>4937.099</v>
      </c>
      <c r="AQ12" s="29">
        <f>B12*0.75</f>
        <v>3594.9750000000004</v>
      </c>
      <c r="AR12" s="29">
        <f>B12*0.75</f>
        <v>3594.9750000000004</v>
      </c>
      <c r="AS12" s="29">
        <f>B12*1.15</f>
        <v>5512.295</v>
      </c>
      <c r="AT12" s="29">
        <f t="shared" si="0"/>
        <v>522.4050000000001</v>
      </c>
      <c r="AU12" s="31">
        <v>2294</v>
      </c>
      <c r="AV12" s="30"/>
      <c r="AW12" s="31"/>
      <c r="AX12" s="31">
        <f>'[10]март 2011'!$F$85</f>
        <v>10.4</v>
      </c>
      <c r="AY12" s="17"/>
      <c r="AZ12" s="32"/>
      <c r="BA12" s="32"/>
      <c r="BB12" s="32">
        <f>AZ12*0.18</f>
        <v>0</v>
      </c>
      <c r="BC12" s="32">
        <f t="shared" si="1"/>
        <v>40118.679</v>
      </c>
      <c r="BD12" s="33">
        <f>'[9]Т01'!$R$82+'[9]Т01'!$R$165</f>
        <v>484.90700000000004</v>
      </c>
      <c r="BE12" s="33">
        <f t="shared" si="2"/>
        <v>40603.585999999996</v>
      </c>
      <c r="BF12" s="33">
        <f t="shared" si="3"/>
        <v>-2755.039999999988</v>
      </c>
      <c r="BG12" s="32">
        <f t="shared" si="4"/>
        <v>-3844.3199999999997</v>
      </c>
      <c r="BH12" s="32"/>
      <c r="BI12" s="32"/>
    </row>
    <row r="13" spans="1:61" ht="12.75">
      <c r="A13" s="53" t="s">
        <v>36</v>
      </c>
      <c r="B13" s="54">
        <v>4793.3</v>
      </c>
      <c r="C13" s="18">
        <f>B13*8.55</f>
        <v>40982.715000000004</v>
      </c>
      <c r="D13" s="16">
        <v>174.22</v>
      </c>
      <c r="E13" s="77">
        <v>0</v>
      </c>
      <c r="F13" s="27">
        <v>0</v>
      </c>
      <c r="G13" s="69">
        <v>24650.56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11969.78</v>
      </c>
      <c r="N13" s="25">
        <v>0</v>
      </c>
      <c r="O13" s="25">
        <v>4150.76</v>
      </c>
      <c r="P13" s="27">
        <v>0</v>
      </c>
      <c r="Q13" s="208">
        <v>0</v>
      </c>
      <c r="R13" s="121">
        <v>0</v>
      </c>
      <c r="S13" s="209">
        <v>0</v>
      </c>
      <c r="T13" s="71">
        <v>0</v>
      </c>
      <c r="U13" s="67">
        <f t="shared" si="5"/>
        <v>40771.100000000006</v>
      </c>
      <c r="V13" s="26">
        <f t="shared" si="5"/>
        <v>0</v>
      </c>
      <c r="W13" s="25">
        <v>468.75</v>
      </c>
      <c r="X13" s="27">
        <v>21730.44</v>
      </c>
      <c r="Y13" s="25">
        <v>635.21</v>
      </c>
      <c r="Z13" s="25">
        <v>1057.1</v>
      </c>
      <c r="AA13" s="25">
        <v>12049.67</v>
      </c>
      <c r="AB13" s="27">
        <v>4028.49</v>
      </c>
      <c r="AC13" s="25">
        <v>0</v>
      </c>
      <c r="AD13" s="27">
        <v>0</v>
      </c>
      <c r="AE13" s="27">
        <v>0</v>
      </c>
      <c r="AF13" s="59">
        <f>SUM(W13:AD13)</f>
        <v>39969.659999999996</v>
      </c>
      <c r="AG13" s="72">
        <f>AF13+V13+D13</f>
        <v>40143.88</v>
      </c>
      <c r="AH13" s="62">
        <f t="shared" si="6"/>
        <v>0</v>
      </c>
      <c r="AI13" s="62">
        <f t="shared" si="6"/>
        <v>0</v>
      </c>
      <c r="AJ13" s="73">
        <f>'[11]Т04'!$J$83+'[11]Т04'!$J$169</f>
        <v>747.546</v>
      </c>
      <c r="AK13" s="29">
        <f>0.67*B13</f>
        <v>3211.5110000000004</v>
      </c>
      <c r="AL13" s="29">
        <f>B13*0.2</f>
        <v>958.6600000000001</v>
      </c>
      <c r="AM13" s="29">
        <f>B13*1</f>
        <v>4793.3</v>
      </c>
      <c r="AN13" s="29">
        <f>B13*0.21</f>
        <v>1006.593</v>
      </c>
      <c r="AO13" s="29">
        <f>2.02*B13</f>
        <v>9682.466</v>
      </c>
      <c r="AP13" s="29">
        <f>B13*1.03</f>
        <v>4937.099</v>
      </c>
      <c r="AQ13" s="29">
        <f>B13*0.75</f>
        <v>3594.9750000000004</v>
      </c>
      <c r="AR13" s="29">
        <f>B13*0.75</f>
        <v>3594.9750000000004</v>
      </c>
      <c r="AS13" s="29"/>
      <c r="AT13" s="210">
        <f t="shared" si="0"/>
        <v>522.4050000000001</v>
      </c>
      <c r="AU13" s="75"/>
      <c r="AV13" s="75"/>
      <c r="AW13" s="75"/>
      <c r="AX13" s="75">
        <f>71</f>
        <v>71</v>
      </c>
      <c r="AY13" s="17"/>
      <c r="AZ13" s="74"/>
      <c r="BA13" s="74"/>
      <c r="BB13" s="74"/>
      <c r="BC13" s="23">
        <f t="shared" si="1"/>
        <v>32372.983999999997</v>
      </c>
      <c r="BD13" s="33">
        <f>'[9]Т02'!$S$82+'[9]Т02'!$S$166</f>
        <v>484.90700000000004</v>
      </c>
      <c r="BE13" s="33">
        <f t="shared" si="2"/>
        <v>32857.890999999996</v>
      </c>
      <c r="BF13" s="33">
        <f t="shared" si="3"/>
        <v>8033.535000000002</v>
      </c>
      <c r="BG13" s="32">
        <f t="shared" si="4"/>
        <v>-801.4400000000096</v>
      </c>
      <c r="BH13" s="32">
        <f>AF13-U13</f>
        <v>-801.4400000000096</v>
      </c>
      <c r="BI13" s="32"/>
    </row>
    <row r="14" spans="1:61" ht="12.75">
      <c r="A14" s="53" t="s">
        <v>37</v>
      </c>
      <c r="B14" s="76">
        <v>4793.3</v>
      </c>
      <c r="C14" s="18">
        <f aca="true" t="shared" si="7" ref="C14:C21">B14*8.55</f>
        <v>40982.715000000004</v>
      </c>
      <c r="D14" s="16">
        <v>174.22</v>
      </c>
      <c r="E14" s="211">
        <v>0</v>
      </c>
      <c r="F14" s="27">
        <v>0</v>
      </c>
      <c r="G14" s="25">
        <v>24623.76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11956.62</v>
      </c>
      <c r="N14" s="25">
        <v>0</v>
      </c>
      <c r="O14" s="25">
        <v>4146.05</v>
      </c>
      <c r="P14" s="27">
        <v>0</v>
      </c>
      <c r="Q14" s="23">
        <v>0</v>
      </c>
      <c r="R14" s="24">
        <v>0</v>
      </c>
      <c r="S14" s="23">
        <v>0</v>
      </c>
      <c r="T14" s="27">
        <v>0</v>
      </c>
      <c r="U14" s="77">
        <f t="shared" si="5"/>
        <v>40726.43</v>
      </c>
      <c r="V14" s="126">
        <f>F14+H14+J14+L14+N14++R14+T14</f>
        <v>0</v>
      </c>
      <c r="W14" s="25">
        <v>73.11</v>
      </c>
      <c r="X14" s="27">
        <v>21982.06</v>
      </c>
      <c r="Y14" s="25">
        <v>99.09</v>
      </c>
      <c r="Z14" s="25">
        <v>164.93</v>
      </c>
      <c r="AA14" s="25">
        <v>11021.76</v>
      </c>
      <c r="AB14" s="25">
        <v>3791.93</v>
      </c>
      <c r="AC14" s="25">
        <v>0</v>
      </c>
      <c r="AD14" s="27">
        <v>0</v>
      </c>
      <c r="AE14" s="59">
        <v>0</v>
      </c>
      <c r="AF14" s="78">
        <f>SUM(W14:AE14)</f>
        <v>37132.880000000005</v>
      </c>
      <c r="AG14" s="72">
        <f aca="true" t="shared" si="8" ref="AG14:AG21">D14+V14+AF14</f>
        <v>37307.100000000006</v>
      </c>
      <c r="AH14" s="62">
        <f t="shared" si="6"/>
        <v>0</v>
      </c>
      <c r="AI14" s="62">
        <f t="shared" si="6"/>
        <v>0</v>
      </c>
      <c r="AJ14" s="73">
        <f>'[9]Т05'!$J$81+'[9]Т05'!$J$167</f>
        <v>747.546</v>
      </c>
      <c r="AK14" s="29">
        <f aca="true" t="shared" si="9" ref="AK14:AK21">0.67*B14</f>
        <v>3211.5110000000004</v>
      </c>
      <c r="AL14" s="29">
        <f aca="true" t="shared" si="10" ref="AL14:AL21">B14*0.2</f>
        <v>958.6600000000001</v>
      </c>
      <c r="AM14" s="29">
        <f aca="true" t="shared" si="11" ref="AM14:AM21">B14*1</f>
        <v>4793.3</v>
      </c>
      <c r="AN14" s="29">
        <f aca="true" t="shared" si="12" ref="AN14:AN21">B14*0.21</f>
        <v>1006.593</v>
      </c>
      <c r="AO14" s="29">
        <f aca="true" t="shared" si="13" ref="AO14:AO21">2.02*B14</f>
        <v>9682.466</v>
      </c>
      <c r="AP14" s="29">
        <f aca="true" t="shared" si="14" ref="AP14:AP21">B14*1.03</f>
        <v>4937.099</v>
      </c>
      <c r="AQ14" s="29">
        <f aca="true" t="shared" si="15" ref="AQ14:AQ21">B14*0.75</f>
        <v>3594.9750000000004</v>
      </c>
      <c r="AR14" s="29">
        <f aca="true" t="shared" si="16" ref="AR14:AR21">B14*0.75</f>
        <v>3594.9750000000004</v>
      </c>
      <c r="AS14" s="29"/>
      <c r="AT14" s="210">
        <f t="shared" si="0"/>
        <v>522.4050000000001</v>
      </c>
      <c r="AU14" s="75"/>
      <c r="AV14" s="75">
        <v>125</v>
      </c>
      <c r="AW14" s="75">
        <v>1045</v>
      </c>
      <c r="AX14" s="75">
        <f>333</f>
        <v>333</v>
      </c>
      <c r="AY14" s="17"/>
      <c r="AZ14" s="74"/>
      <c r="BA14" s="74"/>
      <c r="BB14" s="74"/>
      <c r="BC14" s="23">
        <f t="shared" si="1"/>
        <v>33804.984</v>
      </c>
      <c r="BD14" s="33">
        <f>'[9]Т01'!$R$82+'[9]Т01'!$R$165</f>
        <v>484.90700000000004</v>
      </c>
      <c r="BE14" s="33">
        <f t="shared" si="2"/>
        <v>34289.890999999996</v>
      </c>
      <c r="BF14" s="33">
        <f t="shared" si="3"/>
        <v>3764.75500000001</v>
      </c>
      <c r="BG14" s="32">
        <f t="shared" si="4"/>
        <v>-3593.5499999999956</v>
      </c>
      <c r="BH14" s="32"/>
      <c r="BI14" s="49"/>
    </row>
    <row r="15" spans="1:61" ht="12.75">
      <c r="A15" s="53" t="s">
        <v>38</v>
      </c>
      <c r="B15" s="54">
        <v>4793.3</v>
      </c>
      <c r="C15" s="18">
        <f t="shared" si="7"/>
        <v>40982.715000000004</v>
      </c>
      <c r="D15" s="16">
        <v>174.22</v>
      </c>
      <c r="E15" s="79">
        <v>0</v>
      </c>
      <c r="F15" s="79"/>
      <c r="G15" s="79">
        <v>24648.81</v>
      </c>
      <c r="H15" s="79"/>
      <c r="I15" s="80">
        <v>0</v>
      </c>
      <c r="J15" s="80"/>
      <c r="K15" s="80">
        <v>0</v>
      </c>
      <c r="L15" s="80"/>
      <c r="M15" s="80">
        <v>11968.93</v>
      </c>
      <c r="N15" s="80"/>
      <c r="O15" s="80">
        <v>4150.45</v>
      </c>
      <c r="P15" s="80"/>
      <c r="Q15" s="80">
        <v>0</v>
      </c>
      <c r="R15" s="81"/>
      <c r="S15" s="81">
        <v>0</v>
      </c>
      <c r="T15" s="80"/>
      <c r="U15" s="82">
        <f t="shared" si="5"/>
        <v>40768.19</v>
      </c>
      <c r="V15" s="125">
        <f t="shared" si="5"/>
        <v>0</v>
      </c>
      <c r="W15" s="83">
        <v>111.8</v>
      </c>
      <c r="X15" s="79">
        <v>20883.38</v>
      </c>
      <c r="Y15" s="79">
        <v>151.49</v>
      </c>
      <c r="Z15" s="79">
        <v>252.07</v>
      </c>
      <c r="AA15" s="79">
        <v>10177.75</v>
      </c>
      <c r="AB15" s="79">
        <v>3505.02</v>
      </c>
      <c r="AC15" s="79">
        <v>0</v>
      </c>
      <c r="AD15" s="79">
        <v>0</v>
      </c>
      <c r="AE15" s="84">
        <v>0</v>
      </c>
      <c r="AF15" s="85">
        <f aca="true" t="shared" si="17" ref="AF15:AF21">SUM(W15:AE15)</f>
        <v>35081.51</v>
      </c>
      <c r="AG15" s="72">
        <f t="shared" si="8"/>
        <v>35255.73</v>
      </c>
      <c r="AH15" s="62">
        <f t="shared" si="6"/>
        <v>0</v>
      </c>
      <c r="AI15" s="62">
        <f t="shared" si="6"/>
        <v>0</v>
      </c>
      <c r="AJ15" s="73">
        <f>'[9]Т06'!$J$81+'[9]Т06'!$J$167</f>
        <v>747.546</v>
      </c>
      <c r="AK15" s="29">
        <f t="shared" si="9"/>
        <v>3211.5110000000004</v>
      </c>
      <c r="AL15" s="29">
        <f t="shared" si="10"/>
        <v>958.6600000000001</v>
      </c>
      <c r="AM15" s="29">
        <f t="shared" si="11"/>
        <v>4793.3</v>
      </c>
      <c r="AN15" s="29">
        <f t="shared" si="12"/>
        <v>1006.593</v>
      </c>
      <c r="AO15" s="29">
        <f t="shared" si="13"/>
        <v>9682.466</v>
      </c>
      <c r="AP15" s="29">
        <f t="shared" si="14"/>
        <v>4937.099</v>
      </c>
      <c r="AQ15" s="29">
        <f t="shared" si="15"/>
        <v>3594.9750000000004</v>
      </c>
      <c r="AR15" s="29">
        <f t="shared" si="16"/>
        <v>3594.9750000000004</v>
      </c>
      <c r="AS15" s="29"/>
      <c r="AT15" s="210">
        <f t="shared" si="0"/>
        <v>522.4050000000001</v>
      </c>
      <c r="AU15" s="75"/>
      <c r="AV15" s="75">
        <v>686</v>
      </c>
      <c r="AW15" s="75"/>
      <c r="AX15" s="75">
        <f>17</f>
        <v>17</v>
      </c>
      <c r="AY15" s="29"/>
      <c r="AZ15" s="74"/>
      <c r="BA15" s="74"/>
      <c r="BB15" s="74"/>
      <c r="BC15" s="212">
        <f t="shared" si="1"/>
        <v>33004.984</v>
      </c>
      <c r="BD15" s="33">
        <f>'[9]Т02'!$S$82+'[9]Т02'!$S$166</f>
        <v>484.90700000000004</v>
      </c>
      <c r="BE15" s="33">
        <f t="shared" si="2"/>
        <v>33489.890999999996</v>
      </c>
      <c r="BF15" s="33">
        <f t="shared" si="3"/>
        <v>2513.3850000000075</v>
      </c>
      <c r="BG15" s="32">
        <f t="shared" si="4"/>
        <v>-5686.68</v>
      </c>
      <c r="BH15" s="32"/>
      <c r="BI15" s="32"/>
    </row>
    <row r="16" spans="1:61" ht="12.75">
      <c r="A16" s="53" t="s">
        <v>39</v>
      </c>
      <c r="B16" s="54">
        <v>4793.3</v>
      </c>
      <c r="C16" s="18">
        <f t="shared" si="7"/>
        <v>40982.715000000004</v>
      </c>
      <c r="D16" s="16">
        <v>174.22</v>
      </c>
      <c r="E16" s="87"/>
      <c r="F16" s="87"/>
      <c r="G16" s="87">
        <v>24631.49</v>
      </c>
      <c r="H16" s="87"/>
      <c r="I16" s="87"/>
      <c r="J16" s="87"/>
      <c r="K16" s="87"/>
      <c r="L16" s="87"/>
      <c r="M16" s="87">
        <v>11960.43</v>
      </c>
      <c r="N16" s="87"/>
      <c r="O16" s="87">
        <v>4147.42</v>
      </c>
      <c r="P16" s="87"/>
      <c r="Q16" s="87"/>
      <c r="R16" s="87"/>
      <c r="S16" s="88"/>
      <c r="T16" s="83"/>
      <c r="U16" s="89">
        <f t="shared" si="5"/>
        <v>40739.34</v>
      </c>
      <c r="V16" s="123">
        <f t="shared" si="5"/>
        <v>0</v>
      </c>
      <c r="W16" s="90">
        <v>26.69</v>
      </c>
      <c r="X16" s="87">
        <v>22059.75</v>
      </c>
      <c r="Y16" s="87">
        <v>36.16</v>
      </c>
      <c r="Z16" s="87">
        <v>60.19</v>
      </c>
      <c r="AA16" s="87">
        <v>10797.87</v>
      </c>
      <c r="AB16" s="87">
        <v>3734.8</v>
      </c>
      <c r="AC16" s="79"/>
      <c r="AD16" s="87"/>
      <c r="AE16" s="88"/>
      <c r="AF16" s="85">
        <f t="shared" si="17"/>
        <v>36715.46</v>
      </c>
      <c r="AG16" s="91">
        <f t="shared" si="8"/>
        <v>36889.68</v>
      </c>
      <c r="AH16" s="62">
        <f t="shared" si="6"/>
        <v>0</v>
      </c>
      <c r="AI16" s="62">
        <f t="shared" si="6"/>
        <v>0</v>
      </c>
      <c r="AJ16" s="73">
        <f>'[9]Т07'!$J$81+'[9]Т07'!$J$171</f>
        <v>747.546</v>
      </c>
      <c r="AK16" s="29">
        <f t="shared" si="9"/>
        <v>3211.5110000000004</v>
      </c>
      <c r="AL16" s="29">
        <f t="shared" si="10"/>
        <v>958.6600000000001</v>
      </c>
      <c r="AM16" s="29">
        <f t="shared" si="11"/>
        <v>4793.3</v>
      </c>
      <c r="AN16" s="29">
        <f t="shared" si="12"/>
        <v>1006.593</v>
      </c>
      <c r="AO16" s="29">
        <f t="shared" si="13"/>
        <v>9682.466</v>
      </c>
      <c r="AP16" s="29">
        <f t="shared" si="14"/>
        <v>4937.099</v>
      </c>
      <c r="AQ16" s="29">
        <f t="shared" si="15"/>
        <v>3594.9750000000004</v>
      </c>
      <c r="AR16" s="29">
        <f t="shared" si="16"/>
        <v>3594.9750000000004</v>
      </c>
      <c r="AS16" s="29"/>
      <c r="AT16" s="210">
        <f t="shared" si="0"/>
        <v>522.4050000000001</v>
      </c>
      <c r="AU16" s="75">
        <v>12955</v>
      </c>
      <c r="AV16" s="75"/>
      <c r="AW16" s="75"/>
      <c r="AX16" s="75">
        <f>28+176+111.43+9.43+32.56+8+1572</f>
        <v>1937.42</v>
      </c>
      <c r="AY16" s="75"/>
      <c r="AZ16" s="17"/>
      <c r="BA16" s="74"/>
      <c r="BB16" s="74"/>
      <c r="BC16" s="23">
        <f t="shared" si="1"/>
        <v>47194.403999999995</v>
      </c>
      <c r="BD16" s="33">
        <f>'[9]Т01'!$R$82+'[9]Т01'!$R$165</f>
        <v>484.90700000000004</v>
      </c>
      <c r="BE16" s="33">
        <f t="shared" si="2"/>
        <v>47679.310999999994</v>
      </c>
      <c r="BF16" s="33">
        <f t="shared" si="3"/>
        <v>-10042.084999999994</v>
      </c>
      <c r="BG16" s="32">
        <f t="shared" si="4"/>
        <v>-4023.8799999999974</v>
      </c>
      <c r="BH16" s="32"/>
      <c r="BI16" s="32"/>
    </row>
    <row r="17" spans="1:61" ht="12.75">
      <c r="A17" s="53" t="s">
        <v>40</v>
      </c>
      <c r="B17" s="54">
        <v>4793.3</v>
      </c>
      <c r="C17" s="18">
        <f t="shared" si="7"/>
        <v>40982.715000000004</v>
      </c>
      <c r="D17" s="16">
        <v>174.22</v>
      </c>
      <c r="E17" s="87"/>
      <c r="F17" s="87"/>
      <c r="G17" s="87">
        <v>24642.78</v>
      </c>
      <c r="H17" s="87"/>
      <c r="I17" s="87"/>
      <c r="J17" s="87"/>
      <c r="K17" s="87"/>
      <c r="L17" s="87"/>
      <c r="M17" s="87">
        <v>11965.96</v>
      </c>
      <c r="N17" s="87"/>
      <c r="O17" s="87">
        <v>4149.4</v>
      </c>
      <c r="P17" s="87"/>
      <c r="Q17" s="87"/>
      <c r="R17" s="87"/>
      <c r="S17" s="88"/>
      <c r="T17" s="84"/>
      <c r="U17" s="92">
        <f t="shared" si="5"/>
        <v>40758.14</v>
      </c>
      <c r="V17" s="124">
        <f t="shared" si="5"/>
        <v>0</v>
      </c>
      <c r="W17" s="87">
        <v>203.9</v>
      </c>
      <c r="X17" s="87">
        <v>21658.35</v>
      </c>
      <c r="Y17" s="87">
        <v>275.47</v>
      </c>
      <c r="Z17" s="87">
        <v>458.98</v>
      </c>
      <c r="AA17" s="87">
        <v>11181.49</v>
      </c>
      <c r="AB17" s="87">
        <v>3810.12</v>
      </c>
      <c r="AC17" s="87"/>
      <c r="AD17" s="87"/>
      <c r="AE17" s="88"/>
      <c r="AF17" s="85">
        <f t="shared" si="17"/>
        <v>37588.310000000005</v>
      </c>
      <c r="AG17" s="91">
        <f t="shared" si="8"/>
        <v>37762.530000000006</v>
      </c>
      <c r="AH17" s="62">
        <f t="shared" si="6"/>
        <v>0</v>
      </c>
      <c r="AI17" s="62">
        <f t="shared" si="6"/>
        <v>0</v>
      </c>
      <c r="AJ17" s="73">
        <f>'[9]Т08'!$J$81+'[9]Т08'!$J$175</f>
        <v>747.546</v>
      </c>
      <c r="AK17" s="29">
        <f t="shared" si="9"/>
        <v>3211.5110000000004</v>
      </c>
      <c r="AL17" s="29">
        <f t="shared" si="10"/>
        <v>958.6600000000001</v>
      </c>
      <c r="AM17" s="29">
        <f t="shared" si="11"/>
        <v>4793.3</v>
      </c>
      <c r="AN17" s="29">
        <f t="shared" si="12"/>
        <v>1006.593</v>
      </c>
      <c r="AO17" s="29">
        <f t="shared" si="13"/>
        <v>9682.466</v>
      </c>
      <c r="AP17" s="29">
        <f t="shared" si="14"/>
        <v>4937.099</v>
      </c>
      <c r="AQ17" s="29">
        <f t="shared" si="15"/>
        <v>3594.9750000000004</v>
      </c>
      <c r="AR17" s="29">
        <f t="shared" si="16"/>
        <v>3594.9750000000004</v>
      </c>
      <c r="AS17" s="29"/>
      <c r="AT17" s="210">
        <f t="shared" si="0"/>
        <v>522.4050000000001</v>
      </c>
      <c r="AU17" s="75"/>
      <c r="AV17" s="75"/>
      <c r="AW17" s="75">
        <v>1623</v>
      </c>
      <c r="AX17" s="75">
        <f>130</f>
        <v>130</v>
      </c>
      <c r="AY17" s="17"/>
      <c r="AZ17" s="74"/>
      <c r="BA17" s="74"/>
      <c r="BB17" s="74"/>
      <c r="BC17" s="23">
        <f t="shared" si="1"/>
        <v>34054.984</v>
      </c>
      <c r="BD17" s="33">
        <f>'[9]Т02'!$S$82+'[9]Т02'!$S$166</f>
        <v>484.90700000000004</v>
      </c>
      <c r="BE17" s="33">
        <f t="shared" si="2"/>
        <v>34539.890999999996</v>
      </c>
      <c r="BF17" s="33">
        <f t="shared" si="3"/>
        <v>3970.1850000000104</v>
      </c>
      <c r="BG17" s="32">
        <f t="shared" si="4"/>
        <v>-3169.8299999999945</v>
      </c>
      <c r="BH17" s="32"/>
      <c r="BI17" s="32"/>
    </row>
    <row r="18" spans="1:61" ht="12.75">
      <c r="A18" s="53" t="s">
        <v>41</v>
      </c>
      <c r="B18" s="54">
        <v>4793.3</v>
      </c>
      <c r="C18" s="18">
        <f t="shared" si="7"/>
        <v>40982.715000000004</v>
      </c>
      <c r="D18" s="16">
        <v>174.22</v>
      </c>
      <c r="E18" s="87"/>
      <c r="F18" s="87"/>
      <c r="G18" s="87">
        <v>25138.47</v>
      </c>
      <c r="H18" s="87"/>
      <c r="I18" s="87"/>
      <c r="J18" s="87"/>
      <c r="K18" s="87"/>
      <c r="L18" s="87"/>
      <c r="M18" s="87">
        <v>12206.69</v>
      </c>
      <c r="N18" s="87"/>
      <c r="O18" s="87">
        <v>4232.89</v>
      </c>
      <c r="P18" s="87"/>
      <c r="Q18" s="87"/>
      <c r="R18" s="87"/>
      <c r="S18" s="88"/>
      <c r="T18" s="130"/>
      <c r="U18" s="130">
        <f t="shared" si="5"/>
        <v>41578.05</v>
      </c>
      <c r="V18" s="131">
        <f t="shared" si="5"/>
        <v>0</v>
      </c>
      <c r="W18" s="87">
        <v>104.97</v>
      </c>
      <c r="X18" s="87">
        <v>19272.34</v>
      </c>
      <c r="Y18" s="87">
        <v>126.48</v>
      </c>
      <c r="Z18" s="87">
        <v>209.45</v>
      </c>
      <c r="AA18" s="87">
        <v>9683.53</v>
      </c>
      <c r="AB18" s="87">
        <v>3293.24</v>
      </c>
      <c r="AC18" s="87"/>
      <c r="AD18" s="87"/>
      <c r="AE18" s="88"/>
      <c r="AF18" s="85">
        <f t="shared" si="17"/>
        <v>32690.010000000002</v>
      </c>
      <c r="AG18" s="91">
        <f t="shared" si="8"/>
        <v>32864.23</v>
      </c>
      <c r="AH18" s="62">
        <f t="shared" si="6"/>
        <v>0</v>
      </c>
      <c r="AI18" s="62">
        <f t="shared" si="6"/>
        <v>0</v>
      </c>
      <c r="AJ18" s="73">
        <f>'[9]Т09'!$J$81+'[9]Т09'!$J$175</f>
        <v>747.546</v>
      </c>
      <c r="AK18" s="29">
        <f t="shared" si="9"/>
        <v>3211.5110000000004</v>
      </c>
      <c r="AL18" s="29">
        <f t="shared" si="10"/>
        <v>958.6600000000001</v>
      </c>
      <c r="AM18" s="29">
        <f t="shared" si="11"/>
        <v>4793.3</v>
      </c>
      <c r="AN18" s="29">
        <f t="shared" si="12"/>
        <v>1006.593</v>
      </c>
      <c r="AO18" s="29">
        <f t="shared" si="13"/>
        <v>9682.466</v>
      </c>
      <c r="AP18" s="29">
        <f t="shared" si="14"/>
        <v>4937.099</v>
      </c>
      <c r="AQ18" s="29">
        <f t="shared" si="15"/>
        <v>3594.9750000000004</v>
      </c>
      <c r="AR18" s="29">
        <f t="shared" si="16"/>
        <v>3594.9750000000004</v>
      </c>
      <c r="AS18" s="29"/>
      <c r="AT18" s="210">
        <f t="shared" si="0"/>
        <v>522.4050000000001</v>
      </c>
      <c r="AU18" s="75"/>
      <c r="AV18" s="75"/>
      <c r="AW18" s="75">
        <v>4181</v>
      </c>
      <c r="AX18" s="75">
        <f>884.83</f>
        <v>884.83</v>
      </c>
      <c r="AY18" s="17"/>
      <c r="AZ18" s="74"/>
      <c r="BA18" s="74"/>
      <c r="BB18" s="74"/>
      <c r="BC18" s="23">
        <f t="shared" si="1"/>
        <v>37367.814</v>
      </c>
      <c r="BD18" s="33">
        <f>'[9]Т01'!$R$82+'[9]Т01'!$R$165</f>
        <v>484.90700000000004</v>
      </c>
      <c r="BE18" s="33">
        <f t="shared" si="2"/>
        <v>37852.721</v>
      </c>
      <c r="BF18" s="33">
        <f t="shared" si="3"/>
        <v>-4240.944999999994</v>
      </c>
      <c r="BG18" s="32">
        <f t="shared" si="4"/>
        <v>-8888.04</v>
      </c>
      <c r="BH18" s="32"/>
      <c r="BI18" s="32"/>
    </row>
    <row r="19" spans="1:61" ht="12.75">
      <c r="A19" s="53" t="s">
        <v>31</v>
      </c>
      <c r="B19" s="54">
        <v>4793.3</v>
      </c>
      <c r="C19" s="18">
        <f t="shared" si="7"/>
        <v>40982.715000000004</v>
      </c>
      <c r="D19" s="16">
        <v>174.22</v>
      </c>
      <c r="E19" s="79"/>
      <c r="F19" s="79"/>
      <c r="G19" s="79">
        <v>25149.34</v>
      </c>
      <c r="H19" s="79"/>
      <c r="I19" s="79"/>
      <c r="J19" s="79"/>
      <c r="K19" s="79"/>
      <c r="L19" s="79"/>
      <c r="M19" s="79">
        <v>12212.03</v>
      </c>
      <c r="N19" s="79"/>
      <c r="O19" s="79">
        <v>4234.8</v>
      </c>
      <c r="P19" s="79"/>
      <c r="Q19" s="79"/>
      <c r="R19" s="79"/>
      <c r="S19" s="84"/>
      <c r="T19" s="127"/>
      <c r="U19" s="128">
        <f t="shared" si="5"/>
        <v>41596.170000000006</v>
      </c>
      <c r="V19" s="129">
        <f t="shared" si="5"/>
        <v>0</v>
      </c>
      <c r="W19" s="79">
        <v>0</v>
      </c>
      <c r="X19" s="79">
        <v>27360.96</v>
      </c>
      <c r="Y19" s="79">
        <v>0</v>
      </c>
      <c r="Z19" s="79">
        <v>0</v>
      </c>
      <c r="AA19" s="79">
        <v>13381.83</v>
      </c>
      <c r="AB19" s="79">
        <v>4762.75</v>
      </c>
      <c r="AC19" s="79"/>
      <c r="AD19" s="79"/>
      <c r="AE19" s="84"/>
      <c r="AF19" s="85">
        <f t="shared" si="17"/>
        <v>45505.54</v>
      </c>
      <c r="AG19" s="91">
        <f t="shared" si="8"/>
        <v>45679.76</v>
      </c>
      <c r="AH19" s="62">
        <f t="shared" si="6"/>
        <v>0</v>
      </c>
      <c r="AI19" s="62">
        <f t="shared" si="6"/>
        <v>0</v>
      </c>
      <c r="AJ19" s="73">
        <f>'[14]Т10'!$J$81+'[14]Т10'!$J$175</f>
        <v>747.546</v>
      </c>
      <c r="AK19" s="29">
        <f t="shared" si="9"/>
        <v>3211.5110000000004</v>
      </c>
      <c r="AL19" s="29">
        <f t="shared" si="10"/>
        <v>958.6600000000001</v>
      </c>
      <c r="AM19" s="29">
        <f t="shared" si="11"/>
        <v>4793.3</v>
      </c>
      <c r="AN19" s="29">
        <f t="shared" si="12"/>
        <v>1006.593</v>
      </c>
      <c r="AO19" s="29">
        <f t="shared" si="13"/>
        <v>9682.466</v>
      </c>
      <c r="AP19" s="29">
        <f t="shared" si="14"/>
        <v>4937.099</v>
      </c>
      <c r="AQ19" s="29">
        <f t="shared" si="15"/>
        <v>3594.9750000000004</v>
      </c>
      <c r="AR19" s="29">
        <f t="shared" si="16"/>
        <v>3594.9750000000004</v>
      </c>
      <c r="AS19" s="225">
        <f>B19*1.15</f>
        <v>5512.295</v>
      </c>
      <c r="AT19" s="210">
        <f t="shared" si="0"/>
        <v>522.4050000000001</v>
      </c>
      <c r="AU19" s="75">
        <v>1116</v>
      </c>
      <c r="AV19" s="75"/>
      <c r="AW19" s="75">
        <v>6888</v>
      </c>
      <c r="AX19" s="75">
        <f>127.5+83.6+5070+53.3</f>
        <v>5334.400000000001</v>
      </c>
      <c r="AY19" s="17"/>
      <c r="AZ19" s="74"/>
      <c r="BA19" s="74"/>
      <c r="BB19" s="74"/>
      <c r="BC19" s="23">
        <f t="shared" si="1"/>
        <v>51152.679</v>
      </c>
      <c r="BD19" s="33">
        <f>'[9]Т02'!$S$82+'[9]Т02'!$S$166</f>
        <v>484.90700000000004</v>
      </c>
      <c r="BE19" s="33">
        <f t="shared" si="2"/>
        <v>51637.585999999996</v>
      </c>
      <c r="BF19" s="33">
        <f t="shared" si="3"/>
        <v>-5210.279999999993</v>
      </c>
      <c r="BG19" s="32">
        <f t="shared" si="4"/>
        <v>3909.3699999999953</v>
      </c>
      <c r="BH19" s="32"/>
      <c r="BI19" s="32"/>
    </row>
    <row r="20" spans="1:61" ht="12.75">
      <c r="A20" s="53" t="s">
        <v>32</v>
      </c>
      <c r="B20" s="54">
        <v>4793.3</v>
      </c>
      <c r="C20" s="18">
        <f t="shared" si="7"/>
        <v>40982.715000000004</v>
      </c>
      <c r="D20" s="16">
        <v>174.22</v>
      </c>
      <c r="E20" s="79"/>
      <c r="F20" s="79"/>
      <c r="G20" s="79">
        <v>25150.87</v>
      </c>
      <c r="H20" s="79"/>
      <c r="I20" s="79"/>
      <c r="J20" s="79"/>
      <c r="K20" s="79"/>
      <c r="L20" s="79"/>
      <c r="M20" s="79">
        <v>12212.78</v>
      </c>
      <c r="N20" s="79"/>
      <c r="O20" s="79">
        <v>4235.06</v>
      </c>
      <c r="P20" s="79"/>
      <c r="Q20" s="79"/>
      <c r="R20" s="79"/>
      <c r="S20" s="84"/>
      <c r="T20" s="127"/>
      <c r="U20" s="128">
        <f t="shared" si="5"/>
        <v>41598.71</v>
      </c>
      <c r="V20" s="129">
        <f t="shared" si="5"/>
        <v>0</v>
      </c>
      <c r="W20" s="79">
        <v>0</v>
      </c>
      <c r="X20" s="79">
        <v>23866.08</v>
      </c>
      <c r="Y20" s="79">
        <v>0</v>
      </c>
      <c r="Z20" s="79">
        <v>0</v>
      </c>
      <c r="AA20" s="79">
        <v>11587.88</v>
      </c>
      <c r="AB20" s="79">
        <v>4017.26</v>
      </c>
      <c r="AC20" s="79"/>
      <c r="AD20" s="79"/>
      <c r="AE20" s="84"/>
      <c r="AF20" s="85">
        <f t="shared" si="17"/>
        <v>39471.22</v>
      </c>
      <c r="AG20" s="91">
        <f t="shared" si="8"/>
        <v>39645.44</v>
      </c>
      <c r="AH20" s="62">
        <f t="shared" si="6"/>
        <v>0</v>
      </c>
      <c r="AI20" s="62">
        <f t="shared" si="6"/>
        <v>0</v>
      </c>
      <c r="AJ20" s="73">
        <f>'[9]Т11'!$J$81+'[9]Т11'!$J$175</f>
        <v>747.546</v>
      </c>
      <c r="AK20" s="29">
        <f t="shared" si="9"/>
        <v>3211.5110000000004</v>
      </c>
      <c r="AL20" s="29">
        <f t="shared" si="10"/>
        <v>958.6600000000001</v>
      </c>
      <c r="AM20" s="29">
        <f t="shared" si="11"/>
        <v>4793.3</v>
      </c>
      <c r="AN20" s="29">
        <f t="shared" si="12"/>
        <v>1006.593</v>
      </c>
      <c r="AO20" s="29">
        <f t="shared" si="13"/>
        <v>9682.466</v>
      </c>
      <c r="AP20" s="29">
        <f t="shared" si="14"/>
        <v>4937.099</v>
      </c>
      <c r="AQ20" s="29">
        <f t="shared" si="15"/>
        <v>3594.9750000000004</v>
      </c>
      <c r="AR20" s="29">
        <f t="shared" si="16"/>
        <v>3594.9750000000004</v>
      </c>
      <c r="AS20" s="225">
        <f>B20*1.15</f>
        <v>5512.295</v>
      </c>
      <c r="AT20" s="210">
        <f t="shared" si="0"/>
        <v>522.4050000000001</v>
      </c>
      <c r="AU20" s="75">
        <v>263</v>
      </c>
      <c r="AV20" s="75"/>
      <c r="AW20" s="75"/>
      <c r="AX20" s="75">
        <f>96.58+310.5+129</f>
        <v>536.0799999999999</v>
      </c>
      <c r="AY20" s="17"/>
      <c r="AZ20" s="74"/>
      <c r="BA20" s="74"/>
      <c r="BB20" s="74"/>
      <c r="BC20" s="23">
        <f t="shared" si="1"/>
        <v>38613.359</v>
      </c>
      <c r="BD20" s="33">
        <f>'[9]Т01'!$R$82+'[9]Т01'!$R$165</f>
        <v>484.90700000000004</v>
      </c>
      <c r="BE20" s="33">
        <f t="shared" si="2"/>
        <v>39098.265999999996</v>
      </c>
      <c r="BF20" s="33">
        <f t="shared" si="3"/>
        <v>1294.7200000000064</v>
      </c>
      <c r="BG20" s="32">
        <f t="shared" si="4"/>
        <v>-2127.489999999998</v>
      </c>
      <c r="BH20" s="32"/>
      <c r="BI20" s="32"/>
    </row>
    <row r="21" spans="1:61" ht="13.5" thickBot="1">
      <c r="A21" s="53" t="s">
        <v>106</v>
      </c>
      <c r="B21" s="54">
        <v>4793.3</v>
      </c>
      <c r="C21" s="18">
        <f t="shared" si="7"/>
        <v>40982.715000000004</v>
      </c>
      <c r="D21" s="16">
        <v>174.22</v>
      </c>
      <c r="E21" s="226"/>
      <c r="F21" s="226"/>
      <c r="G21" s="226">
        <v>25131.58</v>
      </c>
      <c r="H21" s="226"/>
      <c r="I21" s="226"/>
      <c r="J21" s="226"/>
      <c r="K21" s="226"/>
      <c r="L21" s="226"/>
      <c r="M21" s="226">
        <v>12203.3</v>
      </c>
      <c r="N21" s="226"/>
      <c r="O21" s="226">
        <v>4231.67</v>
      </c>
      <c r="P21" s="226"/>
      <c r="Q21" s="226"/>
      <c r="R21" s="226"/>
      <c r="S21" s="227"/>
      <c r="T21" s="228"/>
      <c r="U21" s="128">
        <f t="shared" si="5"/>
        <v>41566.55</v>
      </c>
      <c r="V21" s="129">
        <f t="shared" si="5"/>
        <v>0</v>
      </c>
      <c r="W21" s="79">
        <v>0</v>
      </c>
      <c r="X21" s="79">
        <v>29897.11</v>
      </c>
      <c r="Y21" s="79">
        <v>0</v>
      </c>
      <c r="Z21" s="79">
        <v>0</v>
      </c>
      <c r="AA21" s="79">
        <v>14517.49</v>
      </c>
      <c r="AB21" s="79">
        <v>5034.51</v>
      </c>
      <c r="AC21" s="79"/>
      <c r="AD21" s="79"/>
      <c r="AE21" s="84"/>
      <c r="AF21" s="85">
        <f t="shared" si="17"/>
        <v>49449.11</v>
      </c>
      <c r="AG21" s="91">
        <f t="shared" si="8"/>
        <v>49623.33</v>
      </c>
      <c r="AH21" s="62">
        <f t="shared" si="6"/>
        <v>0</v>
      </c>
      <c r="AI21" s="62">
        <f t="shared" si="6"/>
        <v>0</v>
      </c>
      <c r="AJ21" s="73">
        <f>'[9]Т12'!$J$81+'[9]Т12'!$J$195</f>
        <v>747.546</v>
      </c>
      <c r="AK21" s="29">
        <f t="shared" si="9"/>
        <v>3211.5110000000004</v>
      </c>
      <c r="AL21" s="29">
        <f t="shared" si="10"/>
        <v>958.6600000000001</v>
      </c>
      <c r="AM21" s="29">
        <f t="shared" si="11"/>
        <v>4793.3</v>
      </c>
      <c r="AN21" s="29">
        <f t="shared" si="12"/>
        <v>1006.593</v>
      </c>
      <c r="AO21" s="29">
        <f t="shared" si="13"/>
        <v>9682.466</v>
      </c>
      <c r="AP21" s="29">
        <f t="shared" si="14"/>
        <v>4937.099</v>
      </c>
      <c r="AQ21" s="29">
        <f t="shared" si="15"/>
        <v>3594.9750000000004</v>
      </c>
      <c r="AR21" s="29">
        <f t="shared" si="16"/>
        <v>3594.9750000000004</v>
      </c>
      <c r="AS21" s="225">
        <f>B21*1.15</f>
        <v>5512.295</v>
      </c>
      <c r="AT21" s="210">
        <f t="shared" si="0"/>
        <v>522.4050000000001</v>
      </c>
      <c r="AU21" s="75"/>
      <c r="AV21" s="75">
        <v>1656</v>
      </c>
      <c r="AW21" s="75"/>
      <c r="AX21" s="75">
        <f>440+158+520</f>
        <v>1118</v>
      </c>
      <c r="AY21" s="17"/>
      <c r="AZ21" s="74"/>
      <c r="BA21" s="74"/>
      <c r="BB21" s="74"/>
      <c r="BC21" s="23">
        <f t="shared" si="1"/>
        <v>40588.278999999995</v>
      </c>
      <c r="BD21" s="33">
        <f>'[9]Т02'!$S$82+'[9]Т02'!$S$166</f>
        <v>484.90700000000004</v>
      </c>
      <c r="BE21" s="33">
        <f t="shared" si="2"/>
        <v>41073.185999999994</v>
      </c>
      <c r="BF21" s="33">
        <f t="shared" si="3"/>
        <v>9297.690000000008</v>
      </c>
      <c r="BG21" s="32">
        <f t="shared" si="4"/>
        <v>7882.559999999998</v>
      </c>
      <c r="BH21" s="32"/>
      <c r="BI21" s="32"/>
    </row>
    <row r="22" spans="1:61" s="3" customFormat="1" ht="13.5" thickBot="1">
      <c r="A22" s="93" t="s">
        <v>4</v>
      </c>
      <c r="B22" s="96"/>
      <c r="C22" s="101">
        <f aca="true" t="shared" si="18" ref="C22:BF22">SUM(C10:C21)</f>
        <v>491792.58000000013</v>
      </c>
      <c r="D22" s="101">
        <f t="shared" si="18"/>
        <v>2126.85</v>
      </c>
      <c r="E22" s="101">
        <f t="shared" si="18"/>
        <v>-1.27</v>
      </c>
      <c r="F22" s="101">
        <f t="shared" si="18"/>
        <v>0</v>
      </c>
      <c r="G22" s="101">
        <f t="shared" si="18"/>
        <v>297712.11</v>
      </c>
      <c r="H22" s="101">
        <f t="shared" si="18"/>
        <v>0</v>
      </c>
      <c r="I22" s="101">
        <f t="shared" si="18"/>
        <v>-1.71</v>
      </c>
      <c r="J22" s="101">
        <f t="shared" si="18"/>
        <v>0</v>
      </c>
      <c r="K22" s="101">
        <f t="shared" si="18"/>
        <v>-2.85</v>
      </c>
      <c r="L22" s="101">
        <f t="shared" si="18"/>
        <v>0</v>
      </c>
      <c r="M22" s="101">
        <f t="shared" si="18"/>
        <v>144558.18999999997</v>
      </c>
      <c r="N22" s="101">
        <f t="shared" si="18"/>
        <v>0</v>
      </c>
      <c r="O22" s="101">
        <f t="shared" si="18"/>
        <v>50128.51</v>
      </c>
      <c r="P22" s="101">
        <f t="shared" si="18"/>
        <v>0</v>
      </c>
      <c r="Q22" s="101">
        <f t="shared" si="18"/>
        <v>0</v>
      </c>
      <c r="R22" s="101">
        <f t="shared" si="18"/>
        <v>0</v>
      </c>
      <c r="S22" s="101">
        <f t="shared" si="18"/>
        <v>0</v>
      </c>
      <c r="T22" s="101">
        <f t="shared" si="18"/>
        <v>0</v>
      </c>
      <c r="U22" s="101">
        <f t="shared" si="18"/>
        <v>492392.98</v>
      </c>
      <c r="V22" s="101">
        <f t="shared" si="18"/>
        <v>0</v>
      </c>
      <c r="W22" s="101">
        <f t="shared" si="18"/>
        <v>6394.86</v>
      </c>
      <c r="X22" s="101">
        <f t="shared" si="18"/>
        <v>247093.63</v>
      </c>
      <c r="Y22" s="101">
        <f t="shared" si="18"/>
        <v>8074.91</v>
      </c>
      <c r="Z22" s="101">
        <f t="shared" si="18"/>
        <v>13439.300000000001</v>
      </c>
      <c r="AA22" s="101">
        <f t="shared" si="18"/>
        <v>138874.71</v>
      </c>
      <c r="AB22" s="101">
        <f t="shared" si="18"/>
        <v>46327.621</v>
      </c>
      <c r="AC22" s="101">
        <f t="shared" si="18"/>
        <v>0</v>
      </c>
      <c r="AD22" s="101">
        <f t="shared" si="18"/>
        <v>0</v>
      </c>
      <c r="AE22" s="101">
        <f t="shared" si="18"/>
        <v>0</v>
      </c>
      <c r="AF22" s="101">
        <f t="shared" si="18"/>
        <v>460205.03099999996</v>
      </c>
      <c r="AG22" s="101">
        <f t="shared" si="18"/>
        <v>462331.88100000005</v>
      </c>
      <c r="AH22" s="101">
        <f t="shared" si="18"/>
        <v>0</v>
      </c>
      <c r="AI22" s="101">
        <f t="shared" si="18"/>
        <v>0</v>
      </c>
      <c r="AJ22" s="101">
        <f t="shared" si="18"/>
        <v>8970.552000000001</v>
      </c>
      <c r="AK22" s="101">
        <f t="shared" si="18"/>
        <v>38538.132</v>
      </c>
      <c r="AL22" s="101">
        <f t="shared" si="18"/>
        <v>11503.92</v>
      </c>
      <c r="AM22" s="101">
        <f t="shared" si="18"/>
        <v>57519.60000000001</v>
      </c>
      <c r="AN22" s="101">
        <f t="shared" si="18"/>
        <v>12079.116000000002</v>
      </c>
      <c r="AO22" s="101">
        <f t="shared" si="18"/>
        <v>116189.592</v>
      </c>
      <c r="AP22" s="101">
        <f t="shared" si="18"/>
        <v>59245.18800000002</v>
      </c>
      <c r="AQ22" s="101">
        <f t="shared" si="18"/>
        <v>43139.69999999999</v>
      </c>
      <c r="AR22" s="101">
        <f t="shared" si="18"/>
        <v>43139.69999999999</v>
      </c>
      <c r="AS22" s="101">
        <f t="shared" si="18"/>
        <v>33073.77</v>
      </c>
      <c r="AT22" s="101">
        <f t="shared" si="18"/>
        <v>6268.86</v>
      </c>
      <c r="AU22" s="101">
        <f t="shared" si="18"/>
        <v>16945</v>
      </c>
      <c r="AV22" s="101">
        <f t="shared" si="18"/>
        <v>11404</v>
      </c>
      <c r="AW22" s="101">
        <f t="shared" si="18"/>
        <v>29836</v>
      </c>
      <c r="AX22" s="101">
        <f t="shared" si="18"/>
        <v>11127.26</v>
      </c>
      <c r="AY22" s="101">
        <f t="shared" si="18"/>
        <v>0</v>
      </c>
      <c r="AZ22" s="101">
        <f t="shared" si="18"/>
        <v>0</v>
      </c>
      <c r="BA22" s="101">
        <f t="shared" si="18"/>
        <v>0</v>
      </c>
      <c r="BB22" s="101">
        <f t="shared" si="18"/>
        <v>0</v>
      </c>
      <c r="BC22" s="101">
        <f t="shared" si="18"/>
        <v>490009.838</v>
      </c>
      <c r="BD22" s="101">
        <f t="shared" si="18"/>
        <v>5818.884000000001</v>
      </c>
      <c r="BE22" s="101">
        <f t="shared" si="18"/>
        <v>495828.722</v>
      </c>
      <c r="BF22" s="101">
        <f t="shared" si="18"/>
        <v>-24526.288999999895</v>
      </c>
      <c r="BG22" s="101">
        <f>SUM(BG10:BG21)</f>
        <v>-32187.949000000008</v>
      </c>
      <c r="BI22" s="94"/>
    </row>
    <row r="23" spans="1:61" s="3" customFormat="1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96"/>
      <c r="BG23" s="98"/>
      <c r="BI23" s="94"/>
    </row>
    <row r="24" spans="1:59" s="3" customFormat="1" ht="13.5" thickBot="1">
      <c r="A24" s="45" t="s">
        <v>90</v>
      </c>
      <c r="B24" s="96"/>
      <c r="C24" s="99">
        <f aca="true" t="shared" si="19" ref="C24:BG24">C22+C8</f>
        <v>1611157.94</v>
      </c>
      <c r="D24" s="99">
        <f t="shared" si="19"/>
        <v>239457.88268680012</v>
      </c>
      <c r="E24" s="99">
        <f t="shared" si="19"/>
        <v>99939.61</v>
      </c>
      <c r="F24" s="99">
        <f t="shared" si="19"/>
        <v>12518.470000000001</v>
      </c>
      <c r="G24" s="99">
        <f t="shared" si="19"/>
        <v>297712.11</v>
      </c>
      <c r="H24" s="99">
        <f t="shared" si="19"/>
        <v>0</v>
      </c>
      <c r="I24" s="99">
        <f t="shared" si="19"/>
        <v>135283.62000000002</v>
      </c>
      <c r="J24" s="99">
        <f t="shared" si="19"/>
        <v>16946.04</v>
      </c>
      <c r="K24" s="99">
        <f t="shared" si="19"/>
        <v>225229.19999999998</v>
      </c>
      <c r="L24" s="99">
        <f t="shared" si="19"/>
        <v>28212.809999999998</v>
      </c>
      <c r="M24" s="99">
        <f t="shared" si="19"/>
        <v>469732.6599999999</v>
      </c>
      <c r="N24" s="99">
        <f t="shared" si="19"/>
        <v>40729.14</v>
      </c>
      <c r="O24" s="99">
        <f t="shared" si="19"/>
        <v>119206.48000000001</v>
      </c>
      <c r="P24" s="99">
        <f t="shared" si="19"/>
        <v>9964.18</v>
      </c>
      <c r="Q24" s="99">
        <f t="shared" si="19"/>
        <v>0</v>
      </c>
      <c r="R24" s="99">
        <f t="shared" si="19"/>
        <v>0</v>
      </c>
      <c r="S24" s="99">
        <f t="shared" si="19"/>
        <v>0</v>
      </c>
      <c r="T24" s="99">
        <f t="shared" si="19"/>
        <v>0</v>
      </c>
      <c r="U24" s="99">
        <f t="shared" si="19"/>
        <v>1357977.13</v>
      </c>
      <c r="V24" s="99">
        <f t="shared" si="19"/>
        <v>108420.78</v>
      </c>
      <c r="W24" s="99">
        <f t="shared" si="19"/>
        <v>96811.2</v>
      </c>
      <c r="X24" s="99">
        <f t="shared" si="19"/>
        <v>247093.63</v>
      </c>
      <c r="Y24" s="99">
        <f t="shared" si="19"/>
        <v>131046.06</v>
      </c>
      <c r="Z24" s="99">
        <f t="shared" si="19"/>
        <v>218184.06</v>
      </c>
      <c r="AA24" s="99">
        <f t="shared" si="19"/>
        <v>434412.24</v>
      </c>
      <c r="AB24" s="99">
        <f t="shared" si="19"/>
        <v>119059.63100000001</v>
      </c>
      <c r="AC24" s="99">
        <f t="shared" si="19"/>
        <v>0</v>
      </c>
      <c r="AD24" s="99">
        <f t="shared" si="19"/>
        <v>0</v>
      </c>
      <c r="AE24" s="99">
        <f t="shared" si="19"/>
        <v>0</v>
      </c>
      <c r="AF24" s="99">
        <f t="shared" si="19"/>
        <v>1246606.821</v>
      </c>
      <c r="AG24" s="99">
        <f t="shared" si="19"/>
        <v>1594485.4836868003</v>
      </c>
      <c r="AH24" s="99">
        <f t="shared" si="19"/>
        <v>0</v>
      </c>
      <c r="AI24" s="99">
        <f t="shared" si="19"/>
        <v>0</v>
      </c>
      <c r="AJ24" s="99">
        <f t="shared" si="19"/>
        <v>20830.403879999998</v>
      </c>
      <c r="AK24" s="99">
        <f t="shared" si="19"/>
        <v>115031.96399999999</v>
      </c>
      <c r="AL24" s="99">
        <f t="shared" si="19"/>
        <v>37135.5952916</v>
      </c>
      <c r="AM24" s="99">
        <f t="shared" si="19"/>
        <v>184502.30741210503</v>
      </c>
      <c r="AN24" s="99">
        <f t="shared" si="19"/>
        <v>12079.116000000002</v>
      </c>
      <c r="AO24" s="99">
        <f t="shared" si="19"/>
        <v>242843.6816025714</v>
      </c>
      <c r="AP24" s="99">
        <f t="shared" si="19"/>
        <v>342582.55065969884</v>
      </c>
      <c r="AQ24" s="99">
        <f t="shared" si="19"/>
        <v>43139.69999999999</v>
      </c>
      <c r="AR24" s="99">
        <f t="shared" si="19"/>
        <v>43139.69999999999</v>
      </c>
      <c r="AS24" s="99">
        <f t="shared" si="19"/>
        <v>33073.77</v>
      </c>
      <c r="AT24" s="99">
        <f t="shared" si="19"/>
        <v>12537.72</v>
      </c>
      <c r="AU24" s="99">
        <f t="shared" si="19"/>
        <v>295906.0002</v>
      </c>
      <c r="AV24" s="99">
        <f t="shared" si="19"/>
        <v>11404</v>
      </c>
      <c r="AW24" s="99">
        <f t="shared" si="19"/>
        <v>173855.25</v>
      </c>
      <c r="AX24" s="99">
        <f t="shared" si="19"/>
        <v>35531.1114</v>
      </c>
      <c r="AY24" s="99">
        <f t="shared" si="19"/>
        <v>27953.69</v>
      </c>
      <c r="AZ24" s="99">
        <f t="shared" si="19"/>
        <v>0</v>
      </c>
      <c r="BA24" s="99">
        <f t="shared" si="19"/>
        <v>0</v>
      </c>
      <c r="BB24" s="99">
        <f t="shared" si="19"/>
        <v>0</v>
      </c>
      <c r="BC24" s="99">
        <f t="shared" si="19"/>
        <v>1610716.156565975</v>
      </c>
      <c r="BD24" s="99">
        <f t="shared" si="19"/>
        <v>11356.907344233401</v>
      </c>
      <c r="BE24" s="100">
        <f t="shared" si="19"/>
        <v>1622073.0639102084</v>
      </c>
      <c r="BF24" s="99">
        <f t="shared" si="19"/>
        <v>-6757.176343408373</v>
      </c>
      <c r="BG24" s="101">
        <f t="shared" si="19"/>
        <v>-111370.309</v>
      </c>
    </row>
    <row r="25" spans="1:59" ht="12.75">
      <c r="A25" s="1" t="s">
        <v>130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207" t="s">
        <v>123</v>
      </c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2"/>
      <c r="BF25" s="49"/>
      <c r="BG25" s="50"/>
    </row>
    <row r="26" spans="1:62" ht="12.75">
      <c r="A26" s="53" t="s">
        <v>33</v>
      </c>
      <c r="B26" s="54">
        <v>4793.3</v>
      </c>
      <c r="C26" s="18">
        <f>B26*8.55</f>
        <v>40982.715000000004</v>
      </c>
      <c r="D26" s="405">
        <v>174.216</v>
      </c>
      <c r="E26" s="79"/>
      <c r="F26" s="79"/>
      <c r="G26" s="79">
        <v>25125.97</v>
      </c>
      <c r="H26" s="79"/>
      <c r="I26" s="79"/>
      <c r="J26" s="79"/>
      <c r="K26" s="79"/>
      <c r="L26" s="79"/>
      <c r="M26" s="79">
        <v>12200.54</v>
      </c>
      <c r="N26" s="79"/>
      <c r="O26" s="79">
        <v>4230.69</v>
      </c>
      <c r="P26" s="79"/>
      <c r="Q26" s="79"/>
      <c r="R26" s="79"/>
      <c r="S26" s="84"/>
      <c r="T26" s="228"/>
      <c r="U26" s="128">
        <f aca="true" t="shared" si="20" ref="U26:V31">E26+G26+I26+K26+M26+O26+Q26+S26</f>
        <v>41557.200000000004</v>
      </c>
      <c r="V26" s="129">
        <f t="shared" si="20"/>
        <v>0</v>
      </c>
      <c r="W26" s="79">
        <v>0</v>
      </c>
      <c r="X26" s="79">
        <v>19774.87</v>
      </c>
      <c r="Y26" s="79">
        <v>0</v>
      </c>
      <c r="Z26" s="79">
        <v>0</v>
      </c>
      <c r="AA26" s="79">
        <v>9601.73</v>
      </c>
      <c r="AB26" s="79">
        <v>3329.22</v>
      </c>
      <c r="AC26" s="79"/>
      <c r="AD26" s="79"/>
      <c r="AE26" s="84"/>
      <c r="AF26" s="85">
        <f aca="true" t="shared" si="21" ref="AF26:AF31">SUM(W26:AE26)</f>
        <v>32705.82</v>
      </c>
      <c r="AG26" s="91">
        <f aca="true" t="shared" si="22" ref="AG26:AG37">D26+V26+AF26</f>
        <v>32880.036</v>
      </c>
      <c r="AH26" s="62">
        <f aca="true" t="shared" si="23" ref="AH26:AI37">AC26</f>
        <v>0</v>
      </c>
      <c r="AI26" s="62">
        <f t="shared" si="23"/>
        <v>0</v>
      </c>
      <c r="AJ26" s="73">
        <f>'[17]Т01'!$J$56+'[17]Т01'!$J$197</f>
        <v>924.6850000000001</v>
      </c>
      <c r="AK26" s="29">
        <f aca="true" t="shared" si="24" ref="AK26:AK31">0.67*B26</f>
        <v>3211.5110000000004</v>
      </c>
      <c r="AL26" s="29">
        <f aca="true" t="shared" si="25" ref="AL26:AL37">B26*0.2</f>
        <v>958.6600000000001</v>
      </c>
      <c r="AM26" s="29">
        <f aca="true" t="shared" si="26" ref="AM26:AM37">B26*1</f>
        <v>4793.3</v>
      </c>
      <c r="AN26" s="29">
        <f aca="true" t="shared" si="27" ref="AN26:AN37">B26*0.21</f>
        <v>1006.593</v>
      </c>
      <c r="AO26" s="29">
        <f aca="true" t="shared" si="28" ref="AO26:AO37">2.02*B26</f>
        <v>9682.466</v>
      </c>
      <c r="AP26" s="29">
        <f aca="true" t="shared" si="29" ref="AP26:AP37">B26*1.03</f>
        <v>4937.099</v>
      </c>
      <c r="AQ26" s="29">
        <f aca="true" t="shared" si="30" ref="AQ26:AQ37">B26*0.75</f>
        <v>3594.9750000000004</v>
      </c>
      <c r="AR26" s="29">
        <f aca="true" t="shared" si="31" ref="AR26:AR37">B26*0.75</f>
        <v>3594.9750000000004</v>
      </c>
      <c r="AS26" s="225">
        <f>B26*1.15</f>
        <v>5512.295</v>
      </c>
      <c r="AT26" s="210">
        <f>0.45*1160.9</f>
        <v>522.4050000000001</v>
      </c>
      <c r="AU26" s="406">
        <v>1497</v>
      </c>
      <c r="AV26" s="75"/>
      <c r="AW26" s="75"/>
      <c r="AX26" s="75"/>
      <c r="AY26" s="75"/>
      <c r="AZ26" s="75"/>
      <c r="BA26" s="17"/>
      <c r="BB26" s="74"/>
      <c r="BC26" s="212">
        <f>SUM(AK26:BB26)</f>
        <v>39311.278999999995</v>
      </c>
      <c r="BD26" s="407">
        <f>'[17]Т01'!$S$56+'[17]Т01'!$S$197</f>
        <v>484.90700000000004</v>
      </c>
      <c r="BE26" s="33">
        <f>BD26+BC26</f>
        <v>39796.185999999994</v>
      </c>
      <c r="BF26" s="33">
        <f>AG26-BE26+AJ26</f>
        <v>-5991.464999999994</v>
      </c>
      <c r="BG26" s="32">
        <f aca="true" t="shared" si="32" ref="BG26:BG37">AF26-U26</f>
        <v>-8851.380000000005</v>
      </c>
      <c r="BH26" s="32"/>
      <c r="BI26" s="32"/>
      <c r="BJ26" s="66"/>
    </row>
    <row r="27" spans="1:61" ht="12.75">
      <c r="A27" s="53" t="s">
        <v>34</v>
      </c>
      <c r="B27" s="54">
        <v>4793.3</v>
      </c>
      <c r="C27" s="18">
        <f>B27*8.55</f>
        <v>40982.715000000004</v>
      </c>
      <c r="D27" s="405">
        <v>174.216</v>
      </c>
      <c r="E27" s="87"/>
      <c r="F27" s="87"/>
      <c r="G27" s="87">
        <v>25120.51</v>
      </c>
      <c r="H27" s="87"/>
      <c r="I27" s="87"/>
      <c r="J27" s="87"/>
      <c r="K27" s="87"/>
      <c r="L27" s="87"/>
      <c r="M27" s="87">
        <v>12197.86</v>
      </c>
      <c r="N27" s="87"/>
      <c r="O27" s="87">
        <v>4229.71</v>
      </c>
      <c r="P27" s="87"/>
      <c r="Q27" s="87"/>
      <c r="R27" s="87"/>
      <c r="S27" s="88"/>
      <c r="T27" s="228"/>
      <c r="U27" s="128">
        <f t="shared" si="20"/>
        <v>41548.079999999994</v>
      </c>
      <c r="V27" s="129">
        <f t="shared" si="20"/>
        <v>0</v>
      </c>
      <c r="W27" s="87">
        <v>0</v>
      </c>
      <c r="X27" s="87">
        <v>25410.6</v>
      </c>
      <c r="Y27" s="87">
        <v>0</v>
      </c>
      <c r="Z27" s="87">
        <v>0</v>
      </c>
      <c r="AA27" s="87">
        <v>12338.6</v>
      </c>
      <c r="AB27" s="87">
        <v>4278.32</v>
      </c>
      <c r="AC27" s="87"/>
      <c r="AD27" s="87"/>
      <c r="AE27" s="88"/>
      <c r="AF27" s="85">
        <f t="shared" si="21"/>
        <v>42027.52</v>
      </c>
      <c r="AG27" s="91">
        <f t="shared" si="22"/>
        <v>42201.736</v>
      </c>
      <c r="AH27" s="62">
        <f t="shared" si="23"/>
        <v>0</v>
      </c>
      <c r="AI27" s="62">
        <f t="shared" si="23"/>
        <v>0</v>
      </c>
      <c r="AJ27" s="73">
        <f>'[17]Т01'!$J$56+'[17]Т01'!$J$197</f>
        <v>924.6850000000001</v>
      </c>
      <c r="AK27" s="25">
        <f t="shared" si="24"/>
        <v>3211.5110000000004</v>
      </c>
      <c r="AL27" s="29">
        <f t="shared" si="25"/>
        <v>958.6600000000001</v>
      </c>
      <c r="AM27" s="29">
        <f t="shared" si="26"/>
        <v>4793.3</v>
      </c>
      <c r="AN27" s="29">
        <f t="shared" si="27"/>
        <v>1006.593</v>
      </c>
      <c r="AO27" s="29">
        <f t="shared" si="28"/>
        <v>9682.466</v>
      </c>
      <c r="AP27" s="29">
        <f t="shared" si="29"/>
        <v>4937.099</v>
      </c>
      <c r="AQ27" s="29">
        <f t="shared" si="30"/>
        <v>3594.9750000000004</v>
      </c>
      <c r="AR27" s="29">
        <f t="shared" si="31"/>
        <v>3594.9750000000004</v>
      </c>
      <c r="AS27" s="225">
        <f>B27*1.15</f>
        <v>5512.295</v>
      </c>
      <c r="AT27" s="210">
        <f>0.45*1160.9</f>
        <v>522.4050000000001</v>
      </c>
      <c r="AU27" s="406">
        <v>10414</v>
      </c>
      <c r="AV27" s="75"/>
      <c r="AW27" s="75"/>
      <c r="AX27" s="75">
        <f>1624</f>
        <v>1624</v>
      </c>
      <c r="AY27" s="75"/>
      <c r="AZ27" s="75"/>
      <c r="BA27" s="17"/>
      <c r="BB27" s="74"/>
      <c r="BC27" s="23">
        <f>SUM(AK27:BB27)</f>
        <v>49852.278999999995</v>
      </c>
      <c r="BD27" s="407">
        <f>'[17]Т01'!$S$56+'[17]Т01'!$S$197</f>
        <v>484.90700000000004</v>
      </c>
      <c r="BE27" s="33">
        <f aca="true" t="shared" si="33" ref="BE27:BE37">BD27+BC27</f>
        <v>50337.185999999994</v>
      </c>
      <c r="BF27" s="33">
        <f aca="true" t="shared" si="34" ref="BF27:BF37">AG27-BE27+AJ27</f>
        <v>-7210.764999999997</v>
      </c>
      <c r="BG27" s="32">
        <f aca="true" t="shared" si="35" ref="BG27:BG37">AF27-U27</f>
        <v>479.4400000000023</v>
      </c>
      <c r="BH27" s="32"/>
      <c r="BI27" s="32"/>
    </row>
    <row r="28" spans="1:61" ht="12.75">
      <c r="A28" s="53" t="s">
        <v>35</v>
      </c>
      <c r="B28" s="54">
        <v>4793.3</v>
      </c>
      <c r="C28" s="18">
        <f>B28*8.55</f>
        <v>40982.715000000004</v>
      </c>
      <c r="D28" s="405">
        <v>174.216</v>
      </c>
      <c r="E28" s="87"/>
      <c r="F28" s="87"/>
      <c r="G28" s="87">
        <v>25127.29</v>
      </c>
      <c r="H28" s="87"/>
      <c r="I28" s="87"/>
      <c r="J28" s="87"/>
      <c r="K28" s="87"/>
      <c r="L28" s="87"/>
      <c r="M28" s="87">
        <v>12201.18</v>
      </c>
      <c r="N28" s="87"/>
      <c r="O28" s="87">
        <v>4230.93</v>
      </c>
      <c r="P28" s="87"/>
      <c r="Q28" s="87"/>
      <c r="R28" s="87"/>
      <c r="S28" s="88"/>
      <c r="T28" s="228"/>
      <c r="U28" s="128">
        <f t="shared" si="20"/>
        <v>41559.4</v>
      </c>
      <c r="V28" s="129">
        <f t="shared" si="20"/>
        <v>0</v>
      </c>
      <c r="W28" s="79">
        <v>0</v>
      </c>
      <c r="X28" s="79">
        <v>22203.72</v>
      </c>
      <c r="Y28" s="79">
        <v>0</v>
      </c>
      <c r="Z28" s="79">
        <v>0</v>
      </c>
      <c r="AA28" s="79">
        <v>9026.61</v>
      </c>
      <c r="AB28" s="79">
        <v>3129.28</v>
      </c>
      <c r="AC28" s="79"/>
      <c r="AD28" s="79"/>
      <c r="AE28" s="84"/>
      <c r="AF28" s="85">
        <f t="shared" si="21"/>
        <v>34359.61</v>
      </c>
      <c r="AG28" s="91">
        <f t="shared" si="22"/>
        <v>34533.826</v>
      </c>
      <c r="AH28" s="62">
        <f t="shared" si="23"/>
        <v>0</v>
      </c>
      <c r="AI28" s="62">
        <f t="shared" si="23"/>
        <v>0</v>
      </c>
      <c r="AJ28" s="73">
        <f>'[17]Т01'!$J$56+'[17]Т01'!$J$197</f>
        <v>924.6850000000001</v>
      </c>
      <c r="AK28" s="25">
        <f t="shared" si="24"/>
        <v>3211.5110000000004</v>
      </c>
      <c r="AL28" s="29">
        <f t="shared" si="25"/>
        <v>958.6600000000001</v>
      </c>
      <c r="AM28" s="29">
        <f t="shared" si="26"/>
        <v>4793.3</v>
      </c>
      <c r="AN28" s="29">
        <f t="shared" si="27"/>
        <v>1006.593</v>
      </c>
      <c r="AO28" s="29">
        <f t="shared" si="28"/>
        <v>9682.466</v>
      </c>
      <c r="AP28" s="29">
        <f t="shared" si="29"/>
        <v>4937.099</v>
      </c>
      <c r="AQ28" s="29">
        <f t="shared" si="30"/>
        <v>3594.9750000000004</v>
      </c>
      <c r="AR28" s="29">
        <f t="shared" si="31"/>
        <v>3594.9750000000004</v>
      </c>
      <c r="AS28" s="225">
        <f>B28*1.15</f>
        <v>5512.295</v>
      </c>
      <c r="AT28" s="210">
        <f>0.45*1160.9</f>
        <v>522.4050000000001</v>
      </c>
      <c r="AU28" s="406">
        <v>1370</v>
      </c>
      <c r="AV28" s="75">
        <v>55.02</v>
      </c>
      <c r="AW28" s="75">
        <f>277.47+952</f>
        <v>1229.47</v>
      </c>
      <c r="AX28" s="75">
        <f>458+202.13</f>
        <v>660.13</v>
      </c>
      <c r="AY28" s="75"/>
      <c r="AZ28" s="75"/>
      <c r="BA28" s="17"/>
      <c r="BB28" s="74"/>
      <c r="BC28" s="212">
        <f>SUM(AK28:BB28)</f>
        <v>41128.89899999999</v>
      </c>
      <c r="BD28" s="407">
        <f>'[17]Т01'!$S$56+'[17]Т01'!$S$197</f>
        <v>484.90700000000004</v>
      </c>
      <c r="BE28" s="33">
        <f t="shared" si="33"/>
        <v>41613.80599999999</v>
      </c>
      <c r="BF28" s="33">
        <f t="shared" si="34"/>
        <v>-6155.294999999988</v>
      </c>
      <c r="BG28" s="32">
        <f t="shared" si="35"/>
        <v>-7199.790000000001</v>
      </c>
      <c r="BH28" s="32"/>
      <c r="BI28" s="32"/>
    </row>
    <row r="29" spans="1:61" ht="12.75">
      <c r="A29" s="53" t="s">
        <v>36</v>
      </c>
      <c r="B29" s="54">
        <v>4793.3</v>
      </c>
      <c r="C29" s="18">
        <f>B29*8.55</f>
        <v>40982.715000000004</v>
      </c>
      <c r="D29" s="405">
        <v>174.216</v>
      </c>
      <c r="E29" s="87"/>
      <c r="F29" s="87"/>
      <c r="G29" s="87">
        <v>25125.14</v>
      </c>
      <c r="H29" s="87"/>
      <c r="I29" s="87"/>
      <c r="J29" s="87"/>
      <c r="K29" s="87"/>
      <c r="L29" s="87"/>
      <c r="M29" s="87">
        <v>12200.14</v>
      </c>
      <c r="N29" s="87"/>
      <c r="O29" s="87">
        <v>4230.54</v>
      </c>
      <c r="P29" s="87"/>
      <c r="Q29" s="87"/>
      <c r="R29" s="87"/>
      <c r="S29" s="88"/>
      <c r="T29" s="228"/>
      <c r="U29" s="128">
        <f t="shared" si="20"/>
        <v>41555.82</v>
      </c>
      <c r="V29" s="129">
        <f t="shared" si="20"/>
        <v>0</v>
      </c>
      <c r="W29" s="226">
        <v>0</v>
      </c>
      <c r="X29" s="226">
        <v>24977.37</v>
      </c>
      <c r="Y29" s="226">
        <v>0</v>
      </c>
      <c r="Z29" s="226">
        <v>0</v>
      </c>
      <c r="AA29" s="226">
        <v>9149.79</v>
      </c>
      <c r="AB29" s="226">
        <v>3172.95</v>
      </c>
      <c r="AC29" s="226"/>
      <c r="AD29" s="226"/>
      <c r="AE29" s="227"/>
      <c r="AF29" s="85">
        <f t="shared" si="21"/>
        <v>37300.11</v>
      </c>
      <c r="AG29" s="91">
        <f t="shared" si="22"/>
        <v>37474.326</v>
      </c>
      <c r="AH29" s="62">
        <f t="shared" si="23"/>
        <v>0</v>
      </c>
      <c r="AI29" s="62">
        <f t="shared" si="23"/>
        <v>0</v>
      </c>
      <c r="AJ29" s="73">
        <f>'[17]Т01'!$J$56+'[17]Т01'!$J$197</f>
        <v>924.6850000000001</v>
      </c>
      <c r="AK29" s="25">
        <f t="shared" si="24"/>
        <v>3211.5110000000004</v>
      </c>
      <c r="AL29" s="29">
        <f t="shared" si="25"/>
        <v>958.6600000000001</v>
      </c>
      <c r="AM29" s="29">
        <f t="shared" si="26"/>
        <v>4793.3</v>
      </c>
      <c r="AN29" s="29">
        <f t="shared" si="27"/>
        <v>1006.593</v>
      </c>
      <c r="AO29" s="29">
        <f t="shared" si="28"/>
        <v>9682.466</v>
      </c>
      <c r="AP29" s="29">
        <f t="shared" si="29"/>
        <v>4937.099</v>
      </c>
      <c r="AQ29" s="29">
        <f t="shared" si="30"/>
        <v>3594.9750000000004</v>
      </c>
      <c r="AR29" s="29">
        <f t="shared" si="31"/>
        <v>3594.9750000000004</v>
      </c>
      <c r="AS29" s="225"/>
      <c r="AT29" s="210">
        <f>0.45*1160.9</f>
        <v>522.4050000000001</v>
      </c>
      <c r="AU29" s="406">
        <v>16014</v>
      </c>
      <c r="AV29" s="75"/>
      <c r="AW29" s="75"/>
      <c r="AX29" s="75">
        <f>10348+2546+457.8</f>
        <v>13351.8</v>
      </c>
      <c r="AY29" s="75"/>
      <c r="AZ29" s="75"/>
      <c r="BA29" s="17"/>
      <c r="BB29" s="74"/>
      <c r="BC29" s="212">
        <f>SUM(AK29:BB29)</f>
        <v>61667.784</v>
      </c>
      <c r="BD29" s="407">
        <f>'[17]Т01'!$S$56+'[17]Т01'!$S$197</f>
        <v>484.90700000000004</v>
      </c>
      <c r="BE29" s="33">
        <f t="shared" si="33"/>
        <v>62152.691</v>
      </c>
      <c r="BF29" s="33">
        <f t="shared" si="34"/>
        <v>-23753.679999999997</v>
      </c>
      <c r="BG29" s="32">
        <f t="shared" si="35"/>
        <v>-4255.709999999999</v>
      </c>
      <c r="BH29" s="32">
        <f>AF29-U29</f>
        <v>-4255.709999999999</v>
      </c>
      <c r="BI29" s="32"/>
    </row>
    <row r="30" spans="1:61" ht="12.75">
      <c r="A30" s="53" t="s">
        <v>37</v>
      </c>
      <c r="B30" s="54">
        <v>4793.3</v>
      </c>
      <c r="C30" s="18">
        <f>B30*8.55</f>
        <v>40982.715000000004</v>
      </c>
      <c r="D30" s="405">
        <v>174.216</v>
      </c>
      <c r="E30" s="87"/>
      <c r="F30" s="87"/>
      <c r="G30" s="87">
        <v>25139.18</v>
      </c>
      <c r="H30" s="87"/>
      <c r="I30" s="87"/>
      <c r="J30" s="87"/>
      <c r="K30" s="87"/>
      <c r="L30" s="87"/>
      <c r="M30" s="87">
        <v>12207.03</v>
      </c>
      <c r="N30" s="87"/>
      <c r="O30" s="87">
        <v>4233</v>
      </c>
      <c r="P30" s="87"/>
      <c r="Q30" s="87"/>
      <c r="R30" s="87"/>
      <c r="S30" s="88"/>
      <c r="T30" s="228"/>
      <c r="U30" s="128">
        <f t="shared" si="20"/>
        <v>41579.21</v>
      </c>
      <c r="V30" s="129">
        <f t="shared" si="20"/>
        <v>0</v>
      </c>
      <c r="W30" s="226">
        <v>0</v>
      </c>
      <c r="X30" s="226">
        <v>26557.66</v>
      </c>
      <c r="Y30" s="226">
        <v>0</v>
      </c>
      <c r="Z30" s="226">
        <v>0</v>
      </c>
      <c r="AA30" s="226">
        <v>10827.91</v>
      </c>
      <c r="AB30" s="226">
        <v>3755.41</v>
      </c>
      <c r="AC30" s="226"/>
      <c r="AD30" s="226"/>
      <c r="AE30" s="226"/>
      <c r="AF30" s="85">
        <f t="shared" si="21"/>
        <v>41140.979999999996</v>
      </c>
      <c r="AG30" s="91">
        <f t="shared" si="22"/>
        <v>41315.195999999996</v>
      </c>
      <c r="AH30" s="62">
        <f t="shared" si="23"/>
        <v>0</v>
      </c>
      <c r="AI30" s="62">
        <f t="shared" si="23"/>
        <v>0</v>
      </c>
      <c r="AJ30" s="73">
        <f>'[17]Т05'!$J$53+'[17]Т05'!$J$204</f>
        <v>924.6850000000001</v>
      </c>
      <c r="AK30" s="25">
        <f t="shared" si="24"/>
        <v>3211.5110000000004</v>
      </c>
      <c r="AL30" s="29">
        <f t="shared" si="25"/>
        <v>958.6600000000001</v>
      </c>
      <c r="AM30" s="29">
        <f t="shared" si="26"/>
        <v>4793.3</v>
      </c>
      <c r="AN30" s="29">
        <f t="shared" si="27"/>
        <v>1006.593</v>
      </c>
      <c r="AO30" s="29">
        <f t="shared" si="28"/>
        <v>9682.466</v>
      </c>
      <c r="AP30" s="29">
        <f t="shared" si="29"/>
        <v>4937.099</v>
      </c>
      <c r="AQ30" s="29">
        <f t="shared" si="30"/>
        <v>3594.9750000000004</v>
      </c>
      <c r="AR30" s="29">
        <f t="shared" si="31"/>
        <v>3594.9750000000004</v>
      </c>
      <c r="AS30" s="225"/>
      <c r="AT30" s="210">
        <f>0.45*1160.9</f>
        <v>522.4050000000001</v>
      </c>
      <c r="AU30" s="406">
        <v>3441</v>
      </c>
      <c r="AV30" s="75"/>
      <c r="AW30" s="75">
        <v>8634</v>
      </c>
      <c r="AX30" s="75">
        <f>1804+7696.43</f>
        <v>9500.43</v>
      </c>
      <c r="AY30" s="75"/>
      <c r="AZ30" s="75"/>
      <c r="BA30" s="17"/>
      <c r="BB30" s="74"/>
      <c r="BC30" s="212">
        <f>SUM(AK30:BB30)</f>
        <v>53877.414</v>
      </c>
      <c r="BD30" s="407">
        <f>'[17]Т05'!$S$53+'[17]Т05'!$S$204</f>
        <v>484.90700000000004</v>
      </c>
      <c r="BE30" s="33">
        <f t="shared" si="33"/>
        <v>54362.320999999996</v>
      </c>
      <c r="BF30" s="33">
        <f t="shared" si="34"/>
        <v>-12122.44</v>
      </c>
      <c r="BG30" s="32">
        <f t="shared" si="35"/>
        <v>-438.2300000000032</v>
      </c>
      <c r="BH30" s="32"/>
      <c r="BI30" s="49"/>
    </row>
    <row r="31" spans="1:61" ht="12.75">
      <c r="A31" s="53" t="s">
        <v>38</v>
      </c>
      <c r="B31" s="54">
        <v>4793.3</v>
      </c>
      <c r="C31" s="18">
        <f>B31*8.55</f>
        <v>40982.715000000004</v>
      </c>
      <c r="D31" s="405">
        <v>174.216</v>
      </c>
      <c r="E31" s="87"/>
      <c r="F31" s="87"/>
      <c r="G31" s="87">
        <v>25202.42</v>
      </c>
      <c r="H31" s="87"/>
      <c r="I31" s="87"/>
      <c r="J31" s="87"/>
      <c r="K31" s="87"/>
      <c r="L31" s="87"/>
      <c r="M31" s="87">
        <v>12238.1</v>
      </c>
      <c r="N31" s="87"/>
      <c r="O31" s="87">
        <v>4244.1</v>
      </c>
      <c r="P31" s="87"/>
      <c r="Q31" s="87"/>
      <c r="R31" s="87"/>
      <c r="S31" s="88"/>
      <c r="T31" s="228"/>
      <c r="U31" s="128">
        <f t="shared" si="20"/>
        <v>41684.619999999995</v>
      </c>
      <c r="V31" s="129">
        <f t="shared" si="20"/>
        <v>0</v>
      </c>
      <c r="W31" s="226"/>
      <c r="X31" s="408">
        <v>23463.26</v>
      </c>
      <c r="Y31" s="226"/>
      <c r="Z31" s="226"/>
      <c r="AA31" s="408">
        <v>9946.7</v>
      </c>
      <c r="AB31" s="408">
        <v>3449.21</v>
      </c>
      <c r="AC31" s="226"/>
      <c r="AD31" s="408"/>
      <c r="AE31" s="409"/>
      <c r="AF31" s="85">
        <f t="shared" si="21"/>
        <v>36859.17</v>
      </c>
      <c r="AG31" s="91">
        <f t="shared" si="22"/>
        <v>37033.386</v>
      </c>
      <c r="AH31" s="62">
        <f t="shared" si="23"/>
        <v>0</v>
      </c>
      <c r="AI31" s="62">
        <f t="shared" si="23"/>
        <v>0</v>
      </c>
      <c r="AJ31" s="73">
        <f>'[17]Т06'!$J$53+'[17]Т06'!$J$235</f>
        <v>924.6850000000001</v>
      </c>
      <c r="AK31" s="25">
        <f t="shared" si="24"/>
        <v>3211.5110000000004</v>
      </c>
      <c r="AL31" s="29">
        <f t="shared" si="25"/>
        <v>958.6600000000001</v>
      </c>
      <c r="AM31" s="29">
        <f t="shared" si="26"/>
        <v>4793.3</v>
      </c>
      <c r="AN31" s="29">
        <f t="shared" si="27"/>
        <v>1006.593</v>
      </c>
      <c r="AO31" s="29">
        <f t="shared" si="28"/>
        <v>9682.466</v>
      </c>
      <c r="AP31" s="29">
        <f t="shared" si="29"/>
        <v>4937.099</v>
      </c>
      <c r="AQ31" s="29">
        <f t="shared" si="30"/>
        <v>3594.9750000000004</v>
      </c>
      <c r="AR31" s="29">
        <f t="shared" si="31"/>
        <v>3594.9750000000004</v>
      </c>
      <c r="AS31" s="225"/>
      <c r="AT31" s="210">
        <f>0.45*1160.9</f>
        <v>522.4050000000001</v>
      </c>
      <c r="AU31" s="406"/>
      <c r="AV31" s="75"/>
      <c r="AW31" s="75">
        <v>35542</v>
      </c>
      <c r="AX31" s="75">
        <f>1031.08</f>
        <v>1031.08</v>
      </c>
      <c r="AY31" s="75"/>
      <c r="AZ31" s="75"/>
      <c r="BA31" s="17"/>
      <c r="BB31" s="74"/>
      <c r="BC31" s="212">
        <f>SUM(AK31:BB31)</f>
        <v>68875.064</v>
      </c>
      <c r="BD31" s="407">
        <f>'[17]Т06'!$S$53+'[17]Т06'!$S$235</f>
        <v>484.90700000000004</v>
      </c>
      <c r="BE31" s="33">
        <f t="shared" si="33"/>
        <v>69359.971</v>
      </c>
      <c r="BF31" s="33">
        <f t="shared" si="34"/>
        <v>-31401.900000000005</v>
      </c>
      <c r="BG31" s="32">
        <f t="shared" si="35"/>
        <v>-4825.449999999997</v>
      </c>
      <c r="BH31" s="32"/>
      <c r="BI31" s="32"/>
    </row>
    <row r="32" spans="1:61" ht="12.75">
      <c r="A32" s="53" t="s">
        <v>39</v>
      </c>
      <c r="B32" s="54">
        <v>4793.3</v>
      </c>
      <c r="C32" s="18">
        <f>B32*9.51</f>
        <v>45584.283</v>
      </c>
      <c r="D32" s="405">
        <v>233.14200000000002</v>
      </c>
      <c r="E32" s="87"/>
      <c r="F32" s="87"/>
      <c r="G32" s="87">
        <v>46423.29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8"/>
      <c r="T32" s="228"/>
      <c r="U32" s="128">
        <f aca="true" t="shared" si="36" ref="U32:V37">G32+M32+O32+Q32+S32</f>
        <v>46423.29</v>
      </c>
      <c r="V32" s="410">
        <f t="shared" si="36"/>
        <v>0</v>
      </c>
      <c r="W32" s="226"/>
      <c r="X32" s="79">
        <v>24167.54</v>
      </c>
      <c r="Y32" s="226"/>
      <c r="Z32" s="226"/>
      <c r="AA32" s="79">
        <v>10457.47</v>
      </c>
      <c r="AB32" s="79">
        <v>3606.17</v>
      </c>
      <c r="AC32" s="226"/>
      <c r="AD32" s="79"/>
      <c r="AE32" s="84"/>
      <c r="AF32" s="85">
        <f aca="true" t="shared" si="37" ref="AF32:AF37">SUM(X32:AE32)</f>
        <v>38231.18</v>
      </c>
      <c r="AG32" s="91">
        <f t="shared" si="22"/>
        <v>38464.322</v>
      </c>
      <c r="AH32" s="411">
        <v>0</v>
      </c>
      <c r="AI32" s="62">
        <f t="shared" si="23"/>
        <v>0</v>
      </c>
      <c r="AJ32" s="73">
        <f>'[17]Т07'!$J$53+'[17]Т07'!$J$237</f>
        <v>924.6850000000001</v>
      </c>
      <c r="AK32" s="29">
        <f>0.75*B32</f>
        <v>3594.9750000000004</v>
      </c>
      <c r="AL32" s="29">
        <f t="shared" si="25"/>
        <v>958.6600000000001</v>
      </c>
      <c r="AM32" s="29">
        <f t="shared" si="26"/>
        <v>4793.3</v>
      </c>
      <c r="AN32" s="29">
        <f t="shared" si="27"/>
        <v>1006.593</v>
      </c>
      <c r="AO32" s="29">
        <f t="shared" si="28"/>
        <v>9682.466</v>
      </c>
      <c r="AP32" s="29">
        <f t="shared" si="29"/>
        <v>4937.099</v>
      </c>
      <c r="AQ32" s="29">
        <f t="shared" si="30"/>
        <v>3594.9750000000004</v>
      </c>
      <c r="AR32" s="29">
        <f t="shared" si="31"/>
        <v>3594.9750000000004</v>
      </c>
      <c r="AS32" s="225"/>
      <c r="AT32" s="210">
        <f>0.45*1160.9</f>
        <v>522.4050000000001</v>
      </c>
      <c r="AU32" s="406">
        <v>3253</v>
      </c>
      <c r="AV32" s="75"/>
      <c r="AW32" s="75">
        <v>14923</v>
      </c>
      <c r="AX32" s="75">
        <f>124+41.65</f>
        <v>165.65</v>
      </c>
      <c r="AY32" s="75"/>
      <c r="AZ32" s="75"/>
      <c r="BA32" s="17"/>
      <c r="BB32" s="74"/>
      <c r="BC32" s="212">
        <f>SUM(AK32:BB32)</f>
        <v>51027.098</v>
      </c>
      <c r="BD32" s="407">
        <f>'[17]Т07'!$S$53+'[17]Т07'!$S$237</f>
        <v>484.90700000000004</v>
      </c>
      <c r="BE32" s="33">
        <f t="shared" si="33"/>
        <v>51512.005</v>
      </c>
      <c r="BF32" s="33">
        <f t="shared" si="34"/>
        <v>-12122.997999999998</v>
      </c>
      <c r="BG32" s="32">
        <f t="shared" si="35"/>
        <v>-8192.11</v>
      </c>
      <c r="BH32" s="32"/>
      <c r="BI32" s="32"/>
    </row>
    <row r="33" spans="1:61" ht="12.75">
      <c r="A33" s="53" t="s">
        <v>40</v>
      </c>
      <c r="B33" s="54">
        <v>4793.3</v>
      </c>
      <c r="C33" s="18">
        <f>B33*9.51</f>
        <v>45584.283</v>
      </c>
      <c r="D33" s="405"/>
      <c r="E33" s="87"/>
      <c r="F33" s="87"/>
      <c r="G33" s="87">
        <v>46459.38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8"/>
      <c r="T33" s="228"/>
      <c r="U33" s="128">
        <f t="shared" si="36"/>
        <v>46459.38</v>
      </c>
      <c r="V33" s="410">
        <f t="shared" si="36"/>
        <v>0</v>
      </c>
      <c r="W33" s="226"/>
      <c r="X33" s="79">
        <v>45214.93</v>
      </c>
      <c r="Y33" s="226"/>
      <c r="Z33" s="226"/>
      <c r="AA33" s="79">
        <v>2981.58</v>
      </c>
      <c r="AB33" s="79">
        <v>1017.27</v>
      </c>
      <c r="AC33" s="226"/>
      <c r="AD33" s="79"/>
      <c r="AE33" s="84"/>
      <c r="AF33" s="85">
        <f t="shared" si="37"/>
        <v>49213.78</v>
      </c>
      <c r="AG33" s="91">
        <f t="shared" si="22"/>
        <v>49213.78</v>
      </c>
      <c r="AH33" s="411">
        <v>0</v>
      </c>
      <c r="AI33" s="62">
        <f t="shared" si="23"/>
        <v>0</v>
      </c>
      <c r="AJ33" s="73">
        <f>'[17]Т08'!$J$53+'[17]Т08'!$J$237+'[17]Т08'!$J$313</f>
        <v>1524.685</v>
      </c>
      <c r="AK33" s="29">
        <f>0.75*B33</f>
        <v>3594.9750000000004</v>
      </c>
      <c r="AL33" s="29">
        <f t="shared" si="25"/>
        <v>958.6600000000001</v>
      </c>
      <c r="AM33" s="29">
        <f t="shared" si="26"/>
        <v>4793.3</v>
      </c>
      <c r="AN33" s="29">
        <f t="shared" si="27"/>
        <v>1006.593</v>
      </c>
      <c r="AO33" s="29">
        <f t="shared" si="28"/>
        <v>9682.466</v>
      </c>
      <c r="AP33" s="29">
        <f t="shared" si="29"/>
        <v>4937.099</v>
      </c>
      <c r="AQ33" s="29">
        <f t="shared" si="30"/>
        <v>3594.9750000000004</v>
      </c>
      <c r="AR33" s="29">
        <f t="shared" si="31"/>
        <v>3594.9750000000004</v>
      </c>
      <c r="AS33" s="225"/>
      <c r="AT33" s="210">
        <f>0.45*1160.9</f>
        <v>522.4050000000001</v>
      </c>
      <c r="AU33" s="406">
        <v>9750</v>
      </c>
      <c r="AV33" s="75"/>
      <c r="AW33" s="75"/>
      <c r="AX33" s="75">
        <f>4166.2+140+13886.25</f>
        <v>18192.45</v>
      </c>
      <c r="AY33" s="75"/>
      <c r="AZ33" s="75"/>
      <c r="BA33" s="17"/>
      <c r="BB33" s="74"/>
      <c r="BC33" s="212">
        <f>SUM(AK33:BB33)</f>
        <v>60627.898</v>
      </c>
      <c r="BD33" s="407">
        <f>'[17]Т08'!$S$53+'[17]Т08'!$S$237+'[17]Т08'!$S$313</f>
        <v>634.907</v>
      </c>
      <c r="BE33" s="33">
        <f t="shared" si="33"/>
        <v>61262.805</v>
      </c>
      <c r="BF33" s="33">
        <f t="shared" si="34"/>
        <v>-10524.340000000002</v>
      </c>
      <c r="BG33" s="32">
        <f t="shared" si="35"/>
        <v>2754.4000000000015</v>
      </c>
      <c r="BH33" s="32"/>
      <c r="BI33" s="32"/>
    </row>
    <row r="34" spans="1:61" ht="12.75">
      <c r="A34" s="53" t="s">
        <v>41</v>
      </c>
      <c r="B34" s="54">
        <v>4793.3</v>
      </c>
      <c r="C34" s="18">
        <f>B34*9.51</f>
        <v>45584.283</v>
      </c>
      <c r="D34" s="405"/>
      <c r="E34" s="87"/>
      <c r="F34" s="87"/>
      <c r="G34" s="87">
        <v>46507.31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  <c r="T34" s="228"/>
      <c r="U34" s="128">
        <f t="shared" si="36"/>
        <v>46507.31</v>
      </c>
      <c r="V34" s="410">
        <f t="shared" si="36"/>
        <v>0</v>
      </c>
      <c r="W34" s="226"/>
      <c r="X34" s="79">
        <v>37826.01</v>
      </c>
      <c r="Y34" s="226"/>
      <c r="Z34" s="226"/>
      <c r="AA34" s="79">
        <v>1321.51</v>
      </c>
      <c r="AB34" s="79">
        <v>458.01</v>
      </c>
      <c r="AC34" s="226"/>
      <c r="AD34" s="79"/>
      <c r="AE34" s="84"/>
      <c r="AF34" s="85">
        <f t="shared" si="37"/>
        <v>39605.530000000006</v>
      </c>
      <c r="AG34" s="91">
        <f t="shared" si="22"/>
        <v>39605.530000000006</v>
      </c>
      <c r="AH34" s="411">
        <v>0</v>
      </c>
      <c r="AI34" s="62">
        <f t="shared" si="23"/>
        <v>0</v>
      </c>
      <c r="AJ34" s="73">
        <f>'[17]Т09'!$J$53+'[17]Т09'!$J$237+'[17]Т09'!$J$313</f>
        <v>1124.685</v>
      </c>
      <c r="AK34" s="29">
        <f>0.75*B34</f>
        <v>3594.9750000000004</v>
      </c>
      <c r="AL34" s="29">
        <f t="shared" si="25"/>
        <v>958.6600000000001</v>
      </c>
      <c r="AM34" s="29">
        <f t="shared" si="26"/>
        <v>4793.3</v>
      </c>
      <c r="AN34" s="29">
        <f t="shared" si="27"/>
        <v>1006.593</v>
      </c>
      <c r="AO34" s="29">
        <f t="shared" si="28"/>
        <v>9682.466</v>
      </c>
      <c r="AP34" s="29">
        <f t="shared" si="29"/>
        <v>4937.099</v>
      </c>
      <c r="AQ34" s="29">
        <f t="shared" si="30"/>
        <v>3594.9750000000004</v>
      </c>
      <c r="AR34" s="29">
        <f t="shared" si="31"/>
        <v>3594.9750000000004</v>
      </c>
      <c r="AS34" s="225"/>
      <c r="AT34" s="210">
        <f>0.45*1160.9</f>
        <v>522.4050000000001</v>
      </c>
      <c r="AU34" s="406"/>
      <c r="AV34" s="75"/>
      <c r="AW34" s="75">
        <v>8151</v>
      </c>
      <c r="AX34" s="75"/>
      <c r="AY34" s="75"/>
      <c r="AZ34" s="75"/>
      <c r="BA34" s="17"/>
      <c r="BB34" s="74"/>
      <c r="BC34" s="212">
        <f>SUM(AK34:BB34)</f>
        <v>40836.448</v>
      </c>
      <c r="BD34" s="407">
        <f>'[17]Т09'!$S$53+'[17]Т09'!$S$237+'[17]Т09'!$S$313</f>
        <v>534.907</v>
      </c>
      <c r="BE34" s="33">
        <f t="shared" si="33"/>
        <v>41371.354999999996</v>
      </c>
      <c r="BF34" s="33">
        <f t="shared" si="34"/>
        <v>-641.1399999999899</v>
      </c>
      <c r="BG34" s="32">
        <f t="shared" si="35"/>
        <v>-6901.779999999992</v>
      </c>
      <c r="BH34" s="32"/>
      <c r="BI34" s="32"/>
    </row>
    <row r="35" spans="1:61" ht="12.75">
      <c r="A35" s="53" t="s">
        <v>31</v>
      </c>
      <c r="B35" s="412">
        <v>4793.5</v>
      </c>
      <c r="C35" s="18">
        <f>B35*9.51</f>
        <v>45586.185</v>
      </c>
      <c r="D35" s="405"/>
      <c r="E35" s="87"/>
      <c r="F35" s="87"/>
      <c r="G35" s="87">
        <v>46545.58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228"/>
      <c r="U35" s="128">
        <f t="shared" si="36"/>
        <v>46545.58</v>
      </c>
      <c r="V35" s="410">
        <f t="shared" si="36"/>
        <v>0</v>
      </c>
      <c r="W35" s="226"/>
      <c r="X35" s="79">
        <v>58249.4</v>
      </c>
      <c r="Y35" s="226"/>
      <c r="Z35" s="226"/>
      <c r="AA35" s="79">
        <v>2424.32</v>
      </c>
      <c r="AB35" s="79">
        <v>840.79</v>
      </c>
      <c r="AC35" s="226"/>
      <c r="AD35" s="79"/>
      <c r="AE35" s="84"/>
      <c r="AF35" s="85">
        <f t="shared" si="37"/>
        <v>61514.51</v>
      </c>
      <c r="AG35" s="91">
        <f t="shared" si="22"/>
        <v>61514.51</v>
      </c>
      <c r="AH35" s="411">
        <v>0</v>
      </c>
      <c r="AI35" s="62">
        <f t="shared" si="23"/>
        <v>0</v>
      </c>
      <c r="AJ35" s="73">
        <f>'[17]Т10'!$J$53+'[17]Т10'!$J$236+'[17]Т10'!$J$312</f>
        <v>1124.685</v>
      </c>
      <c r="AK35" s="29">
        <f>0.75*B35</f>
        <v>3595.125</v>
      </c>
      <c r="AL35" s="29">
        <f t="shared" si="25"/>
        <v>958.7</v>
      </c>
      <c r="AM35" s="29">
        <f t="shared" si="26"/>
        <v>4793.5</v>
      </c>
      <c r="AN35" s="29">
        <f t="shared" si="27"/>
        <v>1006.635</v>
      </c>
      <c r="AO35" s="29">
        <f t="shared" si="28"/>
        <v>9682.87</v>
      </c>
      <c r="AP35" s="29">
        <f t="shared" si="29"/>
        <v>4937.305</v>
      </c>
      <c r="AQ35" s="29">
        <f t="shared" si="30"/>
        <v>3595.125</v>
      </c>
      <c r="AR35" s="29">
        <f t="shared" si="31"/>
        <v>3595.125</v>
      </c>
      <c r="AS35" s="225">
        <f>B35*1.15</f>
        <v>5512.525</v>
      </c>
      <c r="AT35" s="210">
        <f>0.45*1160.9</f>
        <v>522.4050000000001</v>
      </c>
      <c r="AU35" s="413"/>
      <c r="AV35" s="75"/>
      <c r="AW35" s="75"/>
      <c r="AX35" s="75">
        <f>34.2+27+36+530</f>
        <v>627.2</v>
      </c>
      <c r="AY35" s="75"/>
      <c r="AZ35" s="75"/>
      <c r="BA35" s="17"/>
      <c r="BB35" s="74"/>
      <c r="BC35" s="212">
        <f>SUM(AK35:BB35)</f>
        <v>38826.515</v>
      </c>
      <c r="BD35" s="407">
        <f>'[17]Т10'!$S$53+'[17]Т10'!$S$236+'[17]Т10'!$S$312</f>
        <v>534.907</v>
      </c>
      <c r="BE35" s="33">
        <f t="shared" si="33"/>
        <v>39361.422</v>
      </c>
      <c r="BF35" s="33">
        <f t="shared" si="34"/>
        <v>23277.773000000005</v>
      </c>
      <c r="BG35" s="32">
        <f t="shared" si="35"/>
        <v>14968.93</v>
      </c>
      <c r="BH35" s="32"/>
      <c r="BI35" s="32"/>
    </row>
    <row r="36" spans="1:61" ht="12.75">
      <c r="A36" s="53" t="s">
        <v>32</v>
      </c>
      <c r="B36" s="414">
        <v>4793.5</v>
      </c>
      <c r="C36" s="18">
        <f>B36*9.51</f>
        <v>45586.185</v>
      </c>
      <c r="D36" s="405"/>
      <c r="E36" s="87"/>
      <c r="F36" s="87"/>
      <c r="G36" s="79">
        <v>46528.71</v>
      </c>
      <c r="H36" s="79"/>
      <c r="I36" s="87"/>
      <c r="J36" s="87"/>
      <c r="K36" s="87"/>
      <c r="L36" s="87"/>
      <c r="M36" s="79"/>
      <c r="N36" s="79"/>
      <c r="O36" s="79"/>
      <c r="P36" s="79"/>
      <c r="Q36" s="79"/>
      <c r="R36" s="79"/>
      <c r="S36" s="84"/>
      <c r="T36" s="228"/>
      <c r="U36" s="128">
        <f t="shared" si="36"/>
        <v>46528.71</v>
      </c>
      <c r="V36" s="410">
        <f t="shared" si="36"/>
        <v>0</v>
      </c>
      <c r="W36" s="226"/>
      <c r="X36" s="79">
        <v>38020.02</v>
      </c>
      <c r="Y36" s="226"/>
      <c r="Z36" s="226"/>
      <c r="AA36" s="79">
        <v>216.1</v>
      </c>
      <c r="AB36" s="79">
        <v>74.62</v>
      </c>
      <c r="AC36" s="226"/>
      <c r="AD36" s="79"/>
      <c r="AE36" s="84"/>
      <c r="AF36" s="85">
        <f t="shared" si="37"/>
        <v>38310.74</v>
      </c>
      <c r="AG36" s="91">
        <f t="shared" si="22"/>
        <v>38310.74</v>
      </c>
      <c r="AH36" s="411">
        <v>0</v>
      </c>
      <c r="AI36" s="62">
        <f t="shared" si="23"/>
        <v>0</v>
      </c>
      <c r="AJ36" s="73">
        <f>'[17]Т11'!$J$238+'[17]Т11'!$J$53+'[17]Т11'!$J$314</f>
        <v>1124.685</v>
      </c>
      <c r="AK36" s="29">
        <f>0.75*B36</f>
        <v>3595.125</v>
      </c>
      <c r="AL36" s="29">
        <f t="shared" si="25"/>
        <v>958.7</v>
      </c>
      <c r="AM36" s="29">
        <f t="shared" si="26"/>
        <v>4793.5</v>
      </c>
      <c r="AN36" s="29">
        <f t="shared" si="27"/>
        <v>1006.635</v>
      </c>
      <c r="AO36" s="29">
        <f t="shared" si="28"/>
        <v>9682.87</v>
      </c>
      <c r="AP36" s="29">
        <f t="shared" si="29"/>
        <v>4937.305</v>
      </c>
      <c r="AQ36" s="29">
        <f t="shared" si="30"/>
        <v>3595.125</v>
      </c>
      <c r="AR36" s="29">
        <f t="shared" si="31"/>
        <v>3595.125</v>
      </c>
      <c r="AS36" s="225">
        <f>B36*1.15</f>
        <v>5512.525</v>
      </c>
      <c r="AT36" s="210">
        <f>0.45*1160.9</f>
        <v>522.4050000000001</v>
      </c>
      <c r="AU36" s="406">
        <v>286</v>
      </c>
      <c r="AV36" s="75"/>
      <c r="AW36" s="75"/>
      <c r="AX36" s="75">
        <f>65</f>
        <v>65</v>
      </c>
      <c r="AY36" s="75"/>
      <c r="AZ36" s="75"/>
      <c r="BA36" s="17"/>
      <c r="BB36" s="74"/>
      <c r="BC36" s="212">
        <f>SUM(AK36:BB36)</f>
        <v>38550.315</v>
      </c>
      <c r="BD36" s="407">
        <f>'[17]Т11'!$S$53+'[17]Т11'!$S$238+'[17]Т11'!$S$314</f>
        <v>534.907</v>
      </c>
      <c r="BE36" s="33">
        <f t="shared" si="33"/>
        <v>39085.222</v>
      </c>
      <c r="BF36" s="33">
        <f t="shared" si="34"/>
        <v>350.20299999999634</v>
      </c>
      <c r="BG36" s="32">
        <f t="shared" si="35"/>
        <v>-8217.970000000001</v>
      </c>
      <c r="BH36" s="32"/>
      <c r="BI36" s="32"/>
    </row>
    <row r="37" spans="1:61" ht="13.5" thickBot="1">
      <c r="A37" s="53" t="s">
        <v>106</v>
      </c>
      <c r="B37" s="415">
        <v>4796.92</v>
      </c>
      <c r="C37" s="18">
        <f>B37*9.51</f>
        <v>45618.7092</v>
      </c>
      <c r="D37" s="405"/>
      <c r="E37" s="79"/>
      <c r="F37" s="79"/>
      <c r="G37" s="79">
        <v>46513.2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4"/>
      <c r="T37" s="228"/>
      <c r="U37" s="128">
        <f t="shared" si="36"/>
        <v>46513.2</v>
      </c>
      <c r="V37" s="410">
        <f t="shared" si="36"/>
        <v>0</v>
      </c>
      <c r="W37" s="226"/>
      <c r="X37" s="79">
        <v>52285.18</v>
      </c>
      <c r="Y37" s="79"/>
      <c r="Z37" s="79"/>
      <c r="AA37" s="79">
        <v>939.74</v>
      </c>
      <c r="AB37" s="79">
        <v>326.07</v>
      </c>
      <c r="AC37" s="79"/>
      <c r="AD37" s="79"/>
      <c r="AE37" s="84"/>
      <c r="AF37" s="85">
        <f t="shared" si="37"/>
        <v>53550.99</v>
      </c>
      <c r="AG37" s="91">
        <f t="shared" si="22"/>
        <v>53550.99</v>
      </c>
      <c r="AH37" s="411">
        <v>0</v>
      </c>
      <c r="AI37" s="62">
        <f t="shared" si="23"/>
        <v>0</v>
      </c>
      <c r="AJ37" s="73">
        <f>'[17]Т12'!$J$53+'[17]Т12'!$J$240+'[17]Т12'!$J$316</f>
        <v>1124.685</v>
      </c>
      <c r="AK37" s="29">
        <f>0.75*B37</f>
        <v>3597.69</v>
      </c>
      <c r="AL37" s="29">
        <f t="shared" si="25"/>
        <v>959.384</v>
      </c>
      <c r="AM37" s="29">
        <f t="shared" si="26"/>
        <v>4796.92</v>
      </c>
      <c r="AN37" s="29">
        <f t="shared" si="27"/>
        <v>1007.3532</v>
      </c>
      <c r="AO37" s="29">
        <f t="shared" si="28"/>
        <v>9689.778400000001</v>
      </c>
      <c r="AP37" s="29">
        <f t="shared" si="29"/>
        <v>4940.8276000000005</v>
      </c>
      <c r="AQ37" s="29">
        <f t="shared" si="30"/>
        <v>3597.69</v>
      </c>
      <c r="AR37" s="29">
        <f t="shared" si="31"/>
        <v>3597.69</v>
      </c>
      <c r="AS37" s="225">
        <f>B37*1.15</f>
        <v>5516.458</v>
      </c>
      <c r="AT37" s="210">
        <f>0.45*1160.9</f>
        <v>522.4050000000001</v>
      </c>
      <c r="AU37" s="406"/>
      <c r="AV37" s="75">
        <v>77</v>
      </c>
      <c r="AW37" s="75"/>
      <c r="AX37" s="75">
        <f>88.02</f>
        <v>88.02</v>
      </c>
      <c r="AY37" s="75"/>
      <c r="AZ37" s="75"/>
      <c r="BA37" s="17"/>
      <c r="BB37" s="74"/>
      <c r="BC37" s="212">
        <f>SUM(AK37:BB37)</f>
        <v>38391.216199999995</v>
      </c>
      <c r="BD37" s="407">
        <f>'[17]Т12'!$S$53+'[17]Т12'!$S$240+'[17]Т12'!$S$316</f>
        <v>534.907</v>
      </c>
      <c r="BE37" s="33">
        <f t="shared" si="33"/>
        <v>38926.123199999995</v>
      </c>
      <c r="BF37" s="33">
        <f t="shared" si="34"/>
        <v>15749.551800000003</v>
      </c>
      <c r="BG37" s="32">
        <f t="shared" si="35"/>
        <v>7037.790000000001</v>
      </c>
      <c r="BH37" s="32"/>
      <c r="BI37" s="32"/>
    </row>
    <row r="38" spans="1:61" s="3" customFormat="1" ht="13.5" thickBot="1">
      <c r="A38" s="93" t="s">
        <v>4</v>
      </c>
      <c r="B38" s="96"/>
      <c r="C38" s="101">
        <f aca="true" t="shared" si="38" ref="C38:AX38">SUM(C26:C37)</f>
        <v>519440.2182</v>
      </c>
      <c r="D38" s="101">
        <f t="shared" si="38"/>
        <v>1278.438</v>
      </c>
      <c r="E38" s="101">
        <f t="shared" si="38"/>
        <v>0</v>
      </c>
      <c r="F38" s="101">
        <f t="shared" si="38"/>
        <v>0</v>
      </c>
      <c r="G38" s="101">
        <f t="shared" si="38"/>
        <v>429817.98000000004</v>
      </c>
      <c r="H38" s="101">
        <f t="shared" si="38"/>
        <v>0</v>
      </c>
      <c r="I38" s="101">
        <f t="shared" si="38"/>
        <v>0</v>
      </c>
      <c r="J38" s="101">
        <f t="shared" si="38"/>
        <v>0</v>
      </c>
      <c r="K38" s="101">
        <f t="shared" si="38"/>
        <v>0</v>
      </c>
      <c r="L38" s="101">
        <f t="shared" si="38"/>
        <v>0</v>
      </c>
      <c r="M38" s="101">
        <f t="shared" si="38"/>
        <v>73244.85</v>
      </c>
      <c r="N38" s="101">
        <f t="shared" si="38"/>
        <v>0</v>
      </c>
      <c r="O38" s="101">
        <f t="shared" si="38"/>
        <v>25398.97</v>
      </c>
      <c r="P38" s="101">
        <f t="shared" si="38"/>
        <v>0</v>
      </c>
      <c r="Q38" s="101">
        <f t="shared" si="38"/>
        <v>0</v>
      </c>
      <c r="R38" s="101">
        <f t="shared" si="38"/>
        <v>0</v>
      </c>
      <c r="S38" s="101">
        <f t="shared" si="38"/>
        <v>0</v>
      </c>
      <c r="T38" s="101">
        <f t="shared" si="38"/>
        <v>0</v>
      </c>
      <c r="U38" s="101">
        <f t="shared" si="38"/>
        <v>528461.8</v>
      </c>
      <c r="V38" s="101">
        <f t="shared" si="38"/>
        <v>0</v>
      </c>
      <c r="W38" s="101">
        <f t="shared" si="38"/>
        <v>0</v>
      </c>
      <c r="X38" s="101">
        <f t="shared" si="38"/>
        <v>398150.56000000006</v>
      </c>
      <c r="Y38" s="101">
        <f t="shared" si="38"/>
        <v>0</v>
      </c>
      <c r="Z38" s="101">
        <f t="shared" si="38"/>
        <v>0</v>
      </c>
      <c r="AA38" s="101">
        <f t="shared" si="38"/>
        <v>79232.06000000001</v>
      </c>
      <c r="AB38" s="101">
        <f t="shared" si="38"/>
        <v>27437.319999999996</v>
      </c>
      <c r="AC38" s="101">
        <f t="shared" si="38"/>
        <v>0</v>
      </c>
      <c r="AD38" s="101">
        <f t="shared" si="38"/>
        <v>0</v>
      </c>
      <c r="AE38" s="101">
        <f t="shared" si="38"/>
        <v>0</v>
      </c>
      <c r="AF38" s="101">
        <f t="shared" si="38"/>
        <v>504819.93999999994</v>
      </c>
      <c r="AG38" s="101">
        <f t="shared" si="38"/>
        <v>506098.378</v>
      </c>
      <c r="AH38" s="101">
        <f t="shared" si="38"/>
        <v>0</v>
      </c>
      <c r="AI38" s="101">
        <f t="shared" si="38"/>
        <v>0</v>
      </c>
      <c r="AJ38" s="101">
        <f t="shared" si="38"/>
        <v>12496.22</v>
      </c>
      <c r="AK38" s="101">
        <f t="shared" si="38"/>
        <v>40841.931000000004</v>
      </c>
      <c r="AL38" s="101">
        <f t="shared" si="38"/>
        <v>11504.724000000002</v>
      </c>
      <c r="AM38" s="101">
        <f t="shared" si="38"/>
        <v>57523.62</v>
      </c>
      <c r="AN38" s="101">
        <f t="shared" si="38"/>
        <v>12079.9602</v>
      </c>
      <c r="AO38" s="101">
        <f t="shared" si="38"/>
        <v>116197.71239999999</v>
      </c>
      <c r="AP38" s="101">
        <f t="shared" si="38"/>
        <v>59249.32860000001</v>
      </c>
      <c r="AQ38" s="101">
        <f t="shared" si="38"/>
        <v>43142.715</v>
      </c>
      <c r="AR38" s="101">
        <f t="shared" si="38"/>
        <v>43142.715</v>
      </c>
      <c r="AS38" s="101">
        <f t="shared" si="38"/>
        <v>33078.393000000004</v>
      </c>
      <c r="AT38" s="101">
        <f t="shared" si="38"/>
        <v>6268.86</v>
      </c>
      <c r="AU38" s="101">
        <f t="shared" si="38"/>
        <v>46025</v>
      </c>
      <c r="AV38" s="101">
        <f t="shared" si="38"/>
        <v>132.02</v>
      </c>
      <c r="AW38" s="101">
        <f>SUM(AW26:AW37)</f>
        <v>68479.47</v>
      </c>
      <c r="AX38" s="101">
        <f>SUM(AX26:AX37)</f>
        <v>45305.76</v>
      </c>
      <c r="AY38" s="101">
        <f>SUM(AY26:AY37)</f>
        <v>0</v>
      </c>
      <c r="AZ38" s="101">
        <f>SUM(AZ26:AZ37)</f>
        <v>0</v>
      </c>
      <c r="BA38" s="101">
        <f>SUM(BA26:BA37)</f>
        <v>0</v>
      </c>
      <c r="BB38" s="101">
        <f>SUM(BB26:BB37)</f>
        <v>0</v>
      </c>
      <c r="BC38" s="101">
        <f>SUM(BC26:BC37)</f>
        <v>582972.2092</v>
      </c>
      <c r="BD38" s="101">
        <f>SUM(BD26:BD37)</f>
        <v>6168.884000000001</v>
      </c>
      <c r="BE38" s="101">
        <f aca="true" t="shared" si="39" ref="AZ38:BE38">SUM(BE26:BE37)</f>
        <v>589141.0932</v>
      </c>
      <c r="BF38" s="101">
        <f>SUM(BF26:BF37)</f>
        <v>-70546.49519999996</v>
      </c>
      <c r="BG38" s="101">
        <f>SUM(BG26:BG37)</f>
        <v>-23641.859999999993</v>
      </c>
      <c r="BI38" s="94"/>
    </row>
    <row r="39" spans="1:61" s="3" customFormat="1" ht="13.5" thickBo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7"/>
      <c r="BF39" s="96"/>
      <c r="BG39" s="98"/>
      <c r="BI39" s="94"/>
    </row>
    <row r="40" spans="1:59" s="3" customFormat="1" ht="13.5" thickBot="1">
      <c r="A40" s="45" t="s">
        <v>90</v>
      </c>
      <c r="B40" s="96"/>
      <c r="C40" s="99">
        <f aca="true" t="shared" si="40" ref="C40:BG40">C38+C24</f>
        <v>2130598.1582</v>
      </c>
      <c r="D40" s="99">
        <f t="shared" si="40"/>
        <v>240736.3206868001</v>
      </c>
      <c r="E40" s="99">
        <f t="shared" si="40"/>
        <v>99939.61</v>
      </c>
      <c r="F40" s="99">
        <f t="shared" si="40"/>
        <v>12518.470000000001</v>
      </c>
      <c r="G40" s="99">
        <f t="shared" si="40"/>
        <v>727530.0900000001</v>
      </c>
      <c r="H40" s="99">
        <f t="shared" si="40"/>
        <v>0</v>
      </c>
      <c r="I40" s="99">
        <f t="shared" si="40"/>
        <v>135283.62000000002</v>
      </c>
      <c r="J40" s="99">
        <f t="shared" si="40"/>
        <v>16946.04</v>
      </c>
      <c r="K40" s="99">
        <f t="shared" si="40"/>
        <v>225229.19999999998</v>
      </c>
      <c r="L40" s="99">
        <f t="shared" si="40"/>
        <v>28212.809999999998</v>
      </c>
      <c r="M40" s="99">
        <f t="shared" si="40"/>
        <v>542977.5099999999</v>
      </c>
      <c r="N40" s="99">
        <f t="shared" si="40"/>
        <v>40729.14</v>
      </c>
      <c r="O40" s="99">
        <f t="shared" si="40"/>
        <v>144605.45</v>
      </c>
      <c r="P40" s="99">
        <f t="shared" si="40"/>
        <v>9964.18</v>
      </c>
      <c r="Q40" s="99">
        <f t="shared" si="40"/>
        <v>0</v>
      </c>
      <c r="R40" s="99">
        <f t="shared" si="40"/>
        <v>0</v>
      </c>
      <c r="S40" s="99">
        <f t="shared" si="40"/>
        <v>0</v>
      </c>
      <c r="T40" s="99">
        <f t="shared" si="40"/>
        <v>0</v>
      </c>
      <c r="U40" s="99">
        <f t="shared" si="40"/>
        <v>1886438.93</v>
      </c>
      <c r="V40" s="99">
        <f t="shared" si="40"/>
        <v>108420.78</v>
      </c>
      <c r="W40" s="99">
        <f t="shared" si="40"/>
        <v>96811.2</v>
      </c>
      <c r="X40" s="99">
        <f t="shared" si="40"/>
        <v>645244.1900000001</v>
      </c>
      <c r="Y40" s="99">
        <f t="shared" si="40"/>
        <v>131046.06</v>
      </c>
      <c r="Z40" s="99">
        <f t="shared" si="40"/>
        <v>218184.06</v>
      </c>
      <c r="AA40" s="99">
        <f t="shared" si="40"/>
        <v>513644.3</v>
      </c>
      <c r="AB40" s="99">
        <f t="shared" si="40"/>
        <v>146496.951</v>
      </c>
      <c r="AC40" s="99">
        <f t="shared" si="40"/>
        <v>0</v>
      </c>
      <c r="AD40" s="99">
        <f t="shared" si="40"/>
        <v>0</v>
      </c>
      <c r="AE40" s="99">
        <f t="shared" si="40"/>
        <v>0</v>
      </c>
      <c r="AF40" s="99">
        <f t="shared" si="40"/>
        <v>1751426.761</v>
      </c>
      <c r="AG40" s="99">
        <f t="shared" si="40"/>
        <v>2100583.8616868006</v>
      </c>
      <c r="AH40" s="99">
        <f t="shared" si="40"/>
        <v>0</v>
      </c>
      <c r="AI40" s="99">
        <f t="shared" si="40"/>
        <v>0</v>
      </c>
      <c r="AJ40" s="99">
        <f t="shared" si="40"/>
        <v>33326.62388</v>
      </c>
      <c r="AK40" s="99">
        <f t="shared" si="40"/>
        <v>155873.895</v>
      </c>
      <c r="AL40" s="99">
        <f t="shared" si="40"/>
        <v>48640.319291600004</v>
      </c>
      <c r="AM40" s="99">
        <f t="shared" si="40"/>
        <v>242025.92741210503</v>
      </c>
      <c r="AN40" s="99">
        <f t="shared" si="40"/>
        <v>24159.076200000003</v>
      </c>
      <c r="AO40" s="99">
        <f t="shared" si="40"/>
        <v>359041.39400257135</v>
      </c>
      <c r="AP40" s="99">
        <f t="shared" si="40"/>
        <v>401831.87925969885</v>
      </c>
      <c r="AQ40" s="99">
        <f t="shared" si="40"/>
        <v>86282.41499999998</v>
      </c>
      <c r="AR40" s="99">
        <f t="shared" si="40"/>
        <v>86282.41499999998</v>
      </c>
      <c r="AS40" s="99">
        <f t="shared" si="40"/>
        <v>66152.163</v>
      </c>
      <c r="AT40" s="99">
        <f t="shared" si="40"/>
        <v>18806.579999999998</v>
      </c>
      <c r="AU40" s="99">
        <f t="shared" si="40"/>
        <v>341931.0002</v>
      </c>
      <c r="AV40" s="99">
        <f t="shared" si="40"/>
        <v>11536.02</v>
      </c>
      <c r="AW40" s="99">
        <f t="shared" si="40"/>
        <v>242334.72</v>
      </c>
      <c r="AX40" s="99">
        <f t="shared" si="40"/>
        <v>80836.8714</v>
      </c>
      <c r="AY40" s="99">
        <f t="shared" si="40"/>
        <v>27953.69</v>
      </c>
      <c r="AZ40" s="99">
        <f t="shared" si="40"/>
        <v>0</v>
      </c>
      <c r="BA40" s="99">
        <f t="shared" si="40"/>
        <v>0</v>
      </c>
      <c r="BB40" s="99">
        <f t="shared" si="40"/>
        <v>0</v>
      </c>
      <c r="BC40" s="99">
        <f t="shared" si="40"/>
        <v>2193688.365765975</v>
      </c>
      <c r="BD40" s="99">
        <f t="shared" si="40"/>
        <v>17525.791344233403</v>
      </c>
      <c r="BE40" s="100">
        <f t="shared" si="40"/>
        <v>2211214.1571102086</v>
      </c>
      <c r="BF40" s="99">
        <f t="shared" si="40"/>
        <v>-77303.67154340833</v>
      </c>
      <c r="BG40" s="101">
        <f t="shared" si="40"/>
        <v>-135012.169</v>
      </c>
    </row>
  </sheetData>
  <sheetProtection/>
  <mergeCells count="57">
    <mergeCell ref="A1:N1"/>
    <mergeCell ref="A3:A6"/>
    <mergeCell ref="B3:B6"/>
    <mergeCell ref="C3:C6"/>
    <mergeCell ref="D3:D6"/>
    <mergeCell ref="E3:R4"/>
    <mergeCell ref="Q5:R6"/>
    <mergeCell ref="S5:T6"/>
    <mergeCell ref="U5:U6"/>
    <mergeCell ref="S3:T4"/>
    <mergeCell ref="U3:V4"/>
    <mergeCell ref="W3:AI4"/>
    <mergeCell ref="V5:V6"/>
    <mergeCell ref="W5:W6"/>
    <mergeCell ref="X5:X6"/>
    <mergeCell ref="Y5:Y6"/>
    <mergeCell ref="E5:F6"/>
    <mergeCell ref="G5:H6"/>
    <mergeCell ref="I5:J6"/>
    <mergeCell ref="K5:L6"/>
    <mergeCell ref="M5:N6"/>
    <mergeCell ref="O5:P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J3:AJ6"/>
    <mergeCell ref="AK3:BE4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BH5:BH6"/>
    <mergeCell ref="AZ5:AZ6"/>
    <mergeCell ref="BA5:BA6"/>
    <mergeCell ref="BB5:BB6"/>
    <mergeCell ref="BC5:BC6"/>
    <mergeCell ref="BD5:BD6"/>
    <mergeCell ref="BE5:BE6"/>
    <mergeCell ref="BG3:BG6"/>
    <mergeCell ref="BF3:B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9.875" style="37" customWidth="1"/>
    <col min="2" max="2" width="10.125" style="37" customWidth="1"/>
    <col min="3" max="3" width="11.375" style="37" customWidth="1"/>
    <col min="4" max="4" width="10.00390625" style="37" customWidth="1"/>
    <col min="5" max="5" width="11.375" style="37" customWidth="1"/>
    <col min="6" max="6" width="9.875" style="37" customWidth="1"/>
    <col min="7" max="7" width="11.625" style="37" customWidth="1"/>
    <col min="8" max="8" width="11.375" style="37" customWidth="1"/>
    <col min="9" max="9" width="9.125" style="37" customWidth="1"/>
    <col min="10" max="10" width="9.875" style="37" customWidth="1"/>
    <col min="11" max="11" width="9.125" style="37" customWidth="1"/>
    <col min="12" max="12" width="12.00390625" style="37" customWidth="1"/>
    <col min="13" max="13" width="9.875" style="37" customWidth="1"/>
    <col min="14" max="14" width="8.875" style="37" hidden="1" customWidth="1"/>
    <col min="15" max="15" width="11.625" style="37" hidden="1" customWidth="1"/>
    <col min="16" max="16" width="9.125" style="37" customWidth="1"/>
    <col min="17" max="17" width="11.375" style="37" customWidth="1"/>
    <col min="18" max="18" width="9.375" style="37" customWidth="1"/>
    <col min="19" max="19" width="10.875" style="37" customWidth="1"/>
    <col min="20" max="20" width="8.875" style="37" hidden="1" customWidth="1"/>
    <col min="21" max="16384" width="9.125" style="37" customWidth="1"/>
  </cols>
  <sheetData>
    <row r="1" spans="2:9" ht="20.25" customHeight="1">
      <c r="B1" s="280" t="s">
        <v>42</v>
      </c>
      <c r="C1" s="280"/>
      <c r="D1" s="280"/>
      <c r="E1" s="280"/>
      <c r="F1" s="280"/>
      <c r="G1" s="280"/>
      <c r="H1" s="280"/>
      <c r="I1" s="4"/>
    </row>
    <row r="2" spans="2:12" ht="21" customHeight="1">
      <c r="B2" s="280" t="s">
        <v>43</v>
      </c>
      <c r="C2" s="280"/>
      <c r="D2" s="280"/>
      <c r="E2" s="280"/>
      <c r="F2" s="280"/>
      <c r="G2" s="280"/>
      <c r="H2" s="280"/>
      <c r="I2" s="4"/>
      <c r="K2" s="39"/>
      <c r="L2" s="39"/>
    </row>
    <row r="5" spans="1:16" ht="12.75">
      <c r="A5" s="281" t="s">
        <v>127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16" ht="12.75">
      <c r="A6" s="282" t="s">
        <v>133</v>
      </c>
      <c r="B6" s="282"/>
      <c r="C6" s="282"/>
      <c r="D6" s="282"/>
      <c r="E6" s="282"/>
      <c r="F6" s="282"/>
      <c r="G6" s="282"/>
      <c r="H6" s="102"/>
      <c r="I6" s="102"/>
      <c r="J6" s="102"/>
      <c r="K6" s="102"/>
      <c r="L6" s="102"/>
      <c r="M6" s="102"/>
      <c r="N6" s="102"/>
      <c r="O6" s="102"/>
      <c r="P6" s="102"/>
    </row>
    <row r="7" spans="1:17" ht="13.5" thickBot="1">
      <c r="A7" s="283" t="s">
        <v>44</v>
      </c>
      <c r="B7" s="283"/>
      <c r="C7" s="283"/>
      <c r="D7" s="283"/>
      <c r="E7" s="283">
        <v>9.51</v>
      </c>
      <c r="F7" s="283"/>
      <c r="J7" s="103"/>
      <c r="K7" s="103"/>
      <c r="L7" s="103"/>
      <c r="M7" s="103"/>
      <c r="N7" s="103"/>
      <c r="O7" s="103"/>
      <c r="P7" s="103"/>
      <c r="Q7" s="103"/>
    </row>
    <row r="8" spans="1:20" ht="12.75" customHeight="1">
      <c r="A8" s="233" t="s">
        <v>45</v>
      </c>
      <c r="B8" s="285" t="s">
        <v>1</v>
      </c>
      <c r="C8" s="288" t="s">
        <v>132</v>
      </c>
      <c r="D8" s="291" t="s">
        <v>3</v>
      </c>
      <c r="E8" s="294" t="s">
        <v>47</v>
      </c>
      <c r="F8" s="295"/>
      <c r="G8" s="298" t="s">
        <v>62</v>
      </c>
      <c r="H8" s="299"/>
      <c r="I8" s="392" t="s">
        <v>98</v>
      </c>
      <c r="J8" s="395" t="s">
        <v>7</v>
      </c>
      <c r="K8" s="396"/>
      <c r="L8" s="396"/>
      <c r="M8" s="396"/>
      <c r="N8" s="396"/>
      <c r="O8" s="396"/>
      <c r="P8" s="396"/>
      <c r="Q8" s="397"/>
      <c r="R8" s="392" t="s">
        <v>48</v>
      </c>
      <c r="S8" s="392" t="s">
        <v>9</v>
      </c>
      <c r="T8" s="392" t="s">
        <v>129</v>
      </c>
    </row>
    <row r="9" spans="1:20" ht="12.75">
      <c r="A9" s="234"/>
      <c r="B9" s="286"/>
      <c r="C9" s="289"/>
      <c r="D9" s="292"/>
      <c r="E9" s="296"/>
      <c r="F9" s="297"/>
      <c r="G9" s="300"/>
      <c r="H9" s="301"/>
      <c r="I9" s="393"/>
      <c r="J9" s="398"/>
      <c r="K9" s="399"/>
      <c r="L9" s="399"/>
      <c r="M9" s="399"/>
      <c r="N9" s="399"/>
      <c r="O9" s="399"/>
      <c r="P9" s="399"/>
      <c r="Q9" s="400"/>
      <c r="R9" s="393"/>
      <c r="S9" s="393"/>
      <c r="T9" s="393"/>
    </row>
    <row r="10" spans="1:20" ht="26.25" customHeight="1">
      <c r="A10" s="234"/>
      <c r="B10" s="286"/>
      <c r="C10" s="289"/>
      <c r="D10" s="292"/>
      <c r="E10" s="305" t="s">
        <v>49</v>
      </c>
      <c r="F10" s="306"/>
      <c r="G10" s="104" t="s">
        <v>92</v>
      </c>
      <c r="H10" s="307" t="s">
        <v>6</v>
      </c>
      <c r="I10" s="393"/>
      <c r="J10" s="309" t="s">
        <v>50</v>
      </c>
      <c r="K10" s="311" t="s">
        <v>93</v>
      </c>
      <c r="L10" s="311" t="s">
        <v>51</v>
      </c>
      <c r="M10" s="311" t="s">
        <v>28</v>
      </c>
      <c r="N10" s="311" t="s">
        <v>52</v>
      </c>
      <c r="O10" s="312" t="s">
        <v>29</v>
      </c>
      <c r="P10" s="312" t="s">
        <v>94</v>
      </c>
      <c r="Q10" s="308" t="s">
        <v>30</v>
      </c>
      <c r="R10" s="393"/>
      <c r="S10" s="393"/>
      <c r="T10" s="393"/>
    </row>
    <row r="11" spans="1:20" ht="66.75" customHeight="1" thickBot="1">
      <c r="A11" s="284"/>
      <c r="B11" s="287"/>
      <c r="C11" s="290"/>
      <c r="D11" s="293"/>
      <c r="E11" s="5" t="s">
        <v>53</v>
      </c>
      <c r="F11" s="6" t="s">
        <v>17</v>
      </c>
      <c r="G11" s="36" t="s">
        <v>95</v>
      </c>
      <c r="H11" s="308"/>
      <c r="I11" s="394"/>
      <c r="J11" s="310"/>
      <c r="K11" s="312"/>
      <c r="L11" s="312"/>
      <c r="M11" s="312"/>
      <c r="N11" s="312"/>
      <c r="O11" s="403"/>
      <c r="P11" s="403"/>
      <c r="Q11" s="404"/>
      <c r="R11" s="394"/>
      <c r="S11" s="394"/>
      <c r="T11" s="394"/>
    </row>
    <row r="12" spans="1:20" ht="13.5" thickBot="1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8">
        <v>8</v>
      </c>
      <c r="I12" s="7">
        <v>9</v>
      </c>
      <c r="J12" s="8">
        <v>10</v>
      </c>
      <c r="K12" s="7">
        <v>11</v>
      </c>
      <c r="L12" s="8">
        <v>12</v>
      </c>
      <c r="M12" s="7">
        <v>13</v>
      </c>
      <c r="N12" s="8">
        <v>14</v>
      </c>
      <c r="O12" s="7">
        <v>15</v>
      </c>
      <c r="P12" s="8">
        <v>16</v>
      </c>
      <c r="Q12" s="7">
        <v>17</v>
      </c>
      <c r="R12" s="8">
        <v>18</v>
      </c>
      <c r="S12" s="7">
        <v>19</v>
      </c>
      <c r="T12" s="7">
        <v>20</v>
      </c>
    </row>
    <row r="13" spans="1:20" ht="13.5" thickBot="1">
      <c r="A13" s="314" t="s">
        <v>63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105"/>
      <c r="R13" s="106"/>
      <c r="S13" s="106"/>
      <c r="T13" s="106"/>
    </row>
    <row r="14" spans="1:21" s="3" customFormat="1" ht="13.5" hidden="1" thickBot="1">
      <c r="A14" s="107" t="s">
        <v>90</v>
      </c>
      <c r="B14" s="108"/>
      <c r="C14" s="14">
        <f>'2011 полн'!C8</f>
        <v>1119365.3599999999</v>
      </c>
      <c r="D14" s="14">
        <f>'2011 полн'!D8</f>
        <v>237331.0326868001</v>
      </c>
      <c r="E14" s="14">
        <f>'2011 полн'!U8</f>
        <v>865584.15</v>
      </c>
      <c r="F14" s="14">
        <f>'2011 полн'!V8</f>
        <v>108420.78</v>
      </c>
      <c r="G14" s="14">
        <f>'2011 полн'!AF8</f>
        <v>786401.79</v>
      </c>
      <c r="H14" s="14">
        <f>'2011 полн'!AG8</f>
        <v>1132153.6026868003</v>
      </c>
      <c r="I14" s="14">
        <f>'2011 полн'!AJ8</f>
        <v>11859.851879999998</v>
      </c>
      <c r="J14" s="14">
        <f>'2011 полн'!AK8</f>
        <v>76493.832</v>
      </c>
      <c r="K14" s="14">
        <f>'2011 полн'!AL8</f>
        <v>25631.675291600004</v>
      </c>
      <c r="L14" s="14">
        <f>'2011 полн'!AM8+'2011 полн'!AO8+'2011 полн'!AP8+'2011 полн'!AT8+27953.69</f>
        <v>571196.7096743751</v>
      </c>
      <c r="M14" s="14">
        <f>'2011 полн'!AU8+'2011 полн'!AW8+'2011 полн'!AX8</f>
        <v>447384.1016</v>
      </c>
      <c r="N14" s="14"/>
      <c r="O14" s="14"/>
      <c r="P14" s="14">
        <f>'2011 полн'!BD8</f>
        <v>5538.023344233401</v>
      </c>
      <c r="Q14" s="14">
        <f>J14+K14+L14+M14+P14</f>
        <v>1126244.3419102086</v>
      </c>
      <c r="R14" s="14">
        <f>'2011 полн'!BF8</f>
        <v>17769.112656591522</v>
      </c>
      <c r="S14" s="14">
        <f>'2011 полн'!BG8</f>
        <v>-79182.35999999999</v>
      </c>
      <c r="T14" s="155">
        <f>'2012 полн '!BH8+11409.84</f>
        <v>0</v>
      </c>
      <c r="U14" s="94"/>
    </row>
    <row r="15" spans="1:21" ht="13.5" hidden="1" thickBot="1">
      <c r="A15" s="2" t="s">
        <v>91</v>
      </c>
      <c r="B15" s="110"/>
      <c r="C15" s="12"/>
      <c r="D15" s="13"/>
      <c r="E15" s="111"/>
      <c r="F15" s="112"/>
      <c r="G15" s="113"/>
      <c r="H15" s="112"/>
      <c r="I15" s="132"/>
      <c r="J15" s="113"/>
      <c r="K15" s="114"/>
      <c r="L15" s="114"/>
      <c r="M15" s="115"/>
      <c r="N15" s="20"/>
      <c r="O15" s="116"/>
      <c r="P15" s="116"/>
      <c r="Q15" s="117"/>
      <c r="R15" s="118"/>
      <c r="S15" s="118"/>
      <c r="T15" s="106"/>
      <c r="U15" s="39"/>
    </row>
    <row r="16" spans="1:21" ht="13.5" hidden="1" thickBot="1">
      <c r="A16" s="53" t="s">
        <v>33</v>
      </c>
      <c r="B16" s="19">
        <f>'2011 полн'!B10</f>
        <v>4793.3</v>
      </c>
      <c r="C16" s="9">
        <f>'2011 полн'!C10</f>
        <v>40982.715000000004</v>
      </c>
      <c r="D16" s="10">
        <f>'2011 полн'!D10</f>
        <v>210.43</v>
      </c>
      <c r="E16" s="114">
        <f>'2011 полн'!U10</f>
        <v>41265.72</v>
      </c>
      <c r="F16" s="114">
        <f>'2011 полн'!V10</f>
        <v>0</v>
      </c>
      <c r="G16" s="119">
        <f>'2011 полн'!AF10</f>
        <v>32104.050999999996</v>
      </c>
      <c r="H16" s="119">
        <f>'2011 полн'!AG10</f>
        <v>32314.480999999996</v>
      </c>
      <c r="I16" s="119">
        <f>'2011 полн'!AJ10</f>
        <v>747.546</v>
      </c>
      <c r="J16" s="119">
        <f>'2011 полн'!AK10</f>
        <v>3211.5110000000004</v>
      </c>
      <c r="K16" s="114">
        <f>'2011 полн'!AL10</f>
        <v>958.6600000000001</v>
      </c>
      <c r="L16" s="114">
        <f>'2011 полн'!AM10+'2011 полн'!AN10+'2011 полн'!AO10+'2011 полн'!AP10+'2011 полн'!AQ10+'2011 полн'!AR10+'2011 полн'!AS10+'2011 полн'!AT10+'2011 полн'!AX10+'2011 полн'!AY10</f>
        <v>34048.397999999994</v>
      </c>
      <c r="M16" s="115">
        <f>'2011 полн'!AU10+'2011 полн'!AV10+'2011 полн'!AW10</f>
        <v>21665</v>
      </c>
      <c r="N16" s="115">
        <f>'2011 полн'!AY10</f>
        <v>0</v>
      </c>
      <c r="O16" s="120"/>
      <c r="P16" s="120">
        <f>'2011 полн'!BD10</f>
        <v>484.90700000000004</v>
      </c>
      <c r="Q16" s="120">
        <f>J16+K16+L16+M16+P16</f>
        <v>60368.475999999995</v>
      </c>
      <c r="R16" s="118">
        <f>'2011 полн'!BF10</f>
        <v>-27306.449</v>
      </c>
      <c r="S16" s="118">
        <f>'2011 полн'!BG10</f>
        <v>-9161.669000000005</v>
      </c>
      <c r="T16" s="106">
        <f>-633.55</f>
        <v>-633.55</v>
      </c>
      <c r="U16" s="39"/>
    </row>
    <row r="17" spans="1:21" ht="13.5" hidden="1" thickBot="1">
      <c r="A17" s="53" t="s">
        <v>34</v>
      </c>
      <c r="B17" s="19">
        <f>'2011 полн'!B11</f>
        <v>4793.3</v>
      </c>
      <c r="C17" s="9">
        <f>'2011 полн'!C11</f>
        <v>40982.715000000004</v>
      </c>
      <c r="D17" s="10">
        <f>'2011 полн'!D11</f>
        <v>174.22</v>
      </c>
      <c r="E17" s="114">
        <f>'2011 полн'!U11</f>
        <v>40253.48</v>
      </c>
      <c r="F17" s="114">
        <f>'2011 полн'!V11</f>
        <v>0</v>
      </c>
      <c r="G17" s="119">
        <f>'2011 полн'!AF11</f>
        <v>37570.5</v>
      </c>
      <c r="H17" s="119">
        <f>'2011 полн'!AG11</f>
        <v>37744.72</v>
      </c>
      <c r="I17" s="119">
        <f>'2011 полн'!AJ11</f>
        <v>747.546</v>
      </c>
      <c r="J17" s="119">
        <f>'2011 полн'!AK11</f>
        <v>3211.5110000000004</v>
      </c>
      <c r="K17" s="114">
        <f>'2011 полн'!AL11</f>
        <v>958.6600000000001</v>
      </c>
      <c r="L17" s="114">
        <f>'2011 полн'!AM11+'2011 полн'!AN11+'2011 полн'!AO11+'2011 полн'!AP11+'2011 полн'!AQ11+'2011 полн'!AR11+'2011 полн'!AS11+'2011 полн'!AT11+'2011 полн'!AX11+'2011 полн'!AY11</f>
        <v>33994.94799999999</v>
      </c>
      <c r="M17" s="115">
        <f>'2011 полн'!AU11+'2011 полн'!AV11+'2011 полн'!AW11</f>
        <v>3688</v>
      </c>
      <c r="N17" s="115">
        <f>'2011 полн'!AY11</f>
        <v>0</v>
      </c>
      <c r="O17" s="120"/>
      <c r="P17" s="120">
        <f>'2011 полн'!BD11</f>
        <v>484.90700000000004</v>
      </c>
      <c r="Q17" s="120">
        <f aca="true" t="shared" si="0" ref="Q17:Q27">J17+K17+L17+M17+P17</f>
        <v>42338.02599999999</v>
      </c>
      <c r="R17" s="118">
        <f>'2011 полн'!BF11</f>
        <v>-3845.7599999999893</v>
      </c>
      <c r="S17" s="118">
        <f>'2011 полн'!BG11</f>
        <v>-2682.980000000003</v>
      </c>
      <c r="T17" s="106">
        <f aca="true" t="shared" si="1" ref="T17:T27">-633.55</f>
        <v>-633.55</v>
      </c>
      <c r="U17" s="39"/>
    </row>
    <row r="18" spans="1:21" ht="13.5" hidden="1" thickBot="1">
      <c r="A18" s="53" t="s">
        <v>35</v>
      </c>
      <c r="B18" s="19">
        <f>'2011 полн'!B12</f>
        <v>4793.3</v>
      </c>
      <c r="C18" s="9">
        <f>'2011 полн'!C12</f>
        <v>40982.715000000004</v>
      </c>
      <c r="D18" s="10">
        <f>'2011 полн'!D12</f>
        <v>174.22</v>
      </c>
      <c r="E18" s="114">
        <f>'2011 полн'!U12</f>
        <v>40771.100000000006</v>
      </c>
      <c r="F18" s="114">
        <f>'2011 полн'!V12</f>
        <v>0</v>
      </c>
      <c r="G18" s="119">
        <f>'2011 полн'!AF12</f>
        <v>36926.780000000006</v>
      </c>
      <c r="H18" s="119">
        <f>'2011 полн'!AG12</f>
        <v>37101.00000000001</v>
      </c>
      <c r="I18" s="119">
        <f>'2011 полн'!AJ12</f>
        <v>747.546</v>
      </c>
      <c r="J18" s="119">
        <f>'2011 полн'!AK12</f>
        <v>3211.5110000000004</v>
      </c>
      <c r="K18" s="114">
        <f>'2011 полн'!AL12</f>
        <v>958.6600000000001</v>
      </c>
      <c r="L18" s="114">
        <f>'2011 полн'!AM12+'2011 полн'!AN12+'2011 полн'!AO12+'2011 полн'!AP12+'2011 полн'!AQ12+'2011 полн'!AR12+'2011 полн'!AS12+'2011 полн'!AT12+'2011 полн'!AX12+'2011 полн'!AY12</f>
        <v>33654.507999999994</v>
      </c>
      <c r="M18" s="115">
        <f>'2011 полн'!AU12+'2011 полн'!AV12+'2011 полн'!AW12</f>
        <v>2294</v>
      </c>
      <c r="N18" s="115">
        <f>'2011 полн'!AY12</f>
        <v>0</v>
      </c>
      <c r="O18" s="120"/>
      <c r="P18" s="120">
        <f>'2011 полн'!BD12</f>
        <v>484.90700000000004</v>
      </c>
      <c r="Q18" s="120">
        <f t="shared" si="0"/>
        <v>40603.585999999996</v>
      </c>
      <c r="R18" s="118">
        <f>'2011 полн'!BF12</f>
        <v>-2755.039999999988</v>
      </c>
      <c r="S18" s="118">
        <f>'2011 полн'!BG12</f>
        <v>-3844.3199999999997</v>
      </c>
      <c r="T18" s="106">
        <f t="shared" si="1"/>
        <v>-633.55</v>
      </c>
      <c r="U18" s="39"/>
    </row>
    <row r="19" spans="1:21" ht="13.5" hidden="1" thickBot="1">
      <c r="A19" s="53" t="s">
        <v>36</v>
      </c>
      <c r="B19" s="19">
        <f>'2011 полн'!B13</f>
        <v>4793.3</v>
      </c>
      <c r="C19" s="9">
        <f>'2011 полн'!C13</f>
        <v>40982.715000000004</v>
      </c>
      <c r="D19" s="10">
        <f>'2011 полн'!D13</f>
        <v>174.22</v>
      </c>
      <c r="E19" s="114">
        <f>'2011 полн'!U13</f>
        <v>40771.100000000006</v>
      </c>
      <c r="F19" s="114">
        <f>'2011 полн'!V13</f>
        <v>0</v>
      </c>
      <c r="G19" s="119">
        <f>'2011 полн'!AF13</f>
        <v>39969.659999999996</v>
      </c>
      <c r="H19" s="119">
        <f>'2011 полн'!AG13</f>
        <v>40143.88</v>
      </c>
      <c r="I19" s="119">
        <f>'2011 полн'!AJ13</f>
        <v>747.546</v>
      </c>
      <c r="J19" s="119">
        <f>'2011 полн'!AK13</f>
        <v>3211.5110000000004</v>
      </c>
      <c r="K19" s="114">
        <f>'2011 полн'!AL13</f>
        <v>958.6600000000001</v>
      </c>
      <c r="L19" s="114">
        <f>'2011 полн'!AM13+'2011 полн'!AN13+'2011 полн'!AO13+'2011 полн'!AP13+'2011 полн'!AQ13+'2011 полн'!AR13+'2011 полн'!AS13+'2011 полн'!AT13+'2011 полн'!AX13+'2011 полн'!AY13</f>
        <v>28202.812999999995</v>
      </c>
      <c r="M19" s="115">
        <f>'2011 полн'!AU13+'2011 полн'!AV13+'2011 полн'!AW13</f>
        <v>0</v>
      </c>
      <c r="N19" s="115">
        <f>'2011 полн'!AY13</f>
        <v>0</v>
      </c>
      <c r="O19" s="120"/>
      <c r="P19" s="120">
        <f>'2011 полн'!BD13</f>
        <v>484.90700000000004</v>
      </c>
      <c r="Q19" s="120">
        <f t="shared" si="0"/>
        <v>32857.890999999996</v>
      </c>
      <c r="R19" s="118">
        <f>'2011 полн'!BF13</f>
        <v>8033.535000000002</v>
      </c>
      <c r="S19" s="118">
        <f>'2011 полн'!BG13</f>
        <v>-801.4400000000096</v>
      </c>
      <c r="T19" s="106">
        <f t="shared" si="1"/>
        <v>-633.55</v>
      </c>
      <c r="U19" s="39"/>
    </row>
    <row r="20" spans="1:21" ht="13.5" hidden="1" thickBot="1">
      <c r="A20" s="53" t="s">
        <v>37</v>
      </c>
      <c r="B20" s="19">
        <f>'2011 полн'!B14</f>
        <v>4793.3</v>
      </c>
      <c r="C20" s="9">
        <f>'2011 полн'!C14</f>
        <v>40982.715000000004</v>
      </c>
      <c r="D20" s="10">
        <f>'2011 полн'!D14</f>
        <v>174.22</v>
      </c>
      <c r="E20" s="114">
        <f>'2011 полн'!U14</f>
        <v>40726.43</v>
      </c>
      <c r="F20" s="114">
        <f>'2011 полн'!V14</f>
        <v>0</v>
      </c>
      <c r="G20" s="119">
        <f>'2011 полн'!AF14</f>
        <v>37132.880000000005</v>
      </c>
      <c r="H20" s="119">
        <f>'2011 полн'!AG14</f>
        <v>37307.100000000006</v>
      </c>
      <c r="I20" s="119">
        <f>'2011 полн'!AJ14</f>
        <v>747.546</v>
      </c>
      <c r="J20" s="119">
        <f>'2011 полн'!AK14</f>
        <v>3211.5110000000004</v>
      </c>
      <c r="K20" s="114">
        <f>'2011 полн'!AL14</f>
        <v>958.6600000000001</v>
      </c>
      <c r="L20" s="114">
        <f>'2011 полн'!AM14+'2011 полн'!AN14+'2011 полн'!AO14+'2011 полн'!AP14+'2011 полн'!AQ14+'2011 полн'!AR14+'2011 полн'!AS14+'2011 полн'!AT14+'2011 полн'!AX14+'2011 полн'!AY14</f>
        <v>28464.812999999995</v>
      </c>
      <c r="M20" s="115">
        <f>'2011 полн'!AU14+'2011 полн'!AV14+'2011 полн'!AW14</f>
        <v>1170</v>
      </c>
      <c r="N20" s="115">
        <f>'2011 полн'!AY14</f>
        <v>0</v>
      </c>
      <c r="O20" s="120"/>
      <c r="P20" s="120">
        <f>'2011 полн'!BD14</f>
        <v>484.90700000000004</v>
      </c>
      <c r="Q20" s="120">
        <f t="shared" si="0"/>
        <v>34289.890999999996</v>
      </c>
      <c r="R20" s="118">
        <f>'2011 полн'!BF14</f>
        <v>3764.75500000001</v>
      </c>
      <c r="S20" s="118">
        <f>'2011 полн'!BG14</f>
        <v>-3593.5499999999956</v>
      </c>
      <c r="T20" s="106">
        <f t="shared" si="1"/>
        <v>-633.55</v>
      </c>
      <c r="U20" s="39"/>
    </row>
    <row r="21" spans="1:21" ht="13.5" hidden="1" thickBot="1">
      <c r="A21" s="53" t="s">
        <v>38</v>
      </c>
      <c r="B21" s="19">
        <f>'2011 полн'!B15</f>
        <v>4793.3</v>
      </c>
      <c r="C21" s="9">
        <f>'2011 полн'!C15</f>
        <v>40982.715000000004</v>
      </c>
      <c r="D21" s="10">
        <f>'2011 полн'!D15</f>
        <v>174.22</v>
      </c>
      <c r="E21" s="114">
        <f>'2011 полн'!U15</f>
        <v>40768.19</v>
      </c>
      <c r="F21" s="114">
        <f>'2011 полн'!V15</f>
        <v>0</v>
      </c>
      <c r="G21" s="119">
        <f>'2011 полн'!AF15</f>
        <v>35081.51</v>
      </c>
      <c r="H21" s="119">
        <f>'2011 полн'!AG15</f>
        <v>35255.73</v>
      </c>
      <c r="I21" s="119">
        <f>'2011 полн'!AJ15</f>
        <v>747.546</v>
      </c>
      <c r="J21" s="119">
        <f>'2011 полн'!AK15</f>
        <v>3211.5110000000004</v>
      </c>
      <c r="K21" s="114">
        <f>'2011 полн'!AL15</f>
        <v>958.6600000000001</v>
      </c>
      <c r="L21" s="114">
        <f>'2011 полн'!AM15+'2011 полн'!AN15+'2011 полн'!AO15+'2011 полн'!AP15+'2011 полн'!AQ15+'2011 полн'!AR15+'2011 полн'!AS15+'2011 полн'!AT15+'2011 полн'!AX15+'2011 полн'!AY15</f>
        <v>28148.812999999995</v>
      </c>
      <c r="M21" s="115">
        <f>'2011 полн'!AU15+'2011 полн'!AV15+'2011 полн'!AW15</f>
        <v>686</v>
      </c>
      <c r="N21" s="115">
        <f>'2011 полн'!AY15</f>
        <v>0</v>
      </c>
      <c r="O21" s="120"/>
      <c r="P21" s="120">
        <f>'2011 полн'!BD15</f>
        <v>484.90700000000004</v>
      </c>
      <c r="Q21" s="120">
        <f t="shared" si="0"/>
        <v>33489.890999999996</v>
      </c>
      <c r="R21" s="118">
        <f>'2011 полн'!BF15</f>
        <v>2513.3850000000075</v>
      </c>
      <c r="S21" s="118">
        <f>'2011 полн'!BG15</f>
        <v>-5686.68</v>
      </c>
      <c r="T21" s="106">
        <f t="shared" si="1"/>
        <v>-633.55</v>
      </c>
      <c r="U21" s="39"/>
    </row>
    <row r="22" spans="1:20" ht="13.5" hidden="1" thickBot="1">
      <c r="A22" s="53" t="s">
        <v>39</v>
      </c>
      <c r="B22" s="19">
        <f>'2011 полн'!B16</f>
        <v>4793.3</v>
      </c>
      <c r="C22" s="9">
        <f>'2011 полн'!C16</f>
        <v>40982.715000000004</v>
      </c>
      <c r="D22" s="10">
        <f>'2011 полн'!D16</f>
        <v>174.22</v>
      </c>
      <c r="E22" s="114">
        <f>'2011 полн'!U16</f>
        <v>40739.34</v>
      </c>
      <c r="F22" s="114">
        <f>'2011 полн'!V16</f>
        <v>0</v>
      </c>
      <c r="G22" s="119">
        <f>'2011 полн'!AF16</f>
        <v>36715.46</v>
      </c>
      <c r="H22" s="119">
        <f>'2011 полн'!AG16</f>
        <v>36889.68</v>
      </c>
      <c r="I22" s="119">
        <f>'2011 полн'!AJ16</f>
        <v>747.546</v>
      </c>
      <c r="J22" s="119">
        <f>'2011 полн'!AK16</f>
        <v>3211.5110000000004</v>
      </c>
      <c r="K22" s="114">
        <f>'2011 полн'!AL16</f>
        <v>958.6600000000001</v>
      </c>
      <c r="L22" s="114">
        <f>'2011 полн'!AM16+'2011 полн'!AN16+'2011 полн'!AO16+'2011 полн'!AP16+'2011 полн'!AQ16+'2011 полн'!AR16+'2011 полн'!AS16+'2011 полн'!AT16+'2011 полн'!AX16+'2011 полн'!AY16</f>
        <v>30069.232999999993</v>
      </c>
      <c r="M22" s="115">
        <f>'2011 полн'!AU16+'2011 полн'!AV16+'2011 полн'!AW16</f>
        <v>12955</v>
      </c>
      <c r="N22" s="115">
        <f>'2011 полн'!AZ16</f>
        <v>0</v>
      </c>
      <c r="O22" s="120"/>
      <c r="P22" s="120">
        <f>'2011 полн'!BD16</f>
        <v>484.90700000000004</v>
      </c>
      <c r="Q22" s="120">
        <f t="shared" si="0"/>
        <v>47679.310999999994</v>
      </c>
      <c r="R22" s="118">
        <f>'2011 полн'!BF16</f>
        <v>-10042.084999999994</v>
      </c>
      <c r="S22" s="118">
        <f>'2011 полн'!BG16</f>
        <v>-4023.8799999999974</v>
      </c>
      <c r="T22" s="106">
        <f t="shared" si="1"/>
        <v>-633.55</v>
      </c>
    </row>
    <row r="23" spans="1:20" ht="13.5" hidden="1" thickBot="1">
      <c r="A23" s="53" t="s">
        <v>40</v>
      </c>
      <c r="B23" s="19">
        <f>'2011 полн'!B17</f>
        <v>4793.3</v>
      </c>
      <c r="C23" s="9">
        <f>'2011 полн'!C17</f>
        <v>40982.715000000004</v>
      </c>
      <c r="D23" s="10">
        <f>'2011 полн'!D17</f>
        <v>174.22</v>
      </c>
      <c r="E23" s="114">
        <f>'2011 полн'!U17</f>
        <v>40758.14</v>
      </c>
      <c r="F23" s="114">
        <f>'2011 полн'!V17</f>
        <v>0</v>
      </c>
      <c r="G23" s="119">
        <f>'2011 полн'!AF17</f>
        <v>37588.310000000005</v>
      </c>
      <c r="H23" s="119">
        <f>'2011 полн'!AG17</f>
        <v>37762.530000000006</v>
      </c>
      <c r="I23" s="119">
        <f>'2011 полн'!AJ17</f>
        <v>747.546</v>
      </c>
      <c r="J23" s="119">
        <f>'2011 полн'!AK17</f>
        <v>3211.5110000000004</v>
      </c>
      <c r="K23" s="114">
        <f>'2011 полн'!AL17</f>
        <v>958.6600000000001</v>
      </c>
      <c r="L23" s="114">
        <f>'2011 полн'!AM17+'2011 полн'!AN17+'2011 полн'!AO17+'2011 полн'!AP17+'2011 полн'!AQ17+'2011 полн'!AR17+'2011 полн'!AS17+'2011 полн'!AT17+'2011 полн'!AX17+'2011 полн'!AY17</f>
        <v>28261.812999999995</v>
      </c>
      <c r="M23" s="115">
        <f>'2011 полн'!AU17+'2011 полн'!AV17+'2011 полн'!AW17</f>
        <v>1623</v>
      </c>
      <c r="N23" s="115">
        <f>'2011 полн'!AY17</f>
        <v>0</v>
      </c>
      <c r="O23" s="120"/>
      <c r="P23" s="120">
        <f>'2011 полн'!BD17</f>
        <v>484.90700000000004</v>
      </c>
      <c r="Q23" s="120">
        <f t="shared" si="0"/>
        <v>34539.890999999996</v>
      </c>
      <c r="R23" s="118">
        <f>'2011 полн'!BF17</f>
        <v>3970.1850000000104</v>
      </c>
      <c r="S23" s="118">
        <f>'2011 полн'!BG17</f>
        <v>-3169.8299999999945</v>
      </c>
      <c r="T23" s="106">
        <f t="shared" si="1"/>
        <v>-633.55</v>
      </c>
    </row>
    <row r="24" spans="1:20" ht="13.5" hidden="1" thickBot="1">
      <c r="A24" s="53" t="s">
        <v>41</v>
      </c>
      <c r="B24" s="19">
        <f>'2011 полн'!B18</f>
        <v>4793.3</v>
      </c>
      <c r="C24" s="9">
        <f>'2011 полн'!C18</f>
        <v>40982.715000000004</v>
      </c>
      <c r="D24" s="10">
        <f>'2011 полн'!D18</f>
        <v>174.22</v>
      </c>
      <c r="E24" s="114">
        <f>'2011 полн'!U18</f>
        <v>41578.05</v>
      </c>
      <c r="F24" s="114">
        <f>'2011 полн'!V18</f>
        <v>0</v>
      </c>
      <c r="G24" s="119">
        <f>'2011 полн'!AF18</f>
        <v>32690.010000000002</v>
      </c>
      <c r="H24" s="119">
        <f>'2011 полн'!AG18</f>
        <v>32864.23</v>
      </c>
      <c r="I24" s="119">
        <f>'2011 полн'!AJ18</f>
        <v>747.546</v>
      </c>
      <c r="J24" s="119">
        <f>'2011 полн'!AK18</f>
        <v>3211.5110000000004</v>
      </c>
      <c r="K24" s="114">
        <f>'2011 полн'!AL18</f>
        <v>958.6600000000001</v>
      </c>
      <c r="L24" s="114">
        <f>'2011 полн'!AM18+'2011 полн'!AN18+'2011 полн'!AO18+'2011 полн'!AP18+'2011 полн'!AQ18+'2011 полн'!AR18+'2011 полн'!AS18+'2011 полн'!AT18+'2011 полн'!AX18+'2011 полн'!AY18</f>
        <v>29016.642999999996</v>
      </c>
      <c r="M24" s="115">
        <f>'2011 полн'!AU18+'2011 полн'!AV18+'2011 полн'!AW18</f>
        <v>4181</v>
      </c>
      <c r="N24" s="115">
        <f>'2011 полн'!AY18</f>
        <v>0</v>
      </c>
      <c r="O24" s="120"/>
      <c r="P24" s="120">
        <f>'2011 полн'!BD18</f>
        <v>484.90700000000004</v>
      </c>
      <c r="Q24" s="120">
        <f t="shared" si="0"/>
        <v>37852.721</v>
      </c>
      <c r="R24" s="118">
        <f>'2011 полн'!BF18</f>
        <v>-4240.944999999994</v>
      </c>
      <c r="S24" s="118">
        <f>'2011 полн'!BG18</f>
        <v>-8888.04</v>
      </c>
      <c r="T24" s="106">
        <f t="shared" si="1"/>
        <v>-633.55</v>
      </c>
    </row>
    <row r="25" spans="1:20" ht="13.5" hidden="1" thickBot="1">
      <c r="A25" s="53" t="s">
        <v>31</v>
      </c>
      <c r="B25" s="19">
        <f>'2011 полн'!B19</f>
        <v>4793.3</v>
      </c>
      <c r="C25" s="9">
        <f>'2011 полн'!C19</f>
        <v>40982.715000000004</v>
      </c>
      <c r="D25" s="10">
        <f>'2011 полн'!D19</f>
        <v>174.22</v>
      </c>
      <c r="E25" s="114">
        <f>'2011 полн'!U19</f>
        <v>41596.170000000006</v>
      </c>
      <c r="F25" s="114">
        <f>'2011 полн'!V19</f>
        <v>0</v>
      </c>
      <c r="G25" s="119">
        <f>'2011 полн'!AF19</f>
        <v>45505.54</v>
      </c>
      <c r="H25" s="119">
        <f>'2011 полн'!AG19</f>
        <v>45679.76</v>
      </c>
      <c r="I25" s="119">
        <f>'2011 полн'!AJ19</f>
        <v>747.546</v>
      </c>
      <c r="J25" s="119">
        <f>'2011 полн'!AK19</f>
        <v>3211.5110000000004</v>
      </c>
      <c r="K25" s="114">
        <f>'2011 полн'!AL19</f>
        <v>958.6600000000001</v>
      </c>
      <c r="L25" s="114">
        <f>'2011 полн'!AM19+'2011 полн'!AN19+'2011 полн'!AO19+'2011 полн'!AP19+'2011 полн'!AQ19+'2011 полн'!AR19+'2011 полн'!AS19+'2011 полн'!AT19+'2011 полн'!AX19+'2011 полн'!AY19</f>
        <v>38978.507999999994</v>
      </c>
      <c r="M25" s="115">
        <f>'2011 полн'!AU19+'2011 полн'!AV19+'2011 полн'!AW19</f>
        <v>8004</v>
      </c>
      <c r="N25" s="115">
        <f>'2011 полн'!AY19</f>
        <v>0</v>
      </c>
      <c r="O25" s="120"/>
      <c r="P25" s="120">
        <f>'2011 полн'!BD19</f>
        <v>484.90700000000004</v>
      </c>
      <c r="Q25" s="120">
        <f t="shared" si="0"/>
        <v>51637.585999999996</v>
      </c>
      <c r="R25" s="118">
        <f>'2011 полн'!BF19</f>
        <v>-5210.279999999993</v>
      </c>
      <c r="S25" s="118">
        <f>'2011 полн'!BG19</f>
        <v>3909.3699999999953</v>
      </c>
      <c r="T25" s="106">
        <f t="shared" si="1"/>
        <v>-633.55</v>
      </c>
    </row>
    <row r="26" spans="1:20" ht="13.5" hidden="1" thickBot="1">
      <c r="A26" s="53" t="s">
        <v>32</v>
      </c>
      <c r="B26" s="19">
        <f>'2011 полн'!B20</f>
        <v>4793.3</v>
      </c>
      <c r="C26" s="9">
        <f>'2011 полн'!C20</f>
        <v>40982.715000000004</v>
      </c>
      <c r="D26" s="10">
        <f>'2011 полн'!D20</f>
        <v>174.22</v>
      </c>
      <c r="E26" s="114">
        <f>'2011 полн'!U20</f>
        <v>41598.71</v>
      </c>
      <c r="F26" s="114">
        <f>'2011 полн'!V20</f>
        <v>0</v>
      </c>
      <c r="G26" s="119">
        <f>'2011 полн'!AF20</f>
        <v>39471.22</v>
      </c>
      <c r="H26" s="119">
        <f>'2011 полн'!AG20</f>
        <v>39645.44</v>
      </c>
      <c r="I26" s="119">
        <f>'2011 полн'!AJ20</f>
        <v>747.546</v>
      </c>
      <c r="J26" s="119">
        <f>'2011 полн'!AK20</f>
        <v>3211.5110000000004</v>
      </c>
      <c r="K26" s="114">
        <f>'2011 полн'!AL20</f>
        <v>958.6600000000001</v>
      </c>
      <c r="L26" s="114">
        <f>'2011 полн'!AM20+'2011 полн'!AN20+'2011 полн'!AO20+'2011 полн'!AP20+'2011 полн'!AQ20+'2011 полн'!AR20+'2011 полн'!AS20+'2011 полн'!AT20+'2011 полн'!AX20+'2011 полн'!AY20</f>
        <v>34180.187999999995</v>
      </c>
      <c r="M26" s="115">
        <f>'2011 полн'!AU20+'2011 полн'!AV20+'2011 полн'!AW20</f>
        <v>263</v>
      </c>
      <c r="N26" s="115">
        <f>'2011 полн'!AY20</f>
        <v>0</v>
      </c>
      <c r="O26" s="120"/>
      <c r="P26" s="120">
        <f>'2011 полн'!BD20</f>
        <v>484.90700000000004</v>
      </c>
      <c r="Q26" s="120">
        <f t="shared" si="0"/>
        <v>39098.265999999996</v>
      </c>
      <c r="R26" s="118">
        <f>'2011 полн'!BF20</f>
        <v>1294.7200000000064</v>
      </c>
      <c r="S26" s="118">
        <f>'2011 полн'!BG20</f>
        <v>-2127.489999999998</v>
      </c>
      <c r="T26" s="106">
        <f t="shared" si="1"/>
        <v>-633.55</v>
      </c>
    </row>
    <row r="27" spans="1:20" ht="13.5" hidden="1" thickBot="1">
      <c r="A27" s="145" t="s">
        <v>106</v>
      </c>
      <c r="B27" s="214">
        <f>'2011 полн'!B21</f>
        <v>4793.3</v>
      </c>
      <c r="C27" s="146">
        <f>'2011 полн'!C21</f>
        <v>40982.715000000004</v>
      </c>
      <c r="D27" s="215">
        <f>'2011 полн'!D21</f>
        <v>174.22</v>
      </c>
      <c r="E27" s="216">
        <f>'2011 полн'!U21</f>
        <v>41566.55</v>
      </c>
      <c r="F27" s="216">
        <f>'2011 полн'!V21</f>
        <v>0</v>
      </c>
      <c r="G27" s="217">
        <f>'2011 полн'!AF21</f>
        <v>49449.11</v>
      </c>
      <c r="H27" s="217">
        <f>'2011 полн'!AG21</f>
        <v>49623.33</v>
      </c>
      <c r="I27" s="217">
        <f>'2011 полн'!AJ21</f>
        <v>747.546</v>
      </c>
      <c r="J27" s="217">
        <f>'2011 полн'!AK21</f>
        <v>3211.5110000000004</v>
      </c>
      <c r="K27" s="216">
        <f>'2011 полн'!AL21</f>
        <v>958.6600000000001</v>
      </c>
      <c r="L27" s="216">
        <f>'2011 полн'!AM21+'2011 полн'!AN21+'2011 полн'!AO21+'2011 полн'!AP21+'2011 полн'!AQ21+'2011 полн'!AR21+'2011 полн'!AS21+'2011 полн'!AT21+'2011 полн'!AX21+'2011 полн'!AY21</f>
        <v>34762.10799999999</v>
      </c>
      <c r="M27" s="218">
        <f>'2011 полн'!AU21+'2011 полн'!AV21+'2011 полн'!AW21</f>
        <v>1656</v>
      </c>
      <c r="N27" s="218">
        <f>'2011 полн'!AY21</f>
        <v>0</v>
      </c>
      <c r="O27" s="219"/>
      <c r="P27" s="219">
        <f>'2011 полн'!BD21</f>
        <v>484.90700000000004</v>
      </c>
      <c r="Q27" s="219">
        <f t="shared" si="0"/>
        <v>41073.185999999994</v>
      </c>
      <c r="R27" s="220">
        <f>'2011 полн'!BF21</f>
        <v>9297.690000000008</v>
      </c>
      <c r="S27" s="220">
        <f>'2011 полн'!BG21</f>
        <v>7882.559999999998</v>
      </c>
      <c r="T27" s="106">
        <f t="shared" si="1"/>
        <v>-633.55</v>
      </c>
    </row>
    <row r="28" spans="1:21" s="3" customFormat="1" ht="13.5" hidden="1" thickBot="1">
      <c r="A28" s="11" t="s">
        <v>4</v>
      </c>
      <c r="B28" s="147"/>
      <c r="C28" s="151">
        <f aca="true" t="shared" si="2" ref="C28:R28">SUM(C16:C27)</f>
        <v>491792.58000000013</v>
      </c>
      <c r="D28" s="151">
        <f t="shared" si="2"/>
        <v>2126.85</v>
      </c>
      <c r="E28" s="151">
        <f t="shared" si="2"/>
        <v>492392.98</v>
      </c>
      <c r="F28" s="151">
        <f t="shared" si="2"/>
        <v>0</v>
      </c>
      <c r="G28" s="151">
        <f t="shared" si="2"/>
        <v>460205.03099999996</v>
      </c>
      <c r="H28" s="151">
        <f t="shared" si="2"/>
        <v>462331.88100000005</v>
      </c>
      <c r="I28" s="151">
        <f t="shared" si="2"/>
        <v>8970.552000000001</v>
      </c>
      <c r="J28" s="151">
        <f t="shared" si="2"/>
        <v>38538.132</v>
      </c>
      <c r="K28" s="151">
        <f t="shared" si="2"/>
        <v>11503.92</v>
      </c>
      <c r="L28" s="151">
        <f t="shared" si="2"/>
        <v>381782.78599999996</v>
      </c>
      <c r="M28" s="151">
        <f t="shared" si="2"/>
        <v>58185</v>
      </c>
      <c r="N28" s="151">
        <f t="shared" si="2"/>
        <v>0</v>
      </c>
      <c r="O28" s="151">
        <f t="shared" si="2"/>
        <v>0</v>
      </c>
      <c r="P28" s="151">
        <f t="shared" si="2"/>
        <v>5818.884000000001</v>
      </c>
      <c r="Q28" s="151">
        <f t="shared" si="2"/>
        <v>495828.722</v>
      </c>
      <c r="R28" s="151">
        <f t="shared" si="2"/>
        <v>-24526.288999999895</v>
      </c>
      <c r="S28" s="151">
        <f>SUM(S16:S27)</f>
        <v>-32187.949000000008</v>
      </c>
      <c r="T28" s="230">
        <f>SUM(T16:T27)</f>
        <v>-7602.600000000001</v>
      </c>
      <c r="U28" s="94"/>
    </row>
    <row r="29" spans="1:20" ht="13.5" hidden="1" thickBot="1">
      <c r="A29" s="314" t="s">
        <v>64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105"/>
      <c r="R29" s="106"/>
      <c r="S29" s="106"/>
      <c r="T29" s="106"/>
    </row>
    <row r="30" spans="1:21" s="3" customFormat="1" ht="13.5" thickBot="1">
      <c r="A30" s="107" t="s">
        <v>90</v>
      </c>
      <c r="B30" s="108"/>
      <c r="C30" s="14">
        <f aca="true" t="shared" si="3" ref="C30:S30">C28+C14</f>
        <v>1611157.94</v>
      </c>
      <c r="D30" s="14">
        <f t="shared" si="3"/>
        <v>239457.88268680012</v>
      </c>
      <c r="E30" s="14">
        <f t="shared" si="3"/>
        <v>1357977.13</v>
      </c>
      <c r="F30" s="14">
        <f t="shared" si="3"/>
        <v>108420.78</v>
      </c>
      <c r="G30" s="14">
        <f t="shared" si="3"/>
        <v>1246606.821</v>
      </c>
      <c r="H30" s="14">
        <f t="shared" si="3"/>
        <v>1594485.4836868003</v>
      </c>
      <c r="I30" s="14">
        <f t="shared" si="3"/>
        <v>20830.403879999998</v>
      </c>
      <c r="J30" s="14">
        <f t="shared" si="3"/>
        <v>115031.96399999999</v>
      </c>
      <c r="K30" s="14">
        <f t="shared" si="3"/>
        <v>37135.5952916</v>
      </c>
      <c r="L30" s="14">
        <f t="shared" si="3"/>
        <v>952979.4956743751</v>
      </c>
      <c r="M30" s="14">
        <f t="shared" si="3"/>
        <v>505569.1016</v>
      </c>
      <c r="N30" s="14">
        <f t="shared" si="3"/>
        <v>0</v>
      </c>
      <c r="O30" s="14">
        <f t="shared" si="3"/>
        <v>0</v>
      </c>
      <c r="P30" s="14">
        <f t="shared" si="3"/>
        <v>11356.907344233401</v>
      </c>
      <c r="Q30" s="14">
        <f t="shared" si="3"/>
        <v>1622073.0639102086</v>
      </c>
      <c r="R30" s="14">
        <f t="shared" si="3"/>
        <v>-6757.176343408373</v>
      </c>
      <c r="S30" s="14">
        <f t="shared" si="3"/>
        <v>-111370.309</v>
      </c>
      <c r="T30" s="231">
        <f>T28+T14</f>
        <v>-7602.600000000001</v>
      </c>
      <c r="U30" s="94"/>
    </row>
    <row r="31" spans="1:21" ht="13.5" thickBot="1">
      <c r="A31" s="2" t="s">
        <v>130</v>
      </c>
      <c r="B31" s="110"/>
      <c r="C31" s="12"/>
      <c r="D31" s="13"/>
      <c r="E31" s="111"/>
      <c r="F31" s="112"/>
      <c r="G31" s="113"/>
      <c r="H31" s="112"/>
      <c r="I31" s="132"/>
      <c r="J31" s="113"/>
      <c r="K31" s="114"/>
      <c r="L31" s="114"/>
      <c r="M31" s="115"/>
      <c r="N31" s="20"/>
      <c r="O31" s="116"/>
      <c r="P31" s="116"/>
      <c r="Q31" s="117"/>
      <c r="R31" s="118"/>
      <c r="S31" s="118"/>
      <c r="T31" s="106"/>
      <c r="U31" s="39"/>
    </row>
    <row r="32" spans="1:21" ht="13.5" thickBot="1">
      <c r="A32" s="53" t="s">
        <v>33</v>
      </c>
      <c r="B32" s="19">
        <f>'2012 полн '!B26</f>
        <v>4793.3</v>
      </c>
      <c r="C32" s="9">
        <f>'2012 полн '!C26</f>
        <v>40982.715000000004</v>
      </c>
      <c r="D32" s="10">
        <f>'2012 полн '!D26</f>
        <v>174.216</v>
      </c>
      <c r="E32" s="114">
        <f>'2012 полн '!U26</f>
        <v>41557.200000000004</v>
      </c>
      <c r="F32" s="114">
        <f>'2012 полн '!V26</f>
        <v>0</v>
      </c>
      <c r="G32" s="119">
        <f>'2012 полн '!AF26</f>
        <v>32705.82</v>
      </c>
      <c r="H32" s="119">
        <f>'2012 полн '!AG26</f>
        <v>32880.036</v>
      </c>
      <c r="I32" s="119">
        <f>'2012 полн '!AJ26</f>
        <v>924.6850000000001</v>
      </c>
      <c r="J32" s="119">
        <f>'2012 полн '!AK26</f>
        <v>3211.5110000000004</v>
      </c>
      <c r="K32" s="114">
        <f>'2012 полн '!AL26</f>
        <v>958.6600000000001</v>
      </c>
      <c r="L32" s="114">
        <f>'2012 полн '!AM26+'2012 полн '!AN26+'2012 полн '!AO26+'2012 полн '!AP26+'2012 полн '!AQ26+'2012 полн '!AR26+'2012 полн '!AS26+'2012 полн '!AT26</f>
        <v>33644.10799999999</v>
      </c>
      <c r="M32" s="115">
        <f>'2012 полн '!AU26+'2012 полн '!AV26+'2012 полн '!AW26+'2012 полн '!AX26</f>
        <v>1497</v>
      </c>
      <c r="N32" s="115">
        <f>'2011 полн'!AY26</f>
        <v>0</v>
      </c>
      <c r="O32" s="120"/>
      <c r="P32" s="120">
        <f>'2012 полн '!BD26</f>
        <v>484.90700000000004</v>
      </c>
      <c r="Q32" s="120">
        <f>J32+K32+L32+M32+P32</f>
        <v>39796.185999999994</v>
      </c>
      <c r="R32" s="118">
        <f>'2012 полн '!BF26</f>
        <v>-5991.464999999994</v>
      </c>
      <c r="S32" s="118">
        <f>'2012 полн '!BG26</f>
        <v>-8851.380000000005</v>
      </c>
      <c r="T32" s="106">
        <f>-633.55</f>
        <v>-633.55</v>
      </c>
      <c r="U32" s="39"/>
    </row>
    <row r="33" spans="1:21" ht="13.5" thickBot="1">
      <c r="A33" s="53" t="s">
        <v>34</v>
      </c>
      <c r="B33" s="19">
        <f>'2012 полн '!B27</f>
        <v>4793.3</v>
      </c>
      <c r="C33" s="9">
        <f>'2012 полн '!C27</f>
        <v>40982.715000000004</v>
      </c>
      <c r="D33" s="10">
        <f>'2012 полн '!D27</f>
        <v>174.216</v>
      </c>
      <c r="E33" s="114">
        <f>'2012 полн '!U27</f>
        <v>41548.079999999994</v>
      </c>
      <c r="F33" s="114">
        <f>'2012 полн '!V27</f>
        <v>0</v>
      </c>
      <c r="G33" s="119">
        <f>'2012 полн '!AF27</f>
        <v>42027.52</v>
      </c>
      <c r="H33" s="119">
        <f>'2012 полн '!AG27</f>
        <v>42201.736</v>
      </c>
      <c r="I33" s="119">
        <f>'2012 полн '!AJ27</f>
        <v>924.6850000000001</v>
      </c>
      <c r="J33" s="119">
        <f>'2012 полн '!AK27</f>
        <v>3211.5110000000004</v>
      </c>
      <c r="K33" s="114">
        <f>'2012 полн '!AL27</f>
        <v>958.6600000000001</v>
      </c>
      <c r="L33" s="114">
        <f>'2012 полн '!AM27+'2012 полн '!AN27+'2012 полн '!AO27+'2012 полн '!AP27+'2012 полн '!AQ27+'2012 полн '!AR27+'2012 полн '!AS27+'2012 полн '!AT27</f>
        <v>33644.10799999999</v>
      </c>
      <c r="M33" s="115">
        <f>'2012 полн '!AU27+'2012 полн '!AV27+'2012 полн '!AW27+'2012 полн '!AX27</f>
        <v>12038</v>
      </c>
      <c r="N33" s="115">
        <f>'2011 полн'!AY27</f>
        <v>0</v>
      </c>
      <c r="O33" s="120"/>
      <c r="P33" s="120">
        <f>'2012 полн '!BD27</f>
        <v>484.90700000000004</v>
      </c>
      <c r="Q33" s="120">
        <f aca="true" t="shared" si="4" ref="Q33:Q43">J33+K33+L33+M33+P33</f>
        <v>50337.185999999994</v>
      </c>
      <c r="R33" s="118">
        <f>'2012 полн '!BF27</f>
        <v>-7210.764999999997</v>
      </c>
      <c r="S33" s="118">
        <f>'2012 полн '!BG27</f>
        <v>479.4400000000023</v>
      </c>
      <c r="T33" s="106">
        <f aca="true" t="shared" si="5" ref="T33:T43">-633.55</f>
        <v>-633.55</v>
      </c>
      <c r="U33" s="39"/>
    </row>
    <row r="34" spans="1:21" ht="13.5" thickBot="1">
      <c r="A34" s="53" t="s">
        <v>35</v>
      </c>
      <c r="B34" s="19">
        <f>'2012 полн '!B28</f>
        <v>4793.3</v>
      </c>
      <c r="C34" s="9">
        <f>'2012 полн '!C28</f>
        <v>40982.715000000004</v>
      </c>
      <c r="D34" s="10">
        <f>'2012 полн '!D28</f>
        <v>174.216</v>
      </c>
      <c r="E34" s="114">
        <f>'2012 полн '!U28</f>
        <v>41559.4</v>
      </c>
      <c r="F34" s="114">
        <f>'2012 полн '!V28</f>
        <v>0</v>
      </c>
      <c r="G34" s="119">
        <f>'2012 полн '!AF28</f>
        <v>34359.61</v>
      </c>
      <c r="H34" s="119">
        <f>'2012 полн '!AG28</f>
        <v>34533.826</v>
      </c>
      <c r="I34" s="119">
        <f>'2012 полн '!AJ28</f>
        <v>924.6850000000001</v>
      </c>
      <c r="J34" s="119">
        <f>'2012 полн '!AK28</f>
        <v>3211.5110000000004</v>
      </c>
      <c r="K34" s="114">
        <f>'2012 полн '!AL28</f>
        <v>958.6600000000001</v>
      </c>
      <c r="L34" s="114">
        <f>'2012 полн '!AM28+'2012 полн '!AN28+'2012 полн '!AO28+'2012 полн '!AP28+'2012 полн '!AQ28+'2012 полн '!AR28+'2012 полн '!AS28+'2012 полн '!AT28</f>
        <v>33644.10799999999</v>
      </c>
      <c r="M34" s="115">
        <f>'2012 полн '!AU28+'2012 полн '!AV28+'2012 полн '!AW28+'2012 полн '!AX28</f>
        <v>3314.62</v>
      </c>
      <c r="N34" s="115">
        <f>'2011 полн'!AY28</f>
        <v>0</v>
      </c>
      <c r="O34" s="120"/>
      <c r="P34" s="120">
        <f>'2012 полн '!BD28</f>
        <v>484.90700000000004</v>
      </c>
      <c r="Q34" s="120">
        <f t="shared" si="4"/>
        <v>41613.806</v>
      </c>
      <c r="R34" s="118">
        <f>'2012 полн '!BF28</f>
        <v>-6155.294999999988</v>
      </c>
      <c r="S34" s="118">
        <f>'2012 полн '!BG28</f>
        <v>-7199.790000000001</v>
      </c>
      <c r="T34" s="106">
        <f t="shared" si="5"/>
        <v>-633.55</v>
      </c>
      <c r="U34" s="39"/>
    </row>
    <row r="35" spans="1:21" ht="13.5" thickBot="1">
      <c r="A35" s="53" t="s">
        <v>36</v>
      </c>
      <c r="B35" s="19">
        <f>'2012 полн '!B29</f>
        <v>4793.3</v>
      </c>
      <c r="C35" s="9">
        <f>'2012 полн '!C29</f>
        <v>40982.715000000004</v>
      </c>
      <c r="D35" s="10">
        <f>'2012 полн '!D29</f>
        <v>174.216</v>
      </c>
      <c r="E35" s="114">
        <f>'2012 полн '!U29</f>
        <v>41555.82</v>
      </c>
      <c r="F35" s="114">
        <f>'2012 полн '!V29</f>
        <v>0</v>
      </c>
      <c r="G35" s="119">
        <f>'2012 полн '!AF29</f>
        <v>37300.11</v>
      </c>
      <c r="H35" s="119">
        <f>'2012 полн '!AG29</f>
        <v>37474.326</v>
      </c>
      <c r="I35" s="119">
        <f>'2012 полн '!AJ29</f>
        <v>924.6850000000001</v>
      </c>
      <c r="J35" s="119">
        <f>'2012 полн '!AK29</f>
        <v>3211.5110000000004</v>
      </c>
      <c r="K35" s="114">
        <f>'2012 полн '!AL29</f>
        <v>958.6600000000001</v>
      </c>
      <c r="L35" s="114">
        <f>'2012 полн '!AM29+'2012 полн '!AN29+'2012 полн '!AO29+'2012 полн '!AP29+'2012 полн '!AQ29+'2012 полн '!AR29+'2012 полн '!AS29+'2012 полн '!AT29</f>
        <v>28131.812999999995</v>
      </c>
      <c r="M35" s="115">
        <f>'2012 полн '!AU29+'2012 полн '!AV29+'2012 полн '!AW29+'2012 полн '!AX29</f>
        <v>29365.8</v>
      </c>
      <c r="N35" s="115">
        <f>'2011 полн'!AY29</f>
        <v>0</v>
      </c>
      <c r="O35" s="120"/>
      <c r="P35" s="120">
        <f>'2012 полн '!BD29</f>
        <v>484.90700000000004</v>
      </c>
      <c r="Q35" s="120">
        <f t="shared" si="4"/>
        <v>62152.691</v>
      </c>
      <c r="R35" s="118">
        <f>'2012 полн '!BF29</f>
        <v>-23753.679999999997</v>
      </c>
      <c r="S35" s="118">
        <f>'2012 полн '!BG29</f>
        <v>-4255.709999999999</v>
      </c>
      <c r="T35" s="106">
        <f t="shared" si="5"/>
        <v>-633.55</v>
      </c>
      <c r="U35" s="39"/>
    </row>
    <row r="36" spans="1:21" ht="13.5" thickBot="1">
      <c r="A36" s="53" t="s">
        <v>37</v>
      </c>
      <c r="B36" s="19">
        <f>'2012 полн '!B30</f>
        <v>4793.3</v>
      </c>
      <c r="C36" s="9">
        <f>'2012 полн '!C30</f>
        <v>40982.715000000004</v>
      </c>
      <c r="D36" s="10">
        <f>'2012 полн '!D30</f>
        <v>174.216</v>
      </c>
      <c r="E36" s="114">
        <f>'2012 полн '!U30</f>
        <v>41579.21</v>
      </c>
      <c r="F36" s="114">
        <f>'2012 полн '!V30</f>
        <v>0</v>
      </c>
      <c r="G36" s="119">
        <f>'2012 полн '!AF30</f>
        <v>41140.979999999996</v>
      </c>
      <c r="H36" s="119">
        <f>'2012 полн '!AG30</f>
        <v>41315.195999999996</v>
      </c>
      <c r="I36" s="119">
        <f>'2012 полн '!AJ30</f>
        <v>924.6850000000001</v>
      </c>
      <c r="J36" s="119">
        <f>'2012 полн '!AK30</f>
        <v>3211.5110000000004</v>
      </c>
      <c r="K36" s="114">
        <f>'2012 полн '!AL30</f>
        <v>958.6600000000001</v>
      </c>
      <c r="L36" s="114">
        <f>'2012 полн '!AM30+'2012 полн '!AN30+'2012 полн '!AO30+'2012 полн '!AP30+'2012 полн '!AQ30+'2012 полн '!AR30+'2012 полн '!AS30+'2012 полн '!AT30</f>
        <v>28131.812999999995</v>
      </c>
      <c r="M36" s="115">
        <f>'2012 полн '!AU30+'2012 полн '!AV30+'2012 полн '!AW30+'2012 полн '!AX30</f>
        <v>21575.43</v>
      </c>
      <c r="N36" s="115">
        <f>'2011 полн'!AY30</f>
        <v>0</v>
      </c>
      <c r="O36" s="120"/>
      <c r="P36" s="120">
        <f>'2012 полн '!BD30</f>
        <v>484.90700000000004</v>
      </c>
      <c r="Q36" s="120">
        <f t="shared" si="4"/>
        <v>54362.320999999996</v>
      </c>
      <c r="R36" s="118">
        <f>'2012 полн '!BF30</f>
        <v>-12122.44</v>
      </c>
      <c r="S36" s="118">
        <f>'2012 полн '!BG30</f>
        <v>-438.2300000000032</v>
      </c>
      <c r="T36" s="106">
        <f t="shared" si="5"/>
        <v>-633.55</v>
      </c>
      <c r="U36" s="39"/>
    </row>
    <row r="37" spans="1:21" ht="13.5" thickBot="1">
      <c r="A37" s="53" t="s">
        <v>38</v>
      </c>
      <c r="B37" s="19">
        <f>'2012 полн '!B31</f>
        <v>4793.3</v>
      </c>
      <c r="C37" s="9">
        <f>'2012 полн '!C31</f>
        <v>40982.715000000004</v>
      </c>
      <c r="D37" s="10">
        <f>'2012 полн '!D31</f>
        <v>174.216</v>
      </c>
      <c r="E37" s="114">
        <f>'2012 полн '!U31</f>
        <v>41684.619999999995</v>
      </c>
      <c r="F37" s="114">
        <f>'2012 полн '!V31</f>
        <v>0</v>
      </c>
      <c r="G37" s="119">
        <f>'2012 полн '!AF31</f>
        <v>36859.17</v>
      </c>
      <c r="H37" s="119">
        <f>'2012 полн '!AG31</f>
        <v>37033.386</v>
      </c>
      <c r="I37" s="119">
        <f>'2012 полн '!AJ31</f>
        <v>924.6850000000001</v>
      </c>
      <c r="J37" s="119">
        <f>'2012 полн '!AK31</f>
        <v>3211.5110000000004</v>
      </c>
      <c r="K37" s="114">
        <f>'2012 полн '!AL31</f>
        <v>958.6600000000001</v>
      </c>
      <c r="L37" s="114">
        <f>'2012 полн '!AM31+'2012 полн '!AN31+'2012 полн '!AO31+'2012 полн '!AP31+'2012 полн '!AQ31+'2012 полн '!AR31+'2012 полн '!AS31+'2012 полн '!AT31</f>
        <v>28131.812999999995</v>
      </c>
      <c r="M37" s="115">
        <f>'2012 полн '!AU31+'2012 полн '!AV31+'2012 полн '!AW31+'2012 полн '!AX31</f>
        <v>36573.08</v>
      </c>
      <c r="N37" s="115">
        <f>'2011 полн'!AY31</f>
        <v>0</v>
      </c>
      <c r="O37" s="120"/>
      <c r="P37" s="120">
        <f>'2012 полн '!BD31</f>
        <v>484.90700000000004</v>
      </c>
      <c r="Q37" s="120">
        <f t="shared" si="4"/>
        <v>69359.971</v>
      </c>
      <c r="R37" s="118">
        <f>'2012 полн '!BF31</f>
        <v>-31401.900000000005</v>
      </c>
      <c r="S37" s="118">
        <f>'2012 полн '!BG31</f>
        <v>-4825.449999999997</v>
      </c>
      <c r="T37" s="106">
        <f t="shared" si="5"/>
        <v>-633.55</v>
      </c>
      <c r="U37" s="39"/>
    </row>
    <row r="38" spans="1:20" ht="13.5" thickBot="1">
      <c r="A38" s="53" t="s">
        <v>39</v>
      </c>
      <c r="B38" s="19">
        <f>'2012 полн '!B32</f>
        <v>4793.3</v>
      </c>
      <c r="C38" s="9">
        <f>'2012 полн '!C32</f>
        <v>45584.283</v>
      </c>
      <c r="D38" s="10">
        <f>'2012 полн '!D32</f>
        <v>233.14200000000002</v>
      </c>
      <c r="E38" s="114">
        <f>'2012 полн '!U32</f>
        <v>46423.29</v>
      </c>
      <c r="F38" s="114">
        <f>'2012 полн '!V32</f>
        <v>0</v>
      </c>
      <c r="G38" s="119">
        <f>'2012 полн '!AF32</f>
        <v>38231.18</v>
      </c>
      <c r="H38" s="119">
        <f>'2012 полн '!AG32</f>
        <v>38464.322</v>
      </c>
      <c r="I38" s="119">
        <f>'2012 полн '!AJ32</f>
        <v>924.6850000000001</v>
      </c>
      <c r="J38" s="119">
        <f>'2012 полн '!AK32</f>
        <v>3594.9750000000004</v>
      </c>
      <c r="K38" s="114">
        <f>'2012 полн '!AL32</f>
        <v>958.6600000000001</v>
      </c>
      <c r="L38" s="114">
        <f>'2012 полн '!AM32+'2012 полн '!AN32+'2012 полн '!AO32+'2012 полн '!AP32+'2012 полн '!AQ32+'2012 полн '!AR32+'2012 полн '!AS32+'2012 полн '!AT32</f>
        <v>28131.812999999995</v>
      </c>
      <c r="M38" s="115">
        <f>'2012 полн '!AU32+'2012 полн '!AV32+'2012 полн '!AW32+'2012 полн '!AX32</f>
        <v>18341.65</v>
      </c>
      <c r="N38" s="115">
        <f>'2011 полн'!AY32</f>
        <v>0</v>
      </c>
      <c r="O38" s="120"/>
      <c r="P38" s="120">
        <f>'2012 полн '!BD32</f>
        <v>484.90700000000004</v>
      </c>
      <c r="Q38" s="120">
        <f t="shared" si="4"/>
        <v>51512.005</v>
      </c>
      <c r="R38" s="118">
        <f>'2012 полн '!BF32</f>
        <v>-12122.997999999998</v>
      </c>
      <c r="S38" s="118">
        <f>'2012 полн '!BG32</f>
        <v>-8192.11</v>
      </c>
      <c r="T38" s="106">
        <f t="shared" si="5"/>
        <v>-633.55</v>
      </c>
    </row>
    <row r="39" spans="1:20" ht="13.5" thickBot="1">
      <c r="A39" s="53" t="s">
        <v>40</v>
      </c>
      <c r="B39" s="19">
        <f>'2012 полн '!B33</f>
        <v>4793.3</v>
      </c>
      <c r="C39" s="9">
        <f>'2012 полн '!C33</f>
        <v>45584.283</v>
      </c>
      <c r="D39" s="10">
        <f>'2012 полн '!D33</f>
        <v>0</v>
      </c>
      <c r="E39" s="114">
        <f>'2012 полн '!U33</f>
        <v>46459.38</v>
      </c>
      <c r="F39" s="114">
        <f>'2012 полн '!V33</f>
        <v>0</v>
      </c>
      <c r="G39" s="119">
        <f>'2012 полн '!AF33</f>
        <v>49213.78</v>
      </c>
      <c r="H39" s="119">
        <f>'2012 полн '!AG33</f>
        <v>49213.78</v>
      </c>
      <c r="I39" s="119">
        <f>'2012 полн '!AJ33</f>
        <v>1524.685</v>
      </c>
      <c r="J39" s="119">
        <f>'2012 полн '!AK33</f>
        <v>3594.9750000000004</v>
      </c>
      <c r="K39" s="114">
        <f>'2012 полн '!AL33</f>
        <v>958.6600000000001</v>
      </c>
      <c r="L39" s="114">
        <f>'2012 полн '!AM33+'2012 полн '!AN33+'2012 полн '!AO33+'2012 полн '!AP33+'2012 полн '!AQ33+'2012 полн '!AR33+'2012 полн '!AS33+'2012 полн '!AT33</f>
        <v>28131.812999999995</v>
      </c>
      <c r="M39" s="115">
        <f>'2012 полн '!AU33+'2012 полн '!AV33+'2012 полн '!AW33+'2012 полн '!AX33</f>
        <v>27942.45</v>
      </c>
      <c r="N39" s="115">
        <f>'2011 полн'!AY33</f>
        <v>0</v>
      </c>
      <c r="O39" s="120"/>
      <c r="P39" s="120">
        <f>'2012 полн '!BD33</f>
        <v>634.907</v>
      </c>
      <c r="Q39" s="120">
        <f t="shared" si="4"/>
        <v>61262.805</v>
      </c>
      <c r="R39" s="118">
        <f>'2012 полн '!BF33</f>
        <v>-10524.340000000002</v>
      </c>
      <c r="S39" s="118">
        <f>'2012 полн '!BG33</f>
        <v>2754.4000000000015</v>
      </c>
      <c r="T39" s="106">
        <f t="shared" si="5"/>
        <v>-633.55</v>
      </c>
    </row>
    <row r="40" spans="1:20" ht="13.5" thickBot="1">
      <c r="A40" s="53" t="s">
        <v>41</v>
      </c>
      <c r="B40" s="19">
        <f>'2012 полн '!B34</f>
        <v>4793.3</v>
      </c>
      <c r="C40" s="9">
        <f>'2012 полн '!C34</f>
        <v>45584.283</v>
      </c>
      <c r="D40" s="10">
        <f>'2012 полн '!D34</f>
        <v>0</v>
      </c>
      <c r="E40" s="114">
        <f>'2012 полн '!U34</f>
        <v>46507.31</v>
      </c>
      <c r="F40" s="114">
        <f>'2012 полн '!V34</f>
        <v>0</v>
      </c>
      <c r="G40" s="119">
        <f>'2012 полн '!AF34</f>
        <v>39605.530000000006</v>
      </c>
      <c r="H40" s="119">
        <f>'2012 полн '!AG34</f>
        <v>39605.530000000006</v>
      </c>
      <c r="I40" s="119">
        <f>'2012 полн '!AJ34</f>
        <v>1124.685</v>
      </c>
      <c r="J40" s="119">
        <f>'2012 полн '!AK34</f>
        <v>3594.9750000000004</v>
      </c>
      <c r="K40" s="114">
        <f>'2012 полн '!AL34</f>
        <v>958.6600000000001</v>
      </c>
      <c r="L40" s="114">
        <f>'2012 полн '!AM34+'2012 полн '!AN34+'2012 полн '!AO34+'2012 полн '!AP34+'2012 полн '!AQ34+'2012 полн '!AR34+'2012 полн '!AS34+'2012 полн '!AT34</f>
        <v>28131.812999999995</v>
      </c>
      <c r="M40" s="115">
        <f>'2012 полн '!AU34+'2012 полн '!AV34+'2012 полн '!AW34+'2012 полн '!AX34</f>
        <v>8151</v>
      </c>
      <c r="N40" s="115">
        <f>'2011 полн'!AY34</f>
        <v>0</v>
      </c>
      <c r="O40" s="120"/>
      <c r="P40" s="120">
        <f>'2012 полн '!BD34</f>
        <v>534.907</v>
      </c>
      <c r="Q40" s="120">
        <f t="shared" si="4"/>
        <v>41371.354999999996</v>
      </c>
      <c r="R40" s="118">
        <f>'2012 полн '!BF34</f>
        <v>-641.1399999999899</v>
      </c>
      <c r="S40" s="118">
        <f>'2012 полн '!BG34</f>
        <v>-6901.779999999992</v>
      </c>
      <c r="T40" s="106">
        <f t="shared" si="5"/>
        <v>-633.55</v>
      </c>
    </row>
    <row r="41" spans="1:20" ht="13.5" thickBot="1">
      <c r="A41" s="53" t="s">
        <v>31</v>
      </c>
      <c r="B41" s="19">
        <f>'2012 полн '!B35</f>
        <v>4793.5</v>
      </c>
      <c r="C41" s="9">
        <f>'2012 полн '!C35</f>
        <v>45586.185</v>
      </c>
      <c r="D41" s="10">
        <f>'2012 полн '!D35</f>
        <v>0</v>
      </c>
      <c r="E41" s="114">
        <f>'2012 полн '!U35</f>
        <v>46545.58</v>
      </c>
      <c r="F41" s="114">
        <f>'2012 полн '!V35</f>
        <v>0</v>
      </c>
      <c r="G41" s="119">
        <f>'2012 полн '!AF35</f>
        <v>61514.51</v>
      </c>
      <c r="H41" s="119">
        <f>'2012 полн '!AG35</f>
        <v>61514.51</v>
      </c>
      <c r="I41" s="119">
        <f>'2012 полн '!AJ35</f>
        <v>1124.685</v>
      </c>
      <c r="J41" s="119">
        <f>'2012 полн '!AK35</f>
        <v>3595.125</v>
      </c>
      <c r="K41" s="114">
        <f>'2012 полн '!AL35</f>
        <v>958.7</v>
      </c>
      <c r="L41" s="114">
        <f>'2012 полн '!AM35+'2012 полн '!AN35+'2012 полн '!AO35+'2012 полн '!AP35+'2012 полн '!AQ35+'2012 полн '!AR35+'2012 полн '!AS35+'2012 полн '!AT35</f>
        <v>33645.49</v>
      </c>
      <c r="M41" s="115">
        <f>'2012 полн '!AU35+'2012 полн '!AV35+'2012 полн '!AW35+'2012 полн '!AX35</f>
        <v>627.2</v>
      </c>
      <c r="N41" s="115">
        <f>'2011 полн'!AY35</f>
        <v>0</v>
      </c>
      <c r="O41" s="120"/>
      <c r="P41" s="120">
        <f>'2012 полн '!BD35</f>
        <v>534.907</v>
      </c>
      <c r="Q41" s="120">
        <f t="shared" si="4"/>
        <v>39361.42199999999</v>
      </c>
      <c r="R41" s="118">
        <f>'2012 полн '!BF35</f>
        <v>23277.773000000005</v>
      </c>
      <c r="S41" s="118">
        <f>'2012 полн '!BG35</f>
        <v>14968.93</v>
      </c>
      <c r="T41" s="106">
        <f t="shared" si="5"/>
        <v>-633.55</v>
      </c>
    </row>
    <row r="42" spans="1:20" ht="13.5" thickBot="1">
      <c r="A42" s="53" t="s">
        <v>32</v>
      </c>
      <c r="B42" s="19">
        <f>'2012 полн '!B36</f>
        <v>4793.5</v>
      </c>
      <c r="C42" s="9">
        <f>'2012 полн '!C36</f>
        <v>45586.185</v>
      </c>
      <c r="D42" s="10">
        <f>'2012 полн '!D36</f>
        <v>0</v>
      </c>
      <c r="E42" s="114">
        <f>'2012 полн '!U36</f>
        <v>46528.71</v>
      </c>
      <c r="F42" s="114">
        <f>'2012 полн '!V36</f>
        <v>0</v>
      </c>
      <c r="G42" s="119">
        <f>'2012 полн '!AF36</f>
        <v>38310.74</v>
      </c>
      <c r="H42" s="119">
        <f>'2012 полн '!AG36</f>
        <v>38310.74</v>
      </c>
      <c r="I42" s="119">
        <f>'2012 полн '!AJ36</f>
        <v>1124.685</v>
      </c>
      <c r="J42" s="119">
        <f>'2012 полн '!AK36</f>
        <v>3595.125</v>
      </c>
      <c r="K42" s="114">
        <f>'2012 полн '!AL36</f>
        <v>958.7</v>
      </c>
      <c r="L42" s="114">
        <f>'2012 полн '!AM36+'2012 полн '!AN36+'2012 полн '!AO36+'2012 полн '!AP36+'2012 полн '!AQ36+'2012 полн '!AR36+'2012 полн '!AS36+'2012 полн '!AT36</f>
        <v>33645.49</v>
      </c>
      <c r="M42" s="115">
        <f>'2012 полн '!AU36+'2012 полн '!AV36+'2012 полн '!AW36+'2012 полн '!AX36</f>
        <v>351</v>
      </c>
      <c r="N42" s="115">
        <f>'2011 полн'!AY36</f>
        <v>0</v>
      </c>
      <c r="O42" s="120"/>
      <c r="P42" s="120">
        <f>'2012 полн '!BD36</f>
        <v>534.907</v>
      </c>
      <c r="Q42" s="120">
        <f t="shared" si="4"/>
        <v>39085.221999999994</v>
      </c>
      <c r="R42" s="118">
        <f>'2012 полн '!BF36</f>
        <v>350.20299999999634</v>
      </c>
      <c r="S42" s="118">
        <f>'2012 полн '!BG36</f>
        <v>-8217.970000000001</v>
      </c>
      <c r="T42" s="106">
        <f t="shared" si="5"/>
        <v>-633.55</v>
      </c>
    </row>
    <row r="43" spans="1:20" ht="13.5" thickBot="1">
      <c r="A43" s="145" t="s">
        <v>106</v>
      </c>
      <c r="B43" s="19">
        <f>'2012 полн '!B37</f>
        <v>4796.92</v>
      </c>
      <c r="C43" s="9">
        <f>'2012 полн '!C37</f>
        <v>45618.7092</v>
      </c>
      <c r="D43" s="10">
        <f>'2012 полн '!D37</f>
        <v>0</v>
      </c>
      <c r="E43" s="114">
        <f>'2012 полн '!U37</f>
        <v>46513.2</v>
      </c>
      <c r="F43" s="114">
        <f>'2012 полн '!V37</f>
        <v>0</v>
      </c>
      <c r="G43" s="119">
        <f>'2012 полн '!AF37</f>
        <v>53550.99</v>
      </c>
      <c r="H43" s="119">
        <f>'2012 полн '!AG37</f>
        <v>53550.99</v>
      </c>
      <c r="I43" s="119">
        <f>'2012 полн '!AJ37</f>
        <v>1124.685</v>
      </c>
      <c r="J43" s="119">
        <f>'2012 полн '!AK37</f>
        <v>3597.69</v>
      </c>
      <c r="K43" s="114">
        <f>'2012 полн '!AL37</f>
        <v>959.384</v>
      </c>
      <c r="L43" s="114">
        <f>'2012 полн '!AM37+'2012 полн '!AN37+'2012 полн '!AO37+'2012 полн '!AP37+'2012 полн '!AQ37+'2012 полн '!AR37+'2012 полн '!AS37+'2012 полн '!AT37</f>
        <v>33669.1222</v>
      </c>
      <c r="M43" s="115">
        <f>'2012 полн '!AU37+'2012 полн '!AV37+'2012 полн '!AW37+'2012 полн '!AX37</f>
        <v>165.01999999999998</v>
      </c>
      <c r="N43" s="115">
        <f>'2011 полн'!AY37</f>
        <v>0</v>
      </c>
      <c r="O43" s="120"/>
      <c r="P43" s="120">
        <f>'2012 полн '!BD37</f>
        <v>534.907</v>
      </c>
      <c r="Q43" s="120">
        <f t="shared" si="4"/>
        <v>38926.123199999995</v>
      </c>
      <c r="R43" s="118">
        <f>'2012 полн '!BF37</f>
        <v>15749.551800000003</v>
      </c>
      <c r="S43" s="118">
        <f>'2012 полн '!BG37</f>
        <v>7037.790000000001</v>
      </c>
      <c r="T43" s="106">
        <f t="shared" si="5"/>
        <v>-633.55</v>
      </c>
    </row>
    <row r="44" spans="1:21" s="3" customFormat="1" ht="13.5" thickBot="1">
      <c r="A44" s="11" t="s">
        <v>4</v>
      </c>
      <c r="B44" s="147"/>
      <c r="C44" s="151">
        <f aca="true" t="shared" si="6" ref="C44:R44">SUM(C32:C43)</f>
        <v>519440.2182</v>
      </c>
      <c r="D44" s="151">
        <f t="shared" si="6"/>
        <v>1278.438</v>
      </c>
      <c r="E44" s="151">
        <f t="shared" si="6"/>
        <v>528461.8</v>
      </c>
      <c r="F44" s="151">
        <f t="shared" si="6"/>
        <v>0</v>
      </c>
      <c r="G44" s="151">
        <f t="shared" si="6"/>
        <v>504819.93999999994</v>
      </c>
      <c r="H44" s="151">
        <f t="shared" si="6"/>
        <v>506098.378</v>
      </c>
      <c r="I44" s="151">
        <f t="shared" si="6"/>
        <v>12496.22</v>
      </c>
      <c r="J44" s="151">
        <f t="shared" si="6"/>
        <v>40841.931000000004</v>
      </c>
      <c r="K44" s="151">
        <f t="shared" si="6"/>
        <v>11504.724000000002</v>
      </c>
      <c r="L44" s="151">
        <f t="shared" si="6"/>
        <v>370683.3041999999</v>
      </c>
      <c r="M44" s="151">
        <f t="shared" si="6"/>
        <v>159942.25000000003</v>
      </c>
      <c r="N44" s="151">
        <f t="shared" si="6"/>
        <v>0</v>
      </c>
      <c r="O44" s="151">
        <f t="shared" si="6"/>
        <v>0</v>
      </c>
      <c r="P44" s="151">
        <f t="shared" si="6"/>
        <v>6168.884000000001</v>
      </c>
      <c r="Q44" s="151">
        <f t="shared" si="6"/>
        <v>589141.0931999999</v>
      </c>
      <c r="R44" s="151">
        <f t="shared" si="6"/>
        <v>-70546.49519999996</v>
      </c>
      <c r="S44" s="151">
        <f>SUM(S32:S43)</f>
        <v>-23641.859999999993</v>
      </c>
      <c r="T44" s="230">
        <f>SUM(T32:T43)</f>
        <v>-7602.600000000001</v>
      </c>
      <c r="U44" s="94"/>
    </row>
    <row r="45" spans="1:20" ht="13.5" thickBot="1">
      <c r="A45" s="314" t="s">
        <v>64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105"/>
      <c r="R45" s="106"/>
      <c r="S45" s="106"/>
      <c r="T45" s="106"/>
    </row>
    <row r="46" spans="1:21" s="3" customFormat="1" ht="13.5" thickBot="1">
      <c r="A46" s="107" t="s">
        <v>90</v>
      </c>
      <c r="B46" s="108"/>
      <c r="C46" s="14">
        <f aca="true" t="shared" si="7" ref="C46:S46">C44+C30</f>
        <v>2130598.1582</v>
      </c>
      <c r="D46" s="14">
        <f t="shared" si="7"/>
        <v>240736.3206868001</v>
      </c>
      <c r="E46" s="14">
        <f t="shared" si="7"/>
        <v>1886438.93</v>
      </c>
      <c r="F46" s="14">
        <f t="shared" si="7"/>
        <v>108420.78</v>
      </c>
      <c r="G46" s="14">
        <f t="shared" si="7"/>
        <v>1751426.761</v>
      </c>
      <c r="H46" s="14">
        <f t="shared" si="7"/>
        <v>2100583.8616868006</v>
      </c>
      <c r="I46" s="14">
        <f t="shared" si="7"/>
        <v>33326.62388</v>
      </c>
      <c r="J46" s="14">
        <f t="shared" si="7"/>
        <v>155873.895</v>
      </c>
      <c r="K46" s="14">
        <f t="shared" si="7"/>
        <v>48640.319291600004</v>
      </c>
      <c r="L46" s="14">
        <f t="shared" si="7"/>
        <v>1323662.799874375</v>
      </c>
      <c r="M46" s="14">
        <f t="shared" si="7"/>
        <v>665511.3516</v>
      </c>
      <c r="N46" s="14">
        <f t="shared" si="7"/>
        <v>0</v>
      </c>
      <c r="O46" s="14">
        <f t="shared" si="7"/>
        <v>0</v>
      </c>
      <c r="P46" s="14">
        <f t="shared" si="7"/>
        <v>17525.791344233403</v>
      </c>
      <c r="Q46" s="14">
        <f t="shared" si="7"/>
        <v>2211214.1571102086</v>
      </c>
      <c r="R46" s="14">
        <f>R44+R30</f>
        <v>-77303.67154340833</v>
      </c>
      <c r="S46" s="14">
        <f t="shared" si="7"/>
        <v>-135012.169</v>
      </c>
      <c r="T46" s="231">
        <f>T44+T30</f>
        <v>-15205.200000000003</v>
      </c>
      <c r="U46" s="94"/>
    </row>
    <row r="47" ht="9" customHeight="1"/>
    <row r="48" spans="1:4" ht="12.75">
      <c r="A48" s="3" t="s">
        <v>54</v>
      </c>
      <c r="D48" s="21" t="s">
        <v>131</v>
      </c>
    </row>
    <row r="49" spans="1:4" ht="12.75">
      <c r="A49" s="51" t="s">
        <v>55</v>
      </c>
      <c r="B49" s="51" t="s">
        <v>56</v>
      </c>
      <c r="C49" s="401" t="s">
        <v>57</v>
      </c>
      <c r="D49" s="402"/>
    </row>
    <row r="50" spans="1:4" ht="12.75">
      <c r="A50" s="22">
        <v>567428.97</v>
      </c>
      <c r="B50" s="213">
        <v>335462.77</v>
      </c>
      <c r="C50" s="121">
        <f>A50-B50</f>
        <v>231966.19999999995</v>
      </c>
      <c r="D50" s="122"/>
    </row>
    <row r="51" ht="12.75">
      <c r="A51" s="15"/>
    </row>
    <row r="52" spans="1:7" ht="12.75">
      <c r="A52" s="37" t="s">
        <v>58</v>
      </c>
      <c r="G52" s="37" t="s">
        <v>59</v>
      </c>
    </row>
    <row r="53" ht="12.75">
      <c r="A53" s="39"/>
    </row>
    <row r="54" ht="12.75">
      <c r="A54" s="39"/>
    </row>
    <row r="55" ht="12.75">
      <c r="A55" s="37" t="s">
        <v>96</v>
      </c>
    </row>
    <row r="56" ht="12.75">
      <c r="A56" s="37" t="s">
        <v>97</v>
      </c>
    </row>
  </sheetData>
  <sheetProtection/>
  <mergeCells count="31">
    <mergeCell ref="A45:P45"/>
    <mergeCell ref="B1:H1"/>
    <mergeCell ref="B2:H2"/>
    <mergeCell ref="A5:P5"/>
    <mergeCell ref="A6:G6"/>
    <mergeCell ref="A7:D7"/>
    <mergeCell ref="E7:F7"/>
    <mergeCell ref="A8:A11"/>
    <mergeCell ref="B8:B11"/>
    <mergeCell ref="C8:C11"/>
    <mergeCell ref="D8:D11"/>
    <mergeCell ref="E8:F9"/>
    <mergeCell ref="G8:H9"/>
    <mergeCell ref="R8:R11"/>
    <mergeCell ref="S8:S11"/>
    <mergeCell ref="E10:F10"/>
    <mergeCell ref="H10:H11"/>
    <mergeCell ref="J10:J11"/>
    <mergeCell ref="K10:K11"/>
    <mergeCell ref="L10:L11"/>
    <mergeCell ref="M10:M11"/>
    <mergeCell ref="C49:D49"/>
    <mergeCell ref="T8:T11"/>
    <mergeCell ref="N10:N11"/>
    <mergeCell ref="O10:O11"/>
    <mergeCell ref="P10:P11"/>
    <mergeCell ref="Q10:Q11"/>
    <mergeCell ref="A13:P13"/>
    <mergeCell ref="A29:P29"/>
    <mergeCell ref="I8:I11"/>
    <mergeCell ref="J8:Q9"/>
  </mergeCells>
  <printOptions/>
  <pageMargins left="0.2362204724409449" right="0.1968503937007874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2012-11-15T07:39:22Z</cp:lastPrinted>
  <dcterms:created xsi:type="dcterms:W3CDTF">2010-04-03T04:08:20Z</dcterms:created>
  <dcterms:modified xsi:type="dcterms:W3CDTF">2013-05-14T02:37:47Z</dcterms:modified>
  <cp:category/>
  <cp:version/>
  <cp:contentType/>
  <cp:contentStatus/>
</cp:coreProperties>
</file>