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<sst xmlns="http://schemas.openxmlformats.org/spreadsheetml/2006/main" count="335" uniqueCount="130">
  <si>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</si>
  <si>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</si>
  <si>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</si>
  <si>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</si>
  <si>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</si>
  <si>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</si>
  <si>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</si>
  <si>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</si>
  <si>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</si>
  <si>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</si>
  <si>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</si>
  <si>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</si>
  <si>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</si>
  <si>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</si>
  <si>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</si>
  <si>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</si>
  <si>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</si>
  <si>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</si>
  <si>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</si>
  <si>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</si>
  <si>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</si>
  <si>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</si>
  <si>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</si>
  <si>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</si>
  <si>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</si>
  <si>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</si>
  <si>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</si>
  <si>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</si>
  <si>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</si>
  <si>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</si>
  <si>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</si>
  <si>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</si>
  <si>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</si>
  <si>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</si>
  <si>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</si>
  <si>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</si>
  <si>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</si>
  <si>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</si>
  <si>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</si>
  <si>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</si>
  <si>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</si>
  <si>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</si>
  <si>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</si>
  <si>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</si>
  <si>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</si>
  <si>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</si>
  <si>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</si>
  <si>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</si>
  <si>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</si>
  <si>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</si>
  <si>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</si>
  <si>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</si>
  <si>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</si>
  <si>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</si>
  <si>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</si>
  <si>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</si>
  <si>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</si>
  <si>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</si>
  <si>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</si>
  <si>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</si>
  <si>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</si>
  <si>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</si>
  <si>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</si>
  <si>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</si>
  <si>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</si>
  <si>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</si>
  <si>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</si>
  <si>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</si>
  <si>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</si>
  <si>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</si>
  <si>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</si>
  <si>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</si>
  <si>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</si>
  <si>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</si>
  <si>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</si>
  <si>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</si>
  <si>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Лицевой счет по адресу г. Таштагол, ул. Ленина, д. 74</t>
  </si>
  <si>
    <t>Выписка по лицевому счету по адресу г. Таштагол, ул. Ленина, д. 74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</si>
  <si>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</si>
  <si>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</si>
  <si>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</si>
  <si>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</si>
  <si>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</si>
  <si>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</si>
  <si>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</si>
  <si>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</si>
  <si>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</si>
  <si>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</si>
  <si>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</si>
  <si>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</si>
  <si>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</si>
  <si>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</si>
  <si>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</si>
  <si>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на 01.01.2011 г.</t>
  </si>
  <si>
    <t>Исп. Ю.С. Дмитриева</t>
  </si>
  <si>
    <t>на начало отчетного периода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</si>
  <si>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</si>
  <si>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</si>
  <si>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</si>
  <si>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</si>
  <si>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</si>
  <si>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</si>
  <si>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</si>
  <si>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</si>
  <si>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</si>
  <si>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</si>
  <si>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</si>
  <si>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</si>
  <si>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</si>
  <si>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</si>
  <si>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</si>
  <si>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</si>
  <si>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</si>
  <si>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</si>
  <si>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</si>
  <si>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</si>
  <si>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</si>
  <si>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</si>
  <si>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Собрано квартплаты от населения</t>
  </si>
  <si>
    <t>Доходы по нежилым помещениям</t>
  </si>
  <si>
    <t>Услуга начисления</t>
  </si>
  <si>
    <t>Расходы по нежилым помещениям</t>
  </si>
  <si>
    <t>Собрано по содержанию и тек.рем.</t>
  </si>
  <si>
    <t>Исп. В.В. Колмогорова</t>
  </si>
  <si>
    <t>Выписка по лицевому счету по адресу г. Таштагол ул. Ленина, д. 74</t>
  </si>
  <si>
    <t>2012 год</t>
  </si>
  <si>
    <t>Лицевой счет по адресу г. Таштагол, ул. Ленина, д.74</t>
  </si>
  <si>
    <t>на 01.01.2013 г.</t>
  </si>
  <si>
    <t>*по состоянию на 01.04.2013 г.</t>
  </si>
  <si>
    <t>Тариф по содержанию и тек.ремонту 100 % (9,51руб.*площадь)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</si>
</sst>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4" fontId="2" fillId="0" borderId="32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4" fontId="2" fillId="0" borderId="35" xfId="34" applyNumberFormat="1" applyFont="1" applyFill="1" applyBorder="1" applyAlignment="1">
      <alignment horizontal="right" vertical="center" wrapText="1"/>
      <protection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37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1" xfId="0" applyNumberFormat="1" applyFont="1" applyFill="1" applyBorder="1" applyAlignment="1">
      <alignment wrapText="1"/>
    </xf>
    <xf numFmtId="4" fontId="2" fillId="0" borderId="34" xfId="34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7" fillId="0" borderId="26" xfId="34" applyNumberFormat="1" applyFont="1" applyFill="1" applyBorder="1" applyAlignment="1">
      <alignment horizontal="right" vertical="center" wrapText="1"/>
      <protection/>
    </xf>
    <xf numFmtId="4" fontId="7" fillId="0" borderId="27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4" applyNumberFormat="1" applyFont="1" applyFill="1" applyBorder="1" applyAlignment="1">
      <alignment horizontal="right"/>
      <protection/>
    </xf>
    <xf numFmtId="4" fontId="7" fillId="0" borderId="37" xfId="34" applyNumberFormat="1" applyFont="1" applyFill="1" applyBorder="1" applyAlignment="1">
      <alignment horizontal="right" vertical="center" wrapText="1"/>
      <protection/>
    </xf>
    <xf numFmtId="4" fontId="7" fillId="0" borderId="36" xfId="34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right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7" fillId="33" borderId="26" xfId="34" applyNumberFormat="1" applyFont="1" applyFill="1" applyBorder="1" applyAlignment="1">
      <alignment horizontal="right" vertical="center" wrapText="1"/>
      <protection/>
    </xf>
    <xf numFmtId="4" fontId="1" fillId="33" borderId="26" xfId="0" applyNumberFormat="1" applyFont="1" applyFill="1" applyBorder="1" applyAlignment="1">
      <alignment horizontal="right" wrapText="1"/>
    </xf>
    <xf numFmtId="4" fontId="1" fillId="33" borderId="27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4" fontId="1" fillId="33" borderId="20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30" xfId="0" applyNumberFormat="1" applyFont="1" applyFill="1" applyBorder="1" applyAlignment="1">
      <alignment horizontal="right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27" xfId="0" applyNumberFormat="1" applyFont="1" applyFill="1" applyBorder="1" applyAlignment="1">
      <alignment horizontal="right" wrapText="1"/>
    </xf>
    <xf numFmtId="4" fontId="1" fillId="33" borderId="15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7" fillId="33" borderId="27" xfId="34" applyNumberFormat="1" applyFont="1" applyFill="1" applyBorder="1" applyAlignment="1">
      <alignment horizontal="right" vertical="center" wrapText="1"/>
      <protection/>
    </xf>
    <xf numFmtId="4" fontId="7" fillId="0" borderId="29" xfId="34" applyNumberFormat="1" applyFont="1" applyFill="1" applyBorder="1" applyAlignment="1">
      <alignment horizontal="right" vertical="center" wrapText="1"/>
      <protection/>
    </xf>
    <xf numFmtId="4" fontId="1" fillId="33" borderId="39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0" fillId="33" borderId="13" xfId="0" applyNumberFormat="1" applyFont="1" applyFill="1" applyBorder="1" applyAlignment="1">
      <alignment horizontal="right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" fontId="0" fillId="36" borderId="32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 horizontal="right"/>
    </xf>
    <xf numFmtId="4" fontId="1" fillId="35" borderId="25" xfId="0" applyNumberFormat="1" applyFont="1" applyFill="1" applyBorder="1" applyAlignment="1">
      <alignment wrapText="1"/>
    </xf>
    <xf numFmtId="4" fontId="1" fillId="33" borderId="25" xfId="0" applyNumberFormat="1" applyFont="1" applyFill="1" applyBorder="1" applyAlignment="1">
      <alignment wrapText="1"/>
    </xf>
    <xf numFmtId="4" fontId="1" fillId="0" borderId="27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30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6" borderId="4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36" borderId="10" xfId="0" applyNumberFormat="1" applyFont="1" applyFill="1" applyBorder="1" applyAlignment="1">
      <alignment horizontal="right"/>
    </xf>
    <xf numFmtId="4" fontId="0" fillId="0" borderId="44" xfId="0" applyNumberFormat="1" applyFont="1" applyFill="1" applyBorder="1" applyAlignment="1">
      <alignment horizontal="right"/>
    </xf>
    <xf numFmtId="4" fontId="0" fillId="36" borderId="45" xfId="0" applyNumberFormat="1" applyFont="1" applyFill="1" applyBorder="1" applyAlignment="1">
      <alignment horizontal="right"/>
    </xf>
    <xf numFmtId="4" fontId="0" fillId="36" borderId="17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/>
    </xf>
    <xf numFmtId="4" fontId="0" fillId="0" borderId="47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42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20" xfId="34" applyNumberFormat="1" applyFont="1" applyFill="1" applyBorder="1" applyAlignment="1">
      <alignment horizontal="center" vertical="center" wrapText="1"/>
      <protection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37" borderId="15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8" borderId="32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2" fillId="0" borderId="30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4" borderId="33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8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11" fillId="0" borderId="32" xfId="0" applyNumberFormat="1" applyFont="1" applyFill="1" applyBorder="1" applyAlignment="1">
      <alignment/>
    </xf>
    <xf numFmtId="4" fontId="2" fillId="39" borderId="11" xfId="34" applyNumberFormat="1" applyFont="1" applyFill="1" applyBorder="1" applyAlignment="1">
      <alignment horizontal="center" vertical="center" wrapText="1"/>
      <protection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8" borderId="32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1" fillId="33" borderId="48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5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2" fillId="34" borderId="32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11" fillId="33" borderId="11" xfId="0" applyNumberFormat="1" applyFont="1" applyFill="1" applyBorder="1" applyAlignment="1">
      <alignment/>
    </xf>
    <xf numFmtId="4" fontId="11" fillId="35" borderId="11" xfId="0" applyNumberFormat="1" applyFont="1" applyFill="1" applyBorder="1" applyAlignment="1">
      <alignment/>
    </xf>
    <xf numFmtId="4" fontId="11" fillId="38" borderId="3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4" fontId="0" fillId="0" borderId="46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52" xfId="0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37" borderId="33" xfId="0" applyNumberFormat="1" applyFont="1" applyFill="1" applyBorder="1" applyAlignment="1">
      <alignment horizontal="center"/>
    </xf>
    <xf numFmtId="4" fontId="0" fillId="0" borderId="5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37" borderId="33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1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37" borderId="33" xfId="0" applyFont="1" applyFill="1" applyBorder="1" applyAlignment="1">
      <alignment/>
    </xf>
    <xf numFmtId="0" fontId="12" fillId="0" borderId="20" xfId="0" applyFont="1" applyBorder="1" applyAlignment="1">
      <alignment wrapText="1"/>
    </xf>
    <xf numFmtId="2" fontId="11" fillId="34" borderId="13" xfId="0" applyNumberFormat="1" applyFont="1" applyFill="1" applyBorder="1" applyAlignment="1">
      <alignment horizontal="center"/>
    </xf>
    <xf numFmtId="0" fontId="2" fillId="0" borderId="46" xfId="0" applyFont="1" applyBorder="1" applyAlignment="1">
      <alignment wrapText="1"/>
    </xf>
    <xf numFmtId="0" fontId="2" fillId="37" borderId="15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1" fillId="33" borderId="11" xfId="0" applyFont="1" applyFill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7" borderId="15" xfId="0" applyFont="1" applyFill="1" applyBorder="1" applyAlignment="1">
      <alignment wrapText="1"/>
    </xf>
    <xf numFmtId="4" fontId="11" fillId="0" borderId="13" xfId="0" applyNumberFormat="1" applyFont="1" applyFill="1" applyBorder="1" applyAlignment="1">
      <alignment/>
    </xf>
    <xf numFmtId="4" fontId="2" fillId="34" borderId="53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32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4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4" fontId="1" fillId="0" borderId="5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48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0" fillId="0" borderId="3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5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32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 vertical="center" wrapText="1"/>
    </xf>
    <xf numFmtId="0" fontId="0" fillId="0" borderId="34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34" borderId="15" xfId="0" applyNumberFormat="1" applyFont="1" applyFill="1" applyBorder="1" applyAlignment="1">
      <alignment horizontal="center" wrapText="1"/>
    </xf>
    <xf numFmtId="0" fontId="1" fillId="36" borderId="48" xfId="0" applyFont="1" applyFill="1" applyBorder="1" applyAlignment="1">
      <alignment horizontal="center" vertical="center" wrapText="1"/>
    </xf>
    <xf numFmtId="0" fontId="1" fillId="36" borderId="40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59" xfId="0" applyNumberFormat="1" applyFont="1" applyFill="1" applyBorder="1" applyAlignment="1">
      <alignment horizontal="center" vertical="center" wrapText="1"/>
    </xf>
    <xf numFmtId="2" fontId="1" fillId="38" borderId="48" xfId="0" applyNumberFormat="1" applyFont="1" applyFill="1" applyBorder="1" applyAlignment="1">
      <alignment horizontal="center" vertical="center" wrapText="1"/>
    </xf>
    <xf numFmtId="2" fontId="1" fillId="38" borderId="40" xfId="0" applyNumberFormat="1" applyFont="1" applyFill="1" applyBorder="1" applyAlignment="1">
      <alignment horizontal="center" vertical="center" wrapText="1"/>
    </xf>
    <xf numFmtId="2" fontId="1" fillId="38" borderId="41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9" fillId="0" borderId="48" xfId="0" applyNumberFormat="1" applyFont="1" applyFill="1" applyBorder="1" applyAlignment="1">
      <alignment horizontal="center" vertical="center" wrapText="1"/>
    </xf>
    <xf numFmtId="2" fontId="9" fillId="0" borderId="41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2" fontId="8" fillId="34" borderId="48" xfId="0" applyNumberFormat="1" applyFont="1" applyFill="1" applyBorder="1" applyAlignment="1">
      <alignment horizontal="center" vertical="center" wrapText="1"/>
    </xf>
    <xf numFmtId="2" fontId="8" fillId="34" borderId="40" xfId="0" applyNumberFormat="1" applyFont="1" applyFill="1" applyBorder="1" applyAlignment="1">
      <alignment horizontal="center" vertical="center" wrapText="1"/>
    </xf>
    <xf numFmtId="2" fontId="8" fillId="34" borderId="41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0" fontId="1" fillId="37" borderId="48" xfId="0" applyFont="1" applyFill="1" applyBorder="1" applyAlignment="1">
      <alignment horizontal="center" textRotation="90"/>
    </xf>
    <xf numFmtId="0" fontId="1" fillId="37" borderId="40" xfId="0" applyFont="1" applyFill="1" applyBorder="1" applyAlignment="1">
      <alignment horizontal="center" textRotation="90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62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34" borderId="48" xfId="0" applyNumberFormat="1" applyFont="1" applyFill="1" applyBorder="1" applyAlignment="1">
      <alignment horizontal="center" vertical="center" wrapText="1"/>
    </xf>
    <xf numFmtId="4" fontId="1" fillId="34" borderId="40" xfId="0" applyNumberFormat="1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textRotation="90"/>
    </xf>
    <xf numFmtId="0" fontId="1" fillId="0" borderId="42" xfId="0" applyFont="1" applyFill="1" applyBorder="1" applyAlignment="1">
      <alignment horizontal="center" textRotation="90"/>
    </xf>
    <xf numFmtId="0" fontId="1" fillId="0" borderId="48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2" fontId="1" fillId="35" borderId="21" xfId="0" applyNumberFormat="1" applyFont="1" applyFill="1" applyBorder="1" applyAlignment="1">
      <alignment horizontal="center" vertical="center" wrapText="1"/>
    </xf>
    <xf numFmtId="2" fontId="1" fillId="35" borderId="55" xfId="0" applyNumberFormat="1" applyFont="1" applyFill="1" applyBorder="1" applyAlignment="1">
      <alignment horizontal="center" vertical="center" wrapText="1"/>
    </xf>
    <xf numFmtId="2" fontId="1" fillId="35" borderId="48" xfId="0" applyNumberFormat="1" applyFont="1" applyFill="1" applyBorder="1" applyAlignment="1">
      <alignment horizontal="center" vertical="center" wrapText="1"/>
    </xf>
    <xf numFmtId="2" fontId="1" fillId="35" borderId="41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43" fontId="0" fillId="0" borderId="32" xfId="61" applyFont="1" applyFill="1" applyBorder="1" applyAlignment="1">
      <alignment horizontal="center"/>
    </xf>
    <xf numFmtId="43" fontId="0" fillId="0" borderId="20" xfId="6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22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35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2" fontId="1" fillId="33" borderId="32" xfId="0" applyNumberFormat="1" applyFont="1" applyFill="1" applyBorder="1" applyAlignment="1">
      <alignment horizontal="center" vertical="center" textRotation="90" wrapText="1"/>
    </xf>
    <xf numFmtId="2" fontId="1" fillId="33" borderId="35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61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71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75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76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0" fontId="1" fillId="36" borderId="61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textRotation="90"/>
    </xf>
    <xf numFmtId="0" fontId="1" fillId="0" borderId="62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2" fontId="8" fillId="0" borderId="48" xfId="0" applyNumberFormat="1" applyFont="1" applyFill="1" applyBorder="1" applyAlignment="1">
      <alignment horizontal="center" vertical="center" wrapText="1"/>
    </xf>
    <xf numFmtId="2" fontId="8" fillId="0" borderId="40" xfId="0" applyNumberFormat="1" applyFont="1" applyFill="1" applyBorder="1" applyAlignment="1">
      <alignment horizontal="center" vertical="center" wrapText="1"/>
    </xf>
    <xf numFmtId="2" fontId="8" fillId="0" borderId="4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0" fontId="1" fillId="36" borderId="60" xfId="0" applyFont="1" applyFill="1" applyBorder="1" applyAlignment="1">
      <alignment horizontal="center" vertical="center" wrapText="1"/>
    </xf>
    <xf numFmtId="0" fontId="1" fillId="36" borderId="67" xfId="0" applyFont="1" applyFill="1" applyBorder="1" applyAlignment="1">
      <alignment horizontal="center" vertical="center" wrapText="1"/>
    </xf>
    <xf numFmtId="0" fontId="1" fillId="36" borderId="63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textRotation="90"/>
    </xf>
    <xf numFmtId="2" fontId="1" fillId="0" borderId="5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2" fontId="1" fillId="0" borderId="57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38" xfId="0" applyNumberFormat="1" applyFont="1" applyFill="1" applyBorder="1" applyAlignment="1">
      <alignment horizontal="center" vertical="center" textRotation="90" wrapText="1"/>
    </xf>
    <xf numFmtId="2" fontId="1" fillId="0" borderId="41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4" fontId="2" fillId="34" borderId="53" xfId="0" applyNumberFormat="1" applyFont="1" applyFill="1" applyBorder="1" applyAlignment="1">
      <alignment horizontal="right" wrapText="1"/>
    </xf>
    <xf numFmtId="164" fontId="2" fillId="33" borderId="11" xfId="0" applyNumberFormat="1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32" xfId="0" applyFont="1" applyBorder="1" applyAlignment="1">
      <alignment wrapText="1"/>
    </xf>
    <xf numFmtId="4" fontId="2" fillId="37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4" fontId="0" fillId="40" borderId="15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76%20&#1089;%202012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1;&#1077;&#1085;&#1080;&#1085;&#1072;,%2084%20&#1089;%202011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2 полн"/>
      <sheetName val="2012 печать"/>
    </sheetNames>
    <sheetDataSet>
      <sheetData sheetId="0">
        <row r="44">
          <cell r="G44">
            <v>48001.80999999999</v>
          </cell>
          <cell r="H44">
            <v>7463.199999999999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  <sheetDataSet>
      <sheetData sheetId="1">
        <row r="44">
          <cell r="AD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Z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54">
          <cell r="I154">
            <v>100</v>
          </cell>
          <cell r="R154">
            <v>25</v>
          </cell>
        </row>
      </sheetData>
      <sheetData sheetId="1">
        <row r="155">
          <cell r="S155">
            <v>25</v>
          </cell>
        </row>
        <row r="156">
          <cell r="J156">
            <v>100</v>
          </cell>
        </row>
      </sheetData>
      <sheetData sheetId="2">
        <row r="156">
          <cell r="J156">
            <v>100</v>
          </cell>
          <cell r="S156">
            <v>25</v>
          </cell>
        </row>
      </sheetData>
      <sheetData sheetId="3">
        <row r="158">
          <cell r="S158">
            <v>25</v>
          </cell>
        </row>
      </sheetData>
      <sheetData sheetId="4">
        <row r="156">
          <cell r="J156">
            <v>100</v>
          </cell>
          <cell r="S156">
            <v>25</v>
          </cell>
        </row>
        <row r="202">
          <cell r="J202">
            <v>114</v>
          </cell>
          <cell r="S202">
            <v>28.5</v>
          </cell>
        </row>
      </sheetData>
      <sheetData sheetId="5">
        <row r="156">
          <cell r="J156">
            <v>100</v>
          </cell>
          <cell r="S156">
            <v>25</v>
          </cell>
        </row>
        <row r="202">
          <cell r="J202">
            <v>114</v>
          </cell>
          <cell r="S202">
            <v>28.5</v>
          </cell>
        </row>
      </sheetData>
      <sheetData sheetId="6">
        <row r="160">
          <cell r="J160">
            <v>100</v>
          </cell>
          <cell r="S160">
            <v>25</v>
          </cell>
        </row>
        <row r="206">
          <cell r="J206">
            <v>114</v>
          </cell>
          <cell r="S206">
            <v>28.5</v>
          </cell>
        </row>
      </sheetData>
      <sheetData sheetId="7">
        <row r="164">
          <cell r="J164">
            <v>100</v>
          </cell>
          <cell r="S164">
            <v>25</v>
          </cell>
        </row>
        <row r="210">
          <cell r="J210">
            <v>114</v>
          </cell>
          <cell r="S210">
            <v>28.5</v>
          </cell>
        </row>
      </sheetData>
      <sheetData sheetId="8">
        <row r="164">
          <cell r="J164">
            <v>100</v>
          </cell>
        </row>
        <row r="210">
          <cell r="J210">
            <v>114</v>
          </cell>
        </row>
      </sheetData>
      <sheetData sheetId="9">
        <row r="164">
          <cell r="J164">
            <v>100</v>
          </cell>
          <cell r="S164">
            <v>25</v>
          </cell>
        </row>
        <row r="210">
          <cell r="J210">
            <v>114</v>
          </cell>
          <cell r="S210">
            <v>28.5</v>
          </cell>
        </row>
      </sheetData>
      <sheetData sheetId="10">
        <row r="164">
          <cell r="J164">
            <v>100</v>
          </cell>
          <cell r="S164">
            <v>25</v>
          </cell>
        </row>
        <row r="210">
          <cell r="J210">
            <v>114</v>
          </cell>
          <cell r="S210">
            <v>28.5</v>
          </cell>
        </row>
      </sheetData>
      <sheetData sheetId="11">
        <row r="188">
          <cell r="J188">
            <v>100</v>
          </cell>
          <cell r="S188">
            <v>25</v>
          </cell>
        </row>
        <row r="234">
          <cell r="J234">
            <v>114</v>
          </cell>
          <cell r="S234">
            <v>28.5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58">
          <cell r="J158">
            <v>100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186">
          <cell r="J186">
            <v>100</v>
          </cell>
          <cell r="S186">
            <v>25</v>
          </cell>
        </row>
        <row r="232">
          <cell r="J232">
            <v>114</v>
          </cell>
          <cell r="S232">
            <v>28.5</v>
          </cell>
        </row>
      </sheetData>
      <sheetData sheetId="4">
        <row r="187">
          <cell r="J187">
            <v>100</v>
          </cell>
          <cell r="S187">
            <v>25</v>
          </cell>
        </row>
        <row r="239">
          <cell r="J239">
            <v>114</v>
          </cell>
          <cell r="S239">
            <v>28.5</v>
          </cell>
        </row>
      </sheetData>
      <sheetData sheetId="5">
        <row r="218">
          <cell r="J218">
            <v>100</v>
          </cell>
          <cell r="S218">
            <v>25</v>
          </cell>
        </row>
        <row r="270">
          <cell r="J270">
            <v>114</v>
          </cell>
          <cell r="S270">
            <v>28.5</v>
          </cell>
        </row>
      </sheetData>
      <sheetData sheetId="6">
        <row r="220">
          <cell r="J220">
            <v>100</v>
          </cell>
          <cell r="S220">
            <v>25</v>
          </cell>
        </row>
        <row r="272">
          <cell r="J272">
            <v>114</v>
          </cell>
          <cell r="S272">
            <v>28.5</v>
          </cell>
        </row>
      </sheetData>
      <sheetData sheetId="7">
        <row r="220">
          <cell r="J220">
            <v>100</v>
          </cell>
          <cell r="S220">
            <v>25</v>
          </cell>
        </row>
        <row r="272">
          <cell r="J272">
            <v>114</v>
          </cell>
          <cell r="S272">
            <v>28.5</v>
          </cell>
        </row>
      </sheetData>
      <sheetData sheetId="8">
        <row r="220">
          <cell r="J220">
            <v>100</v>
          </cell>
          <cell r="S220">
            <v>25</v>
          </cell>
        </row>
        <row r="272">
          <cell r="J272">
            <v>114</v>
          </cell>
          <cell r="S272">
            <v>28.5</v>
          </cell>
        </row>
      </sheetData>
      <sheetData sheetId="9">
        <row r="219">
          <cell r="J219">
            <v>100</v>
          </cell>
          <cell r="S219">
            <v>25</v>
          </cell>
        </row>
        <row r="271">
          <cell r="J271">
            <v>114</v>
          </cell>
          <cell r="S271">
            <v>28.5</v>
          </cell>
        </row>
      </sheetData>
      <sheetData sheetId="10">
        <row r="221">
          <cell r="J221">
            <v>100</v>
          </cell>
          <cell r="S221">
            <v>25</v>
          </cell>
        </row>
        <row r="273">
          <cell r="J273">
            <v>114</v>
          </cell>
          <cell r="S273">
            <v>28.5</v>
          </cell>
        </row>
      </sheetData>
      <sheetData sheetId="11">
        <row r="224">
          <cell r="J224">
            <v>100</v>
          </cell>
          <cell r="S224">
            <v>25</v>
          </cell>
        </row>
        <row r="276">
          <cell r="J276">
            <v>114</v>
          </cell>
          <cell r="S276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P1">
      <selection activeCell="AX44" sqref="AX44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10.75390625" style="2" customWidth="1"/>
    <col min="46" max="47" width="10.125" style="2" customWidth="1"/>
    <col min="48" max="48" width="10.375" style="2" customWidth="1"/>
    <col min="49" max="49" width="10.75390625" style="2" customWidth="1"/>
    <col min="50" max="50" width="14.00390625" style="2" customWidth="1"/>
    <col min="51" max="53" width="9.125" style="2" customWidth="1"/>
    <col min="54" max="54" width="10.25390625" style="2" customWidth="1"/>
    <col min="55" max="55" width="9.125" style="2" customWidth="1"/>
    <col min="56" max="56" width="11.00390625" style="2" customWidth="1"/>
    <col min="57" max="57" width="10.625" style="2" customWidth="1"/>
    <col min="58" max="58" width="10.25390625" style="2" customWidth="1"/>
    <col min="59" max="16384" width="9.125" style="2" customWidth="1"/>
  </cols>
  <sheetData>
    <row r="1" spans="1:18" ht="12.75">
      <c r="A1" s="379" t="s">
        <v>76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351" t="s">
        <v>78</v>
      </c>
      <c r="B3" s="381" t="s">
        <v>0</v>
      </c>
      <c r="C3" s="383" t="s">
        <v>1</v>
      </c>
      <c r="D3" s="385" t="s">
        <v>2</v>
      </c>
      <c r="E3" s="351" t="s">
        <v>11</v>
      </c>
      <c r="F3" s="374"/>
      <c r="G3" s="351" t="s">
        <v>12</v>
      </c>
      <c r="H3" s="352"/>
      <c r="I3" s="351" t="s">
        <v>13</v>
      </c>
      <c r="J3" s="352"/>
      <c r="K3" s="351" t="s">
        <v>14</v>
      </c>
      <c r="L3" s="352"/>
      <c r="M3" s="358" t="s">
        <v>15</v>
      </c>
      <c r="N3" s="352"/>
      <c r="O3" s="351" t="s">
        <v>16</v>
      </c>
      <c r="P3" s="352"/>
      <c r="Q3" s="351" t="s">
        <v>17</v>
      </c>
      <c r="R3" s="352"/>
      <c r="S3" s="351" t="s">
        <v>3</v>
      </c>
      <c r="T3" s="358"/>
      <c r="U3" s="360" t="s">
        <v>4</v>
      </c>
      <c r="V3" s="361"/>
      <c r="W3" s="361"/>
      <c r="X3" s="361"/>
      <c r="Y3" s="361"/>
      <c r="Z3" s="361"/>
      <c r="AA3" s="361"/>
      <c r="AB3" s="361"/>
      <c r="AC3" s="364" t="s">
        <v>79</v>
      </c>
      <c r="AD3" s="367" t="s">
        <v>6</v>
      </c>
      <c r="AE3" s="367" t="s">
        <v>7</v>
      </c>
      <c r="AF3" s="355" t="s">
        <v>80</v>
      </c>
      <c r="AG3" s="345" t="s">
        <v>8</v>
      </c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7"/>
      <c r="BC3" s="340" t="s">
        <v>81</v>
      </c>
      <c r="BD3" s="342"/>
      <c r="BE3" s="325" t="s">
        <v>9</v>
      </c>
      <c r="BF3" s="325" t="s">
        <v>10</v>
      </c>
    </row>
    <row r="4" spans="1:58" ht="36" customHeight="1" thickBot="1">
      <c r="A4" s="380"/>
      <c r="B4" s="382"/>
      <c r="C4" s="384"/>
      <c r="D4" s="386"/>
      <c r="E4" s="375"/>
      <c r="F4" s="376"/>
      <c r="G4" s="353"/>
      <c r="H4" s="354"/>
      <c r="I4" s="353"/>
      <c r="J4" s="354"/>
      <c r="K4" s="353"/>
      <c r="L4" s="354"/>
      <c r="M4" s="377"/>
      <c r="N4" s="378"/>
      <c r="O4" s="353"/>
      <c r="P4" s="354"/>
      <c r="Q4" s="353"/>
      <c r="R4" s="354"/>
      <c r="S4" s="353"/>
      <c r="T4" s="359"/>
      <c r="U4" s="362"/>
      <c r="V4" s="363"/>
      <c r="W4" s="363"/>
      <c r="X4" s="363"/>
      <c r="Y4" s="363"/>
      <c r="Z4" s="363"/>
      <c r="AA4" s="363"/>
      <c r="AB4" s="363"/>
      <c r="AC4" s="365"/>
      <c r="AD4" s="368"/>
      <c r="AE4" s="368"/>
      <c r="AF4" s="356"/>
      <c r="AG4" s="348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50"/>
      <c r="BC4" s="336" t="s">
        <v>82</v>
      </c>
      <c r="BD4" s="339" t="s">
        <v>83</v>
      </c>
      <c r="BE4" s="326"/>
      <c r="BF4" s="326"/>
    </row>
    <row r="5" spans="1:58" ht="29.25" customHeight="1" thickBot="1">
      <c r="A5" s="380"/>
      <c r="B5" s="382"/>
      <c r="C5" s="384"/>
      <c r="D5" s="386"/>
      <c r="E5" s="387" t="s">
        <v>18</v>
      </c>
      <c r="F5" s="389" t="s">
        <v>19</v>
      </c>
      <c r="G5" s="389" t="s">
        <v>18</v>
      </c>
      <c r="H5" s="389" t="s">
        <v>19</v>
      </c>
      <c r="I5" s="389" t="s">
        <v>18</v>
      </c>
      <c r="J5" s="389" t="s">
        <v>19</v>
      </c>
      <c r="K5" s="389" t="s">
        <v>18</v>
      </c>
      <c r="L5" s="389" t="s">
        <v>19</v>
      </c>
      <c r="M5" s="389" t="s">
        <v>18</v>
      </c>
      <c r="N5" s="389" t="s">
        <v>19</v>
      </c>
      <c r="O5" s="389" t="s">
        <v>18</v>
      </c>
      <c r="P5" s="389" t="s">
        <v>19</v>
      </c>
      <c r="Q5" s="389" t="s">
        <v>18</v>
      </c>
      <c r="R5" s="389" t="s">
        <v>19</v>
      </c>
      <c r="S5" s="389" t="s">
        <v>18</v>
      </c>
      <c r="T5" s="370" t="s">
        <v>19</v>
      </c>
      <c r="U5" s="372" t="s">
        <v>20</v>
      </c>
      <c r="V5" s="372" t="s">
        <v>21</v>
      </c>
      <c r="W5" s="372" t="s">
        <v>22</v>
      </c>
      <c r="X5" s="372" t="s">
        <v>23</v>
      </c>
      <c r="Y5" s="372" t="s">
        <v>24</v>
      </c>
      <c r="Z5" s="372" t="s">
        <v>25</v>
      </c>
      <c r="AA5" s="372" t="s">
        <v>26</v>
      </c>
      <c r="AB5" s="395" t="s">
        <v>27</v>
      </c>
      <c r="AC5" s="365"/>
      <c r="AD5" s="368"/>
      <c r="AE5" s="368"/>
      <c r="AF5" s="356"/>
      <c r="AG5" s="328" t="s">
        <v>28</v>
      </c>
      <c r="AH5" s="330" t="s">
        <v>29</v>
      </c>
      <c r="AI5" s="330" t="s">
        <v>30</v>
      </c>
      <c r="AJ5" s="332" t="s">
        <v>31</v>
      </c>
      <c r="AK5" s="330" t="s">
        <v>32</v>
      </c>
      <c r="AL5" s="332" t="s">
        <v>31</v>
      </c>
      <c r="AM5" s="332" t="s">
        <v>33</v>
      </c>
      <c r="AN5" s="332" t="s">
        <v>31</v>
      </c>
      <c r="AO5" s="332" t="s">
        <v>34</v>
      </c>
      <c r="AP5" s="332" t="s">
        <v>31</v>
      </c>
      <c r="AQ5" s="391" t="s">
        <v>84</v>
      </c>
      <c r="AR5" s="393" t="s">
        <v>31</v>
      </c>
      <c r="AS5" s="334" t="s">
        <v>85</v>
      </c>
      <c r="AT5" s="334" t="s">
        <v>86</v>
      </c>
      <c r="AU5" s="127" t="s">
        <v>31</v>
      </c>
      <c r="AV5" s="340" t="s">
        <v>87</v>
      </c>
      <c r="AW5" s="341"/>
      <c r="AX5" s="342"/>
      <c r="AY5" s="343" t="s">
        <v>17</v>
      </c>
      <c r="AZ5" s="339" t="s">
        <v>36</v>
      </c>
      <c r="BA5" s="339" t="s">
        <v>31</v>
      </c>
      <c r="BB5" s="339" t="s">
        <v>37</v>
      </c>
      <c r="BC5" s="337"/>
      <c r="BD5" s="332"/>
      <c r="BE5" s="326"/>
      <c r="BF5" s="326"/>
    </row>
    <row r="6" spans="1:58" ht="54" customHeight="1" thickBot="1">
      <c r="A6" s="380"/>
      <c r="B6" s="382"/>
      <c r="C6" s="384"/>
      <c r="D6" s="386"/>
      <c r="E6" s="388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71"/>
      <c r="U6" s="373"/>
      <c r="V6" s="373"/>
      <c r="W6" s="373"/>
      <c r="X6" s="373"/>
      <c r="Y6" s="373"/>
      <c r="Z6" s="373"/>
      <c r="AA6" s="373"/>
      <c r="AB6" s="348"/>
      <c r="AC6" s="366"/>
      <c r="AD6" s="369"/>
      <c r="AE6" s="369"/>
      <c r="AF6" s="357"/>
      <c r="AG6" s="329"/>
      <c r="AH6" s="331"/>
      <c r="AI6" s="331"/>
      <c r="AJ6" s="333"/>
      <c r="AK6" s="331"/>
      <c r="AL6" s="333"/>
      <c r="AM6" s="333"/>
      <c r="AN6" s="333"/>
      <c r="AO6" s="333"/>
      <c r="AP6" s="333"/>
      <c r="AQ6" s="392"/>
      <c r="AR6" s="394"/>
      <c r="AS6" s="335"/>
      <c r="AT6" s="335"/>
      <c r="AU6" s="129"/>
      <c r="AV6" s="128" t="s">
        <v>88</v>
      </c>
      <c r="AW6" s="128" t="s">
        <v>89</v>
      </c>
      <c r="AX6" s="128" t="s">
        <v>90</v>
      </c>
      <c r="AY6" s="344"/>
      <c r="AZ6" s="333"/>
      <c r="BA6" s="333"/>
      <c r="BB6" s="333"/>
      <c r="BC6" s="338"/>
      <c r="BD6" s="333"/>
      <c r="BE6" s="327"/>
      <c r="BF6" s="327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30">
        <v>43</v>
      </c>
      <c r="AR7" s="131">
        <v>44</v>
      </c>
      <c r="AS7" s="132">
        <v>45</v>
      </c>
      <c r="AT7" s="10">
        <v>46</v>
      </c>
      <c r="AU7" s="132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33"/>
    </row>
    <row r="8" spans="1:58" ht="12.75" hidden="1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34"/>
      <c r="AR8" s="134"/>
      <c r="AS8" s="6"/>
      <c r="AT8" s="6"/>
      <c r="AU8" s="6"/>
      <c r="AV8" s="7"/>
      <c r="AW8" s="7"/>
      <c r="AX8" s="7"/>
      <c r="AY8" s="7"/>
      <c r="AZ8" s="135"/>
      <c r="BA8" s="1"/>
      <c r="BB8" s="1"/>
      <c r="BC8" s="1"/>
      <c r="BD8" s="1"/>
      <c r="BE8" s="1"/>
      <c r="BF8" s="133"/>
    </row>
    <row r="9" spans="1:58" s="137" customFormat="1" ht="12.75" hidden="1">
      <c r="A9" s="136" t="s">
        <v>39</v>
      </c>
      <c r="B9" s="93">
        <v>1254.2</v>
      </c>
      <c r="C9" s="187">
        <f>B9*8.65</f>
        <v>10848.830000000002</v>
      </c>
      <c r="D9" s="188">
        <f>C9*0.24088</f>
        <v>2613.2661704000006</v>
      </c>
      <c r="E9" s="94">
        <v>790.08</v>
      </c>
      <c r="F9" s="94">
        <v>269.16</v>
      </c>
      <c r="G9" s="94">
        <v>1066.66</v>
      </c>
      <c r="H9" s="94">
        <v>363.37</v>
      </c>
      <c r="I9" s="94">
        <v>2567.8</v>
      </c>
      <c r="J9" s="94">
        <v>874.78</v>
      </c>
      <c r="K9" s="94">
        <v>1777.72</v>
      </c>
      <c r="L9" s="94">
        <v>605.62</v>
      </c>
      <c r="M9" s="91">
        <v>632.07</v>
      </c>
      <c r="N9" s="91">
        <v>215.32</v>
      </c>
      <c r="O9" s="94">
        <v>0</v>
      </c>
      <c r="P9" s="94">
        <v>0</v>
      </c>
      <c r="Q9" s="94">
        <v>0</v>
      </c>
      <c r="R9" s="94">
        <v>0</v>
      </c>
      <c r="S9" s="94">
        <f>E9+G9+I9+K9+M9+O9+Q9</f>
        <v>6834.330000000001</v>
      </c>
      <c r="T9" s="174">
        <f>P9+N9+L9+J9+H9+F9+R9</f>
        <v>2328.25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120">
        <v>0</v>
      </c>
      <c r="AA9" s="120">
        <v>0</v>
      </c>
      <c r="AB9" s="120">
        <f>SUM(U9:AA9)</f>
        <v>0</v>
      </c>
      <c r="AC9" s="189">
        <f>D9+T9+AB9</f>
        <v>4941.5161704</v>
      </c>
      <c r="AD9" s="190">
        <f>P9+Z9</f>
        <v>0</v>
      </c>
      <c r="AE9" s="176">
        <f>R9+AA9</f>
        <v>0</v>
      </c>
      <c r="AF9" s="176"/>
      <c r="AG9" s="24">
        <f>0.6*B9</f>
        <v>752.52</v>
      </c>
      <c r="AH9" s="24">
        <f>B9*0.2*1.05826</f>
        <v>265.4539384</v>
      </c>
      <c r="AI9" s="24">
        <f>0.8518*B9</f>
        <v>1068.32756</v>
      </c>
      <c r="AJ9" s="24">
        <f>AI9*0.18</f>
        <v>192.29896079999997</v>
      </c>
      <c r="AK9" s="24">
        <f>1.04*B9*0.9531</f>
        <v>1243.1931408</v>
      </c>
      <c r="AL9" s="24">
        <f>AK9*0.18</f>
        <v>223.774765344</v>
      </c>
      <c r="AM9" s="24">
        <f>(1.91)*B9*0.9531</f>
        <v>2283.1720182</v>
      </c>
      <c r="AN9" s="24">
        <f>AM9*0.18</f>
        <v>410.97096327599996</v>
      </c>
      <c r="AO9" s="24"/>
      <c r="AP9" s="24">
        <f>AO9*0.18</f>
        <v>0</v>
      </c>
      <c r="AQ9" s="177"/>
      <c r="AR9" s="177"/>
      <c r="AS9" s="99">
        <v>4562.04</v>
      </c>
      <c r="AT9" s="99"/>
      <c r="AU9" s="99">
        <f>(AS9+AT9)*0.18</f>
        <v>821.1672</v>
      </c>
      <c r="AV9" s="178"/>
      <c r="AW9" s="179"/>
      <c r="AX9" s="24">
        <f>AV9*AW9*1.12*1.18</f>
        <v>0</v>
      </c>
      <c r="AY9" s="180"/>
      <c r="AZ9" s="181"/>
      <c r="BA9" s="181">
        <f>AZ9*0.18</f>
        <v>0</v>
      </c>
      <c r="BB9" s="181">
        <f>SUM(AG9:BA9)-AV9-AW9</f>
        <v>11822.91854682</v>
      </c>
      <c r="BC9" s="182"/>
      <c r="BD9" s="17">
        <f>BB9-(AF9-BC9)</f>
        <v>11822.91854682</v>
      </c>
      <c r="BE9" s="138">
        <f>AC9-BB9</f>
        <v>-6881.402376419999</v>
      </c>
      <c r="BF9" s="139">
        <f>AB9-S9</f>
        <v>-6834.330000000001</v>
      </c>
    </row>
    <row r="10" spans="1:58" ht="12.75" hidden="1">
      <c r="A10" s="13" t="s">
        <v>40</v>
      </c>
      <c r="B10" s="93">
        <v>1254.2</v>
      </c>
      <c r="C10" s="187">
        <f>B10*8.65</f>
        <v>10848.830000000002</v>
      </c>
      <c r="D10" s="188">
        <f>C10*0.24088</f>
        <v>2613.2661704000006</v>
      </c>
      <c r="E10" s="94">
        <v>764.52</v>
      </c>
      <c r="F10" s="94">
        <v>264.1</v>
      </c>
      <c r="G10" s="94">
        <v>1032.12</v>
      </c>
      <c r="H10" s="94">
        <v>356.55</v>
      </c>
      <c r="I10" s="94">
        <v>2484.72</v>
      </c>
      <c r="J10" s="94">
        <v>858.34</v>
      </c>
      <c r="K10" s="94">
        <v>1720.16</v>
      </c>
      <c r="L10" s="94">
        <v>594.24</v>
      </c>
      <c r="M10" s="91">
        <v>611.61</v>
      </c>
      <c r="N10" s="91">
        <v>211.26</v>
      </c>
      <c r="O10" s="94">
        <v>0</v>
      </c>
      <c r="P10" s="94">
        <v>0</v>
      </c>
      <c r="Q10" s="94">
        <v>0</v>
      </c>
      <c r="R10" s="94">
        <v>0</v>
      </c>
      <c r="S10" s="94">
        <f>E10+G10+I10+K10+M10+O10+Q10</f>
        <v>6613.129999999999</v>
      </c>
      <c r="T10" s="174">
        <f>P10+N10+L10+J10+H10+F10+R10</f>
        <v>2284.4900000000002</v>
      </c>
      <c r="U10" s="94">
        <v>565.6</v>
      </c>
      <c r="V10" s="94">
        <v>730.53</v>
      </c>
      <c r="W10" s="94">
        <v>1786.38</v>
      </c>
      <c r="X10" s="94">
        <v>1217.55</v>
      </c>
      <c r="Y10" s="94">
        <v>432.89</v>
      </c>
      <c r="Z10" s="94">
        <v>0</v>
      </c>
      <c r="AA10" s="120">
        <v>0</v>
      </c>
      <c r="AB10" s="191">
        <f>SUM(U10:AA10)</f>
        <v>4732.950000000001</v>
      </c>
      <c r="AC10" s="175">
        <f>D10+T10+AB10</f>
        <v>9630.7061704</v>
      </c>
      <c r="AD10" s="176">
        <f>P10+Z10</f>
        <v>0</v>
      </c>
      <c r="AE10" s="176">
        <f>R10+AA10</f>
        <v>0</v>
      </c>
      <c r="AF10" s="176"/>
      <c r="AG10" s="24">
        <f>0.6*B10</f>
        <v>752.52</v>
      </c>
      <c r="AH10" s="24">
        <f>B10*0.201</f>
        <v>252.09420000000003</v>
      </c>
      <c r="AI10" s="24">
        <f>0.8518*B10</f>
        <v>1068.32756</v>
      </c>
      <c r="AJ10" s="24">
        <f>AI10*0.18</f>
        <v>192.29896079999997</v>
      </c>
      <c r="AK10" s="24">
        <f>1.04*B10*0.9531</f>
        <v>1243.1931408</v>
      </c>
      <c r="AL10" s="24">
        <f>AK10*0.18</f>
        <v>223.774765344</v>
      </c>
      <c r="AM10" s="24">
        <f>(1.91)*B10*0.9531</f>
        <v>2283.1720182</v>
      </c>
      <c r="AN10" s="24">
        <f>AM10*0.18</f>
        <v>410.97096327599996</v>
      </c>
      <c r="AO10" s="24"/>
      <c r="AP10" s="24">
        <f>AO10*0.18</f>
        <v>0</v>
      </c>
      <c r="AQ10" s="177"/>
      <c r="AR10" s="177"/>
      <c r="AS10" s="99">
        <v>3501</v>
      </c>
      <c r="AT10" s="99"/>
      <c r="AU10" s="99">
        <f>(AS10+AT10)*0.18</f>
        <v>630.18</v>
      </c>
      <c r="AV10" s="178"/>
      <c r="AW10" s="179"/>
      <c r="AX10" s="24">
        <f>AV10*AW10*1.12*1.18</f>
        <v>0</v>
      </c>
      <c r="AY10" s="180"/>
      <c r="AZ10" s="181"/>
      <c r="BA10" s="181">
        <f>AZ10*0.18</f>
        <v>0</v>
      </c>
      <c r="BB10" s="181">
        <f>SUM(AG10:BA10)-AV10-AW10</f>
        <v>10557.531608419999</v>
      </c>
      <c r="BC10" s="182"/>
      <c r="BD10" s="17">
        <f>BB10-(AF10-BC10)</f>
        <v>10557.531608419999</v>
      </c>
      <c r="BE10" s="138">
        <f>AC10-BB10</f>
        <v>-926.8254380199978</v>
      </c>
      <c r="BF10" s="138">
        <f>AB10-S10</f>
        <v>-1880.1799999999985</v>
      </c>
    </row>
    <row r="11" spans="1:58" ht="13.5" hidden="1" thickBot="1">
      <c r="A11" s="50" t="s">
        <v>41</v>
      </c>
      <c r="B11" s="93">
        <v>1254.2</v>
      </c>
      <c r="C11" s="187">
        <f>B11*8.65</f>
        <v>10848.830000000002</v>
      </c>
      <c r="D11" s="188">
        <f>C11*0.24035</f>
        <v>2607.5162905000007</v>
      </c>
      <c r="E11" s="94">
        <v>777.18</v>
      </c>
      <c r="F11" s="94">
        <v>1049.23</v>
      </c>
      <c r="G11" s="94">
        <v>1041.09</v>
      </c>
      <c r="H11" s="94">
        <v>359.96</v>
      </c>
      <c r="I11" s="94">
        <v>2525.9</v>
      </c>
      <c r="J11" s="94">
        <v>866.56</v>
      </c>
      <c r="K11" s="94">
        <v>1748.68</v>
      </c>
      <c r="L11" s="94">
        <v>599.93</v>
      </c>
      <c r="M11" s="91">
        <v>621.73</v>
      </c>
      <c r="N11" s="95">
        <v>213.29</v>
      </c>
      <c r="O11" s="120">
        <v>0</v>
      </c>
      <c r="P11" s="120">
        <v>0</v>
      </c>
      <c r="Q11" s="120">
        <v>0</v>
      </c>
      <c r="R11" s="120">
        <v>0</v>
      </c>
      <c r="S11" s="94">
        <f>E11+G11+I11+K11+M11+O11+Q11</f>
        <v>6714.58</v>
      </c>
      <c r="T11" s="174">
        <f>P11+N11+L11+J11+H11+F11+R11</f>
        <v>3088.97</v>
      </c>
      <c r="U11" s="94">
        <v>789.74</v>
      </c>
      <c r="V11" s="94">
        <v>1077.68</v>
      </c>
      <c r="W11" s="94">
        <v>2594.38</v>
      </c>
      <c r="X11" s="94">
        <v>1796.08</v>
      </c>
      <c r="Y11" s="94">
        <v>638.65</v>
      </c>
      <c r="Z11" s="94">
        <v>0</v>
      </c>
      <c r="AA11" s="120">
        <v>0</v>
      </c>
      <c r="AB11" s="191">
        <f>SUM(U11:AA11)</f>
        <v>6896.53</v>
      </c>
      <c r="AC11" s="175">
        <f>D11+T11+AB11</f>
        <v>12593.0162905</v>
      </c>
      <c r="AD11" s="176">
        <f>P11+Z11</f>
        <v>0</v>
      </c>
      <c r="AE11" s="176">
        <f>R11+AA11</f>
        <v>0</v>
      </c>
      <c r="AF11" s="176"/>
      <c r="AG11" s="24">
        <f>0.6*B11</f>
        <v>752.52</v>
      </c>
      <c r="AH11" s="24">
        <f>B11*0.2*1.02524</f>
        <v>257.1712016</v>
      </c>
      <c r="AI11" s="24">
        <f>0.84932*B11</f>
        <v>1065.217144</v>
      </c>
      <c r="AJ11" s="24">
        <f>AI11*0.18</f>
        <v>191.73908591999998</v>
      </c>
      <c r="AK11" s="24">
        <f>1.04*B11*0.95033</f>
        <v>1239.58004144</v>
      </c>
      <c r="AL11" s="24">
        <f>AK11*0.18</f>
        <v>223.1244074592</v>
      </c>
      <c r="AM11" s="24">
        <f>(1.91)*B11*0.95033</f>
        <v>2276.53642226</v>
      </c>
      <c r="AN11" s="24">
        <f>AM11*0.18</f>
        <v>409.7765560068</v>
      </c>
      <c r="AO11" s="24"/>
      <c r="AP11" s="24">
        <f>AO11*0.18</f>
        <v>0</v>
      </c>
      <c r="AQ11" s="177"/>
      <c r="AR11" s="177"/>
      <c r="AS11" s="99"/>
      <c r="AT11" s="99"/>
      <c r="AU11" s="99">
        <f>(AS11+AT11)*0.18</f>
        <v>0</v>
      </c>
      <c r="AV11" s="178"/>
      <c r="AW11" s="179"/>
      <c r="AX11" s="24">
        <f>AV11*AW11*1.12*1.18</f>
        <v>0</v>
      </c>
      <c r="AY11" s="180"/>
      <c r="AZ11" s="181"/>
      <c r="BA11" s="181">
        <f>AZ11*0.18</f>
        <v>0</v>
      </c>
      <c r="BB11" s="181">
        <f>SUM(AG11:BA11)-AV11-AW11</f>
        <v>6415.664858686</v>
      </c>
      <c r="BC11" s="182"/>
      <c r="BD11" s="17">
        <f>BB11-(AF11-BC11)</f>
        <v>6415.664858686</v>
      </c>
      <c r="BE11" s="138">
        <f>AC11-BB11</f>
        <v>6177.351431814</v>
      </c>
      <c r="BF11" s="138">
        <f>AB11-S11</f>
        <v>181.94999999999982</v>
      </c>
    </row>
    <row r="12" spans="1:58" s="23" customFormat="1" ht="15" customHeight="1" hidden="1" thickBot="1">
      <c r="A12" s="52" t="s">
        <v>3</v>
      </c>
      <c r="B12" s="83"/>
      <c r="C12" s="83">
        <f>SUM(C9:C11)</f>
        <v>32546.490000000005</v>
      </c>
      <c r="D12" s="83">
        <f aca="true" t="shared" si="0" ref="D12:BD12">SUM(D9:D11)</f>
        <v>7834.048631300002</v>
      </c>
      <c r="E12" s="83">
        <f t="shared" si="0"/>
        <v>2331.7799999999997</v>
      </c>
      <c r="F12" s="83">
        <f t="shared" si="0"/>
        <v>1582.49</v>
      </c>
      <c r="G12" s="83">
        <f t="shared" si="0"/>
        <v>3139.87</v>
      </c>
      <c r="H12" s="83">
        <f t="shared" si="0"/>
        <v>1079.88</v>
      </c>
      <c r="I12" s="83">
        <f t="shared" si="0"/>
        <v>7578.42</v>
      </c>
      <c r="J12" s="83">
        <f t="shared" si="0"/>
        <v>2599.68</v>
      </c>
      <c r="K12" s="83">
        <f t="shared" si="0"/>
        <v>5246.56</v>
      </c>
      <c r="L12" s="83">
        <f t="shared" si="0"/>
        <v>1799.79</v>
      </c>
      <c r="M12" s="83">
        <f t="shared" si="0"/>
        <v>1865.41</v>
      </c>
      <c r="N12" s="83">
        <f t="shared" si="0"/>
        <v>639.87</v>
      </c>
      <c r="O12" s="83">
        <f t="shared" si="0"/>
        <v>0</v>
      </c>
      <c r="P12" s="83">
        <f t="shared" si="0"/>
        <v>0</v>
      </c>
      <c r="Q12" s="83">
        <f t="shared" si="0"/>
        <v>0</v>
      </c>
      <c r="R12" s="83">
        <f t="shared" si="0"/>
        <v>0</v>
      </c>
      <c r="S12" s="83">
        <f t="shared" si="0"/>
        <v>20162.04</v>
      </c>
      <c r="T12" s="83">
        <f t="shared" si="0"/>
        <v>7701.709999999999</v>
      </c>
      <c r="U12" s="83">
        <f t="shared" si="0"/>
        <v>1355.3400000000001</v>
      </c>
      <c r="V12" s="83">
        <f t="shared" si="0"/>
        <v>1808.21</v>
      </c>
      <c r="W12" s="83">
        <f t="shared" si="0"/>
        <v>4380.76</v>
      </c>
      <c r="X12" s="83">
        <f t="shared" si="0"/>
        <v>3013.63</v>
      </c>
      <c r="Y12" s="83">
        <f t="shared" si="0"/>
        <v>1071.54</v>
      </c>
      <c r="Z12" s="83">
        <f t="shared" si="0"/>
        <v>0</v>
      </c>
      <c r="AA12" s="83">
        <f t="shared" si="0"/>
        <v>0</v>
      </c>
      <c r="AB12" s="83">
        <f t="shared" si="0"/>
        <v>11629.48</v>
      </c>
      <c r="AC12" s="83">
        <f t="shared" si="0"/>
        <v>27165.238631300002</v>
      </c>
      <c r="AD12" s="83">
        <f t="shared" si="0"/>
        <v>0</v>
      </c>
      <c r="AE12" s="83">
        <f t="shared" si="0"/>
        <v>0</v>
      </c>
      <c r="AF12" s="83">
        <f t="shared" si="0"/>
        <v>0</v>
      </c>
      <c r="AG12" s="83">
        <f t="shared" si="0"/>
        <v>2257.56</v>
      </c>
      <c r="AH12" s="83">
        <f t="shared" si="0"/>
        <v>774.7193400000001</v>
      </c>
      <c r="AI12" s="83">
        <f t="shared" si="0"/>
        <v>3201.8722639999996</v>
      </c>
      <c r="AJ12" s="83">
        <f t="shared" si="0"/>
        <v>576.3370075199999</v>
      </c>
      <c r="AK12" s="83">
        <f t="shared" si="0"/>
        <v>3725.96632304</v>
      </c>
      <c r="AL12" s="83">
        <f t="shared" si="0"/>
        <v>670.6739381472</v>
      </c>
      <c r="AM12" s="83">
        <f t="shared" si="0"/>
        <v>6842.88045866</v>
      </c>
      <c r="AN12" s="83">
        <f t="shared" si="0"/>
        <v>1231.7184825588</v>
      </c>
      <c r="AO12" s="83">
        <f t="shared" si="0"/>
        <v>0</v>
      </c>
      <c r="AP12" s="83">
        <f t="shared" si="0"/>
        <v>0</v>
      </c>
      <c r="AQ12" s="140">
        <f t="shared" si="0"/>
        <v>0</v>
      </c>
      <c r="AR12" s="140">
        <f t="shared" si="0"/>
        <v>0</v>
      </c>
      <c r="AS12" s="141">
        <f t="shared" si="0"/>
        <v>8063.04</v>
      </c>
      <c r="AT12" s="141">
        <f t="shared" si="0"/>
        <v>0</v>
      </c>
      <c r="AU12" s="141">
        <f t="shared" si="0"/>
        <v>1451.3472</v>
      </c>
      <c r="AV12" s="83">
        <f t="shared" si="0"/>
        <v>0</v>
      </c>
      <c r="AW12" s="83">
        <f t="shared" si="0"/>
        <v>0</v>
      </c>
      <c r="AX12" s="83">
        <f t="shared" si="0"/>
        <v>0</v>
      </c>
      <c r="AY12" s="83">
        <f t="shared" si="0"/>
        <v>0</v>
      </c>
      <c r="AZ12" s="83">
        <f t="shared" si="0"/>
        <v>0</v>
      </c>
      <c r="BA12" s="83">
        <f t="shared" si="0"/>
        <v>0</v>
      </c>
      <c r="BB12" s="83">
        <f t="shared" si="0"/>
        <v>28796.115013925995</v>
      </c>
      <c r="BC12" s="83">
        <f t="shared" si="0"/>
        <v>0</v>
      </c>
      <c r="BD12" s="83">
        <f t="shared" si="0"/>
        <v>28796.115013925995</v>
      </c>
      <c r="BE12" s="83">
        <f>SUM(BE9:BE11)</f>
        <v>-1630.8763826259974</v>
      </c>
      <c r="BF12" s="142">
        <f>SUM(BF9:BF11)</f>
        <v>-8532.559999999998</v>
      </c>
    </row>
    <row r="13" spans="1:58" ht="15" customHeight="1" hidden="1">
      <c r="A13" s="8" t="s">
        <v>42</v>
      </c>
      <c r="B13" s="80"/>
      <c r="C13" s="143"/>
      <c r="D13" s="143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46"/>
      <c r="Q13" s="147"/>
      <c r="R13" s="147"/>
      <c r="S13" s="147"/>
      <c r="T13" s="147"/>
      <c r="U13" s="148"/>
      <c r="V13" s="148"/>
      <c r="W13" s="148"/>
      <c r="X13" s="148"/>
      <c r="Y13" s="148"/>
      <c r="Z13" s="148"/>
      <c r="AA13" s="149"/>
      <c r="AB13" s="149"/>
      <c r="AC13" s="150"/>
      <c r="AD13" s="151"/>
      <c r="AE13" s="151"/>
      <c r="AF13" s="63"/>
      <c r="AG13" s="63"/>
      <c r="AH13" s="63"/>
      <c r="AI13" s="63"/>
      <c r="AJ13" s="63"/>
      <c r="AK13" s="63"/>
      <c r="AL13" s="63"/>
      <c r="AM13" s="63"/>
      <c r="AN13" s="81"/>
      <c r="AO13" s="81"/>
      <c r="AP13" s="81"/>
      <c r="AQ13" s="152"/>
      <c r="AR13" s="153"/>
      <c r="AS13" s="126"/>
      <c r="AT13" s="126"/>
      <c r="AU13" s="154"/>
      <c r="AV13" s="63"/>
      <c r="AW13" s="63"/>
      <c r="AX13" s="64"/>
      <c r="AY13" s="1"/>
      <c r="AZ13" s="1"/>
      <c r="BA13" s="1"/>
      <c r="BB13" s="1"/>
      <c r="BC13" s="1"/>
      <c r="BD13" s="1"/>
      <c r="BE13" s="1"/>
      <c r="BF13" s="133"/>
    </row>
    <row r="14" spans="1:58" ht="12.75" hidden="1">
      <c r="A14" s="13" t="s">
        <v>43</v>
      </c>
      <c r="B14" s="183">
        <v>1254.2</v>
      </c>
      <c r="C14" s="187">
        <f aca="true" t="shared" si="1" ref="C14:C25">B14*8.65</f>
        <v>10848.830000000002</v>
      </c>
      <c r="D14" s="188">
        <f>C14*0.125</f>
        <v>1356.1037500000002</v>
      </c>
      <c r="E14" s="94">
        <v>771.16</v>
      </c>
      <c r="F14" s="94">
        <v>266.63</v>
      </c>
      <c r="G14" s="94">
        <v>1041.09</v>
      </c>
      <c r="H14" s="94">
        <v>359.96</v>
      </c>
      <c r="I14" s="94">
        <v>2506.28</v>
      </c>
      <c r="J14" s="94">
        <v>866.56</v>
      </c>
      <c r="K14" s="94">
        <v>1735.11</v>
      </c>
      <c r="L14" s="94">
        <v>599.93</v>
      </c>
      <c r="M14" s="91">
        <v>616.92</v>
      </c>
      <c r="N14" s="95">
        <v>213.29</v>
      </c>
      <c r="O14" s="120">
        <v>0</v>
      </c>
      <c r="P14" s="120">
        <v>0</v>
      </c>
      <c r="Q14" s="120">
        <v>0</v>
      </c>
      <c r="R14" s="120">
        <v>0</v>
      </c>
      <c r="S14" s="94">
        <f aca="true" t="shared" si="2" ref="S14:S25">E14+G14+I14+K14+M14+O14+Q14</f>
        <v>6670.56</v>
      </c>
      <c r="T14" s="174">
        <f aca="true" t="shared" si="3" ref="T14:T25">P14+N14+L14+J14+H14+F14+R14</f>
        <v>2306.37</v>
      </c>
      <c r="U14" s="94">
        <v>377.76</v>
      </c>
      <c r="V14" s="94">
        <v>510.01</v>
      </c>
      <c r="W14" s="94">
        <v>1227.69</v>
      </c>
      <c r="X14" s="94">
        <v>849.95</v>
      </c>
      <c r="Y14" s="94">
        <v>302.14</v>
      </c>
      <c r="Z14" s="94">
        <v>0</v>
      </c>
      <c r="AA14" s="120">
        <v>0</v>
      </c>
      <c r="AB14" s="192">
        <f aca="true" t="shared" si="4" ref="AB14:AB22">SUM(U14:AA14)</f>
        <v>3267.5499999999997</v>
      </c>
      <c r="AC14" s="175">
        <f aca="true" t="shared" si="5" ref="AC14:AC22">D14+T14+AB14</f>
        <v>6930.02375</v>
      </c>
      <c r="AD14" s="176">
        <f aca="true" t="shared" si="6" ref="AD14:AD25">P14+Z14</f>
        <v>0</v>
      </c>
      <c r="AE14" s="176">
        <f aca="true" t="shared" si="7" ref="AE14:AE25">R14+AA14</f>
        <v>0</v>
      </c>
      <c r="AF14" s="176"/>
      <c r="AG14" s="24">
        <f>0.6*B14*0.9</f>
        <v>677.268</v>
      </c>
      <c r="AH14" s="24">
        <f>B14*0.2*0.891</f>
        <v>223.49844000000004</v>
      </c>
      <c r="AI14" s="24">
        <f>0.85*B14*0.867-0.02</f>
        <v>924.2626899999999</v>
      </c>
      <c r="AJ14" s="24">
        <f aca="true" t="shared" si="8" ref="AJ14:AJ25">AI14*0.18</f>
        <v>166.36728419999997</v>
      </c>
      <c r="AK14" s="24">
        <f>0.83*B14*0.8685</f>
        <v>904.0963409999999</v>
      </c>
      <c r="AL14" s="24">
        <f aca="true" t="shared" si="9" ref="AL14:AL25">AK14*0.18</f>
        <v>162.73734137999998</v>
      </c>
      <c r="AM14" s="24">
        <f>1.91*B14*0.8686</f>
        <v>2080.7504092</v>
      </c>
      <c r="AN14" s="24">
        <f aca="true" t="shared" si="10" ref="AN14:AN25">AM14*0.18</f>
        <v>374.53507365599995</v>
      </c>
      <c r="AO14" s="24"/>
      <c r="AP14" s="24">
        <f aca="true" t="shared" si="11" ref="AP14:AR25">AO14*0.18</f>
        <v>0</v>
      </c>
      <c r="AQ14" s="177"/>
      <c r="AR14" s="177">
        <f>AQ14*0.18</f>
        <v>0</v>
      </c>
      <c r="AS14" s="99">
        <v>9520</v>
      </c>
      <c r="AT14" s="99"/>
      <c r="AU14" s="99">
        <f>(AS14+AT14)*0.18+0.01</f>
        <v>1713.61</v>
      </c>
      <c r="AV14" s="178">
        <v>508</v>
      </c>
      <c r="AW14" s="179">
        <v>0.6</v>
      </c>
      <c r="AX14" s="24"/>
      <c r="AY14" s="180"/>
      <c r="AZ14" s="181"/>
      <c r="BA14" s="181">
        <f>AZ14*0.18</f>
        <v>0</v>
      </c>
      <c r="BB14" s="181">
        <f>SUM(AG14:AU14)</f>
        <v>16747.125579436</v>
      </c>
      <c r="BC14" s="182"/>
      <c r="BD14" s="155">
        <f>BB14-(AF14-BC14)</f>
        <v>16747.125579436</v>
      </c>
      <c r="BE14" s="138">
        <f>(AC14-BB14)+(AF14-BC14)</f>
        <v>-9817.101829436</v>
      </c>
      <c r="BF14" s="138">
        <f>AB14-S14</f>
        <v>-3403.0100000000007</v>
      </c>
    </row>
    <row r="15" spans="1:58" ht="12.75" hidden="1">
      <c r="A15" s="13" t="s">
        <v>44</v>
      </c>
      <c r="B15" s="183">
        <v>1254.2</v>
      </c>
      <c r="C15" s="187">
        <f t="shared" si="1"/>
        <v>10848.830000000002</v>
      </c>
      <c r="D15" s="188">
        <f>C15*0.125</f>
        <v>1356.1037500000002</v>
      </c>
      <c r="E15" s="94">
        <v>716.56</v>
      </c>
      <c r="F15" s="94">
        <v>266.63</v>
      </c>
      <c r="G15" s="94">
        <v>961.49</v>
      </c>
      <c r="H15" s="94">
        <v>359.96</v>
      </c>
      <c r="I15" s="94">
        <v>2314.64</v>
      </c>
      <c r="J15" s="94">
        <v>866.56</v>
      </c>
      <c r="K15" s="94">
        <v>1602.43</v>
      </c>
      <c r="L15" s="94">
        <v>599.93</v>
      </c>
      <c r="M15" s="91">
        <v>569.74</v>
      </c>
      <c r="N15" s="95">
        <v>213.29</v>
      </c>
      <c r="O15" s="120">
        <v>0</v>
      </c>
      <c r="P15" s="120">
        <v>0</v>
      </c>
      <c r="Q15" s="120">
        <v>0</v>
      </c>
      <c r="R15" s="120">
        <v>0</v>
      </c>
      <c r="S15" s="94">
        <f t="shared" si="2"/>
        <v>6164.86</v>
      </c>
      <c r="T15" s="174">
        <f t="shared" si="3"/>
        <v>2306.37</v>
      </c>
      <c r="U15" s="94">
        <v>662.88</v>
      </c>
      <c r="V15" s="94">
        <v>910.53</v>
      </c>
      <c r="W15" s="94">
        <v>2185.68</v>
      </c>
      <c r="X15" s="94">
        <v>1517.54</v>
      </c>
      <c r="Y15" s="94">
        <v>539.55</v>
      </c>
      <c r="Z15" s="94">
        <v>0</v>
      </c>
      <c r="AA15" s="120">
        <v>0</v>
      </c>
      <c r="AB15" s="191">
        <f t="shared" si="4"/>
        <v>5816.179999999999</v>
      </c>
      <c r="AC15" s="175">
        <f t="shared" si="5"/>
        <v>9478.65375</v>
      </c>
      <c r="AD15" s="176">
        <f t="shared" si="6"/>
        <v>0</v>
      </c>
      <c r="AE15" s="176">
        <f t="shared" si="7"/>
        <v>0</v>
      </c>
      <c r="AF15" s="176"/>
      <c r="AG15" s="24">
        <f>0.6*B15*0.9</f>
        <v>677.268</v>
      </c>
      <c r="AH15" s="24">
        <f>B15*0.2*0.9153</f>
        <v>229.59385200000003</v>
      </c>
      <c r="AI15" s="24">
        <f>0.85*B15*0.867</f>
        <v>924.2826899999999</v>
      </c>
      <c r="AJ15" s="24">
        <f t="shared" si="8"/>
        <v>166.37088419999998</v>
      </c>
      <c r="AK15" s="24">
        <f>0.83*B15*0.8684</f>
        <v>903.9922423999999</v>
      </c>
      <c r="AL15" s="24">
        <f t="shared" si="9"/>
        <v>162.71860363199997</v>
      </c>
      <c r="AM15" s="24">
        <f>(1.91)*B15*0.8684</f>
        <v>2080.2713047999996</v>
      </c>
      <c r="AN15" s="24">
        <f t="shared" si="10"/>
        <v>374.44883486399993</v>
      </c>
      <c r="AO15" s="24"/>
      <c r="AP15" s="24">
        <f t="shared" si="11"/>
        <v>0</v>
      </c>
      <c r="AQ15" s="177"/>
      <c r="AR15" s="177">
        <f>AQ15*0.18</f>
        <v>0</v>
      </c>
      <c r="AS15" s="99">
        <v>2580</v>
      </c>
      <c r="AT15" s="99"/>
      <c r="AU15" s="99">
        <f aca="true" t="shared" si="12" ref="AU15:AU25">(AS15+AT15)*0.18</f>
        <v>464.4</v>
      </c>
      <c r="AV15" s="178">
        <v>407</v>
      </c>
      <c r="AW15" s="179">
        <v>0.6</v>
      </c>
      <c r="AX15" s="24"/>
      <c r="AY15" s="180"/>
      <c r="AZ15" s="181"/>
      <c r="BA15" s="181">
        <f>AZ15*0.18</f>
        <v>0</v>
      </c>
      <c r="BB15" s="181">
        <f>SUM(AG15:AU15)+AY15</f>
        <v>8563.346411896</v>
      </c>
      <c r="BC15" s="193"/>
      <c r="BD15" s="155">
        <f>BB15-(AF15-BC15)</f>
        <v>8563.346411896</v>
      </c>
      <c r="BE15" s="138">
        <f>(AC15-BB15)+(AF15-BC15)</f>
        <v>915.3073381039994</v>
      </c>
      <c r="BF15" s="138">
        <f>AB15-S15</f>
        <v>-348.6800000000003</v>
      </c>
    </row>
    <row r="16" spans="1:58" ht="13.5" hidden="1" thickBot="1">
      <c r="A16" s="156" t="s">
        <v>45</v>
      </c>
      <c r="B16" s="194">
        <v>1254.2</v>
      </c>
      <c r="C16" s="187">
        <f t="shared" si="1"/>
        <v>10848.830000000002</v>
      </c>
      <c r="D16" s="188">
        <f>C16*0.125</f>
        <v>1356.1037500000002</v>
      </c>
      <c r="E16" s="94">
        <v>777.16</v>
      </c>
      <c r="F16" s="94">
        <v>266.63</v>
      </c>
      <c r="G16" s="94">
        <v>1049.2</v>
      </c>
      <c r="H16" s="94">
        <v>359.96</v>
      </c>
      <c r="I16" s="94">
        <v>2525.79</v>
      </c>
      <c r="J16" s="94">
        <v>866.56</v>
      </c>
      <c r="K16" s="94">
        <v>1748.62</v>
      </c>
      <c r="L16" s="94">
        <v>599.93</v>
      </c>
      <c r="M16" s="91">
        <v>621.72</v>
      </c>
      <c r="N16" s="95">
        <v>213.29</v>
      </c>
      <c r="O16" s="120">
        <v>0</v>
      </c>
      <c r="P16" s="120">
        <v>0</v>
      </c>
      <c r="Q16" s="120">
        <v>0</v>
      </c>
      <c r="R16" s="120">
        <v>0</v>
      </c>
      <c r="S16" s="94">
        <f t="shared" si="2"/>
        <v>6722.49</v>
      </c>
      <c r="T16" s="174">
        <f t="shared" si="3"/>
        <v>2306.37</v>
      </c>
      <c r="U16" s="96">
        <v>866.55</v>
      </c>
      <c r="V16" s="96">
        <v>1169.82</v>
      </c>
      <c r="W16" s="96">
        <v>2811.14</v>
      </c>
      <c r="X16" s="96">
        <v>1949.68</v>
      </c>
      <c r="Y16" s="96">
        <v>693.2</v>
      </c>
      <c r="Z16" s="96">
        <v>0</v>
      </c>
      <c r="AA16" s="186">
        <v>0</v>
      </c>
      <c r="AB16" s="192">
        <f t="shared" si="4"/>
        <v>7490.39</v>
      </c>
      <c r="AC16" s="175">
        <f t="shared" si="5"/>
        <v>11152.86375</v>
      </c>
      <c r="AD16" s="176">
        <f t="shared" si="6"/>
        <v>0</v>
      </c>
      <c r="AE16" s="176">
        <f t="shared" si="7"/>
        <v>0</v>
      </c>
      <c r="AF16" s="176"/>
      <c r="AG16" s="24">
        <f>0.6*B16*0.9</f>
        <v>677.268</v>
      </c>
      <c r="AH16" s="195">
        <f>B16*0.2*0.9082</f>
        <v>227.81288800000004</v>
      </c>
      <c r="AI16" s="24">
        <f>0.85*B16*0.8675</f>
        <v>924.815725</v>
      </c>
      <c r="AJ16" s="24">
        <f t="shared" si="8"/>
        <v>166.46683050000001</v>
      </c>
      <c r="AK16" s="195">
        <f>0.83*B16*0.838</f>
        <v>872.3462679999999</v>
      </c>
      <c r="AL16" s="24">
        <f t="shared" si="9"/>
        <v>157.02232823999998</v>
      </c>
      <c r="AM16" s="24">
        <f>1.91*B16*0.8381</f>
        <v>2007.6869881999999</v>
      </c>
      <c r="AN16" s="24">
        <f t="shared" si="10"/>
        <v>361.383657876</v>
      </c>
      <c r="AO16" s="24"/>
      <c r="AP16" s="24">
        <f t="shared" si="11"/>
        <v>0</v>
      </c>
      <c r="AQ16" s="177"/>
      <c r="AR16" s="177">
        <f>AQ16*0.18</f>
        <v>0</v>
      </c>
      <c r="AS16" s="99"/>
      <c r="AT16" s="99"/>
      <c r="AU16" s="99">
        <f t="shared" si="12"/>
        <v>0</v>
      </c>
      <c r="AV16" s="178">
        <v>383</v>
      </c>
      <c r="AW16" s="179">
        <v>0.6</v>
      </c>
      <c r="AX16" s="24"/>
      <c r="AY16" s="180"/>
      <c r="AZ16" s="181"/>
      <c r="BA16" s="181">
        <f>AZ16*0.18</f>
        <v>0</v>
      </c>
      <c r="BB16" s="181">
        <f>SUM(AG16:AU16)</f>
        <v>5394.802685816</v>
      </c>
      <c r="BC16" s="193"/>
      <c r="BD16" s="157">
        <f>BB16-(AF16-BC16)</f>
        <v>5394.802685816</v>
      </c>
      <c r="BE16" s="158">
        <f>(AC16-BB16)+(AF16-BC16)</f>
        <v>5758.061064184</v>
      </c>
      <c r="BF16" s="138">
        <f>AB16-S16</f>
        <v>767.9000000000005</v>
      </c>
    </row>
    <row r="17" spans="1:58" ht="13.5" hidden="1" thickBot="1">
      <c r="A17" s="159" t="s">
        <v>46</v>
      </c>
      <c r="B17" s="196">
        <v>1254.2</v>
      </c>
      <c r="C17" s="187">
        <f t="shared" si="1"/>
        <v>10848.830000000002</v>
      </c>
      <c r="D17" s="188">
        <f>C17*0.125</f>
        <v>1356.1037500000002</v>
      </c>
      <c r="E17" s="197">
        <v>777.27</v>
      </c>
      <c r="F17" s="197">
        <v>266.63</v>
      </c>
      <c r="G17" s="197">
        <v>1049.35</v>
      </c>
      <c r="H17" s="197">
        <v>359.96</v>
      </c>
      <c r="I17" s="197">
        <v>2526.16</v>
      </c>
      <c r="J17" s="197">
        <v>866.56</v>
      </c>
      <c r="K17" s="197">
        <v>1748.87</v>
      </c>
      <c r="L17" s="197">
        <v>599.93</v>
      </c>
      <c r="M17" s="198">
        <v>687.02</v>
      </c>
      <c r="N17" s="199">
        <v>213.29</v>
      </c>
      <c r="O17" s="186">
        <v>0</v>
      </c>
      <c r="P17" s="186">
        <v>0</v>
      </c>
      <c r="Q17" s="186">
        <v>0</v>
      </c>
      <c r="R17" s="186">
        <v>0</v>
      </c>
      <c r="S17" s="94">
        <f t="shared" si="2"/>
        <v>6788.67</v>
      </c>
      <c r="T17" s="174">
        <f t="shared" si="3"/>
        <v>2306.37</v>
      </c>
      <c r="U17" s="94">
        <v>656.22</v>
      </c>
      <c r="V17" s="94">
        <v>885.99</v>
      </c>
      <c r="W17" s="94">
        <v>2130.62</v>
      </c>
      <c r="X17" s="94">
        <v>1476.57</v>
      </c>
      <c r="Y17" s="94">
        <v>525</v>
      </c>
      <c r="Z17" s="94">
        <v>0</v>
      </c>
      <c r="AA17" s="94">
        <v>0</v>
      </c>
      <c r="AB17" s="192">
        <f t="shared" si="4"/>
        <v>5674.4</v>
      </c>
      <c r="AC17" s="175">
        <f t="shared" si="5"/>
        <v>9336.873749999999</v>
      </c>
      <c r="AD17" s="176">
        <f t="shared" si="6"/>
        <v>0</v>
      </c>
      <c r="AE17" s="176">
        <f t="shared" si="7"/>
        <v>0</v>
      </c>
      <c r="AF17" s="176"/>
      <c r="AG17" s="24">
        <f>0.6*B17*0.9</f>
        <v>677.268</v>
      </c>
      <c r="AH17" s="195">
        <f>B17*0.2*0.9234</f>
        <v>231.62565600000002</v>
      </c>
      <c r="AI17" s="24">
        <f>0.85*B17*0.8934</f>
        <v>952.426938</v>
      </c>
      <c r="AJ17" s="24">
        <f t="shared" si="8"/>
        <v>171.43684883999998</v>
      </c>
      <c r="AK17" s="24">
        <f>0.83*B17*0.8498</f>
        <v>884.6299027999999</v>
      </c>
      <c r="AL17" s="24">
        <f t="shared" si="9"/>
        <v>159.23338250399996</v>
      </c>
      <c r="AM17" s="24">
        <f>(1.91)*B17*0.8498</f>
        <v>2035.7145956</v>
      </c>
      <c r="AN17" s="24">
        <f t="shared" si="10"/>
        <v>366.42862720799997</v>
      </c>
      <c r="AO17" s="24"/>
      <c r="AP17" s="24">
        <f t="shared" si="11"/>
        <v>0</v>
      </c>
      <c r="AQ17" s="177">
        <v>1916.46</v>
      </c>
      <c r="AR17" s="177">
        <f t="shared" si="11"/>
        <v>344.9628</v>
      </c>
      <c r="AS17" s="99">
        <v>410</v>
      </c>
      <c r="AT17" s="99"/>
      <c r="AU17" s="99">
        <f t="shared" si="12"/>
        <v>73.8</v>
      </c>
      <c r="AV17" s="178">
        <v>307</v>
      </c>
      <c r="AW17" s="179">
        <v>0.6</v>
      </c>
      <c r="AX17" s="24">
        <v>1272.7</v>
      </c>
      <c r="AY17" s="180"/>
      <c r="AZ17" s="181"/>
      <c r="BA17" s="181">
        <f>AZ17*0.18</f>
        <v>0</v>
      </c>
      <c r="BB17" s="181">
        <f aca="true" t="shared" si="13" ref="BB17:BB22">SUM(AG17:BA17)-AV17-AW17</f>
        <v>9496.686750952</v>
      </c>
      <c r="BC17" s="193"/>
      <c r="BD17" s="160">
        <f>(AC17-BA17)+(AF17-BB17)</f>
        <v>-159.81300095200095</v>
      </c>
      <c r="BE17" s="158">
        <f>(AC17-BB17)+(AF17-BC17)</f>
        <v>-159.81300095200095</v>
      </c>
      <c r="BF17" s="138">
        <f>AB17-S17</f>
        <v>-1114.2700000000004</v>
      </c>
    </row>
    <row r="18" spans="1:58" ht="13.5" hidden="1" thickBot="1">
      <c r="A18" s="13" t="s">
        <v>47</v>
      </c>
      <c r="B18" s="194">
        <v>1254.2</v>
      </c>
      <c r="C18" s="187">
        <f t="shared" si="1"/>
        <v>10848.830000000002</v>
      </c>
      <c r="D18" s="173">
        <f aca="true" t="shared" si="14" ref="D18:D25">C18-E18-F18-G18-H18-I18-J18-K18-L18-M18-N18</f>
        <v>966.8000000000031</v>
      </c>
      <c r="E18" s="96">
        <v>858.81</v>
      </c>
      <c r="F18" s="96">
        <v>281.96</v>
      </c>
      <c r="G18" s="96">
        <v>1162.67</v>
      </c>
      <c r="H18" s="96">
        <v>382.17</v>
      </c>
      <c r="I18" s="96">
        <v>2794.45</v>
      </c>
      <c r="J18" s="96">
        <v>917.84</v>
      </c>
      <c r="K18" s="96">
        <v>1935.62</v>
      </c>
      <c r="L18" s="96">
        <v>635.92</v>
      </c>
      <c r="M18" s="97">
        <v>687.02</v>
      </c>
      <c r="N18" s="97">
        <v>225.57</v>
      </c>
      <c r="O18" s="186">
        <v>0</v>
      </c>
      <c r="P18" s="186">
        <v>0</v>
      </c>
      <c r="Q18" s="186">
        <v>0</v>
      </c>
      <c r="R18" s="186">
        <v>0</v>
      </c>
      <c r="S18" s="94">
        <f t="shared" si="2"/>
        <v>7438.57</v>
      </c>
      <c r="T18" s="174">
        <f t="shared" si="3"/>
        <v>2443.46</v>
      </c>
      <c r="U18" s="96">
        <v>797.44</v>
      </c>
      <c r="V18" s="96">
        <v>1076.54</v>
      </c>
      <c r="W18" s="96">
        <v>2586.13</v>
      </c>
      <c r="X18" s="96">
        <v>1794.25</v>
      </c>
      <c r="Y18" s="96">
        <v>637.92</v>
      </c>
      <c r="Z18" s="96">
        <v>0</v>
      </c>
      <c r="AA18" s="186">
        <v>0</v>
      </c>
      <c r="AB18" s="192">
        <f t="shared" si="4"/>
        <v>6892.280000000001</v>
      </c>
      <c r="AC18" s="175">
        <f t="shared" si="5"/>
        <v>10302.540000000005</v>
      </c>
      <c r="AD18" s="176">
        <f t="shared" si="6"/>
        <v>0</v>
      </c>
      <c r="AE18" s="176">
        <f t="shared" si="7"/>
        <v>0</v>
      </c>
      <c r="AF18" s="176"/>
      <c r="AG18" s="24">
        <f aca="true" t="shared" si="15" ref="AG18:AG25">0.6*B18</f>
        <v>752.52</v>
      </c>
      <c r="AH18" s="24">
        <f>B18*0.2*1.01</f>
        <v>253.34840000000003</v>
      </c>
      <c r="AI18" s="24">
        <f>0.85*B18</f>
        <v>1066.07</v>
      </c>
      <c r="AJ18" s="24">
        <f t="shared" si="8"/>
        <v>191.8926</v>
      </c>
      <c r="AK18" s="24">
        <f>0.83*B18</f>
        <v>1040.9859999999999</v>
      </c>
      <c r="AL18" s="24">
        <f t="shared" si="9"/>
        <v>187.37747999999996</v>
      </c>
      <c r="AM18" s="24">
        <f>(1.91)*B18</f>
        <v>2395.522</v>
      </c>
      <c r="AN18" s="24">
        <f t="shared" si="10"/>
        <v>431.19395999999995</v>
      </c>
      <c r="AO18" s="24"/>
      <c r="AP18" s="24">
        <f t="shared" si="11"/>
        <v>0</v>
      </c>
      <c r="AQ18" s="177"/>
      <c r="AR18" s="177">
        <f t="shared" si="11"/>
        <v>0</v>
      </c>
      <c r="AS18" s="99"/>
      <c r="AT18" s="99"/>
      <c r="AU18" s="99">
        <f t="shared" si="12"/>
        <v>0</v>
      </c>
      <c r="AV18" s="178">
        <v>263</v>
      </c>
      <c r="AW18" s="179">
        <v>0.6</v>
      </c>
      <c r="AX18" s="24">
        <f aca="true" t="shared" si="16" ref="AX18:AX25">AV18*AW18*1.12*1.18</f>
        <v>208.54847999999998</v>
      </c>
      <c r="AY18" s="180"/>
      <c r="AZ18" s="181"/>
      <c r="BA18" s="181">
        <f aca="true" t="shared" si="17" ref="BA18:BA25">AZ18*0.18</f>
        <v>0</v>
      </c>
      <c r="BB18" s="181">
        <f t="shared" si="13"/>
        <v>6527.45892</v>
      </c>
      <c r="BC18" s="193"/>
      <c r="BD18" s="17">
        <f aca="true" t="shared" si="18" ref="BD18:BD25">BB18-(AF18-BC18)</f>
        <v>6527.45892</v>
      </c>
      <c r="BE18" s="158">
        <f>(AC18-BB18)+(AF18-BC18)</f>
        <v>3775.0810800000045</v>
      </c>
      <c r="BF18" s="138">
        <f>AB18-S18</f>
        <v>-546.289999999999</v>
      </c>
    </row>
    <row r="19" spans="1:58" ht="13.5" hidden="1" thickBot="1">
      <c r="A19" s="156" t="s">
        <v>48</v>
      </c>
      <c r="B19" s="194">
        <v>1254.2</v>
      </c>
      <c r="C19" s="187">
        <f t="shared" si="1"/>
        <v>10848.830000000002</v>
      </c>
      <c r="D19" s="173">
        <f t="shared" si="14"/>
        <v>978.3300000000002</v>
      </c>
      <c r="E19" s="96">
        <v>867.79</v>
      </c>
      <c r="F19" s="96">
        <v>271.62</v>
      </c>
      <c r="G19" s="96">
        <v>1174.9</v>
      </c>
      <c r="H19" s="96">
        <v>368.17</v>
      </c>
      <c r="I19" s="96">
        <v>2823.74</v>
      </c>
      <c r="J19" s="96">
        <v>884.22</v>
      </c>
      <c r="K19" s="96">
        <v>1955.93</v>
      </c>
      <c r="L19" s="96">
        <v>612.62</v>
      </c>
      <c r="M19" s="97">
        <v>694.21</v>
      </c>
      <c r="N19" s="98">
        <v>217.3</v>
      </c>
      <c r="O19" s="186">
        <v>0</v>
      </c>
      <c r="P19" s="186">
        <v>0</v>
      </c>
      <c r="Q19" s="186">
        <v>0</v>
      </c>
      <c r="R19" s="186">
        <v>0</v>
      </c>
      <c r="S19" s="94">
        <f t="shared" si="2"/>
        <v>7516.570000000001</v>
      </c>
      <c r="T19" s="174">
        <f t="shared" si="3"/>
        <v>2353.93</v>
      </c>
      <c r="U19" s="96">
        <v>1037.65</v>
      </c>
      <c r="V19" s="96">
        <v>1403.96</v>
      </c>
      <c r="W19" s="96">
        <v>3374.05</v>
      </c>
      <c r="X19" s="96">
        <v>2337.65</v>
      </c>
      <c r="Y19" s="96">
        <v>830.15</v>
      </c>
      <c r="Z19" s="96">
        <v>0</v>
      </c>
      <c r="AA19" s="186">
        <v>0</v>
      </c>
      <c r="AB19" s="192">
        <f t="shared" si="4"/>
        <v>8983.46</v>
      </c>
      <c r="AC19" s="175">
        <f t="shared" si="5"/>
        <v>12315.72</v>
      </c>
      <c r="AD19" s="176">
        <f t="shared" si="6"/>
        <v>0</v>
      </c>
      <c r="AE19" s="176">
        <f t="shared" si="7"/>
        <v>0</v>
      </c>
      <c r="AF19" s="176"/>
      <c r="AG19" s="24">
        <f t="shared" si="15"/>
        <v>752.52</v>
      </c>
      <c r="AH19" s="24">
        <f>B19*0.2*1.01045</f>
        <v>253.46127800000005</v>
      </c>
      <c r="AI19" s="24">
        <f>0.85*B19</f>
        <v>1066.07</v>
      </c>
      <c r="AJ19" s="24">
        <f t="shared" si="8"/>
        <v>191.8926</v>
      </c>
      <c r="AK19" s="24">
        <f>0.83*B19</f>
        <v>1040.9859999999999</v>
      </c>
      <c r="AL19" s="24">
        <f t="shared" si="9"/>
        <v>187.37747999999996</v>
      </c>
      <c r="AM19" s="24">
        <f>(1.91)*B19</f>
        <v>2395.522</v>
      </c>
      <c r="AN19" s="24">
        <f t="shared" si="10"/>
        <v>431.19395999999995</v>
      </c>
      <c r="AO19" s="24"/>
      <c r="AP19" s="24">
        <f t="shared" si="11"/>
        <v>0</v>
      </c>
      <c r="AQ19" s="177"/>
      <c r="AR19" s="177">
        <f t="shared" si="11"/>
        <v>0</v>
      </c>
      <c r="AS19" s="99"/>
      <c r="AT19" s="99"/>
      <c r="AU19" s="99">
        <f t="shared" si="12"/>
        <v>0</v>
      </c>
      <c r="AV19" s="178">
        <v>233</v>
      </c>
      <c r="AW19" s="179">
        <v>0.6</v>
      </c>
      <c r="AX19" s="24">
        <f t="shared" si="16"/>
        <v>184.75967999999997</v>
      </c>
      <c r="AY19" s="180"/>
      <c r="AZ19" s="181"/>
      <c r="BA19" s="181">
        <f t="shared" si="17"/>
        <v>0</v>
      </c>
      <c r="BB19" s="181">
        <f t="shared" si="13"/>
        <v>6503.782998</v>
      </c>
      <c r="BC19" s="193"/>
      <c r="BD19" s="161">
        <f t="shared" si="18"/>
        <v>6503.782998</v>
      </c>
      <c r="BE19" s="162">
        <f aca="true" t="shared" si="19" ref="BE19:BE25">(AC19-BB19)+(AF19-BC19)</f>
        <v>5811.937002</v>
      </c>
      <c r="BF19" s="163">
        <f aca="true" t="shared" si="20" ref="BF19:BF24">AB19-S19</f>
        <v>1466.8899999999985</v>
      </c>
    </row>
    <row r="20" spans="1:58" ht="12.75" hidden="1">
      <c r="A20" s="159" t="s">
        <v>49</v>
      </c>
      <c r="B20" s="183">
        <v>1254.2</v>
      </c>
      <c r="C20" s="187">
        <f t="shared" si="1"/>
        <v>10848.830000000002</v>
      </c>
      <c r="D20" s="173">
        <f t="shared" si="14"/>
        <v>997.8800000000008</v>
      </c>
      <c r="E20" s="96">
        <v>865.49</v>
      </c>
      <c r="F20" s="96">
        <v>271.62</v>
      </c>
      <c r="G20" s="96">
        <v>1171.91</v>
      </c>
      <c r="H20" s="96">
        <v>368.17</v>
      </c>
      <c r="I20" s="96">
        <v>2816.38</v>
      </c>
      <c r="J20" s="96">
        <v>884.22</v>
      </c>
      <c r="K20" s="96">
        <v>1950.88</v>
      </c>
      <c r="L20" s="96">
        <v>612.62</v>
      </c>
      <c r="M20" s="97">
        <v>692.36</v>
      </c>
      <c r="N20" s="98">
        <v>217.3</v>
      </c>
      <c r="O20" s="186">
        <v>0</v>
      </c>
      <c r="P20" s="186">
        <v>0</v>
      </c>
      <c r="Q20" s="186">
        <v>0</v>
      </c>
      <c r="R20" s="186">
        <v>0</v>
      </c>
      <c r="S20" s="94">
        <f t="shared" si="2"/>
        <v>7497.02</v>
      </c>
      <c r="T20" s="174">
        <f t="shared" si="3"/>
        <v>2353.93</v>
      </c>
      <c r="U20" s="96">
        <v>716.51</v>
      </c>
      <c r="V20" s="96">
        <v>970.04</v>
      </c>
      <c r="W20" s="96">
        <v>2330.17</v>
      </c>
      <c r="X20" s="96">
        <v>1614.99</v>
      </c>
      <c r="Y20" s="96">
        <v>573.19</v>
      </c>
      <c r="Z20" s="96">
        <v>0</v>
      </c>
      <c r="AA20" s="186">
        <v>0</v>
      </c>
      <c r="AB20" s="192">
        <f t="shared" si="4"/>
        <v>6204.9</v>
      </c>
      <c r="AC20" s="175">
        <f t="shared" si="5"/>
        <v>9556.71</v>
      </c>
      <c r="AD20" s="176">
        <f t="shared" si="6"/>
        <v>0</v>
      </c>
      <c r="AE20" s="176">
        <f t="shared" si="7"/>
        <v>0</v>
      </c>
      <c r="AF20" s="176"/>
      <c r="AG20" s="24">
        <f t="shared" si="15"/>
        <v>752.52</v>
      </c>
      <c r="AH20" s="24">
        <f>B20*0.2*0.99426</f>
        <v>249.40017840000004</v>
      </c>
      <c r="AI20" s="24">
        <f>0.85*B20*0.9857</f>
        <v>1050.8251989999999</v>
      </c>
      <c r="AJ20" s="24">
        <f t="shared" si="8"/>
        <v>189.14853581999998</v>
      </c>
      <c r="AK20" s="24">
        <f>0.83*B20*0.9905</f>
        <v>1031.0966329999999</v>
      </c>
      <c r="AL20" s="24">
        <f t="shared" si="9"/>
        <v>185.59739393999996</v>
      </c>
      <c r="AM20" s="24">
        <f>(1.91)*B20*0.9904</f>
        <v>2372.5249888</v>
      </c>
      <c r="AN20" s="24">
        <f t="shared" si="10"/>
        <v>427.05449798399997</v>
      </c>
      <c r="AO20" s="24"/>
      <c r="AP20" s="24">
        <f t="shared" si="11"/>
        <v>0</v>
      </c>
      <c r="AQ20" s="177"/>
      <c r="AR20" s="177">
        <f t="shared" si="11"/>
        <v>0</v>
      </c>
      <c r="AS20" s="99"/>
      <c r="AT20" s="99"/>
      <c r="AU20" s="99">
        <f t="shared" si="12"/>
        <v>0</v>
      </c>
      <c r="AV20" s="178">
        <v>248</v>
      </c>
      <c r="AW20" s="179">
        <v>0.6</v>
      </c>
      <c r="AX20" s="24">
        <f t="shared" si="16"/>
        <v>196.65408</v>
      </c>
      <c r="AY20" s="180"/>
      <c r="AZ20" s="181"/>
      <c r="BA20" s="181">
        <f t="shared" si="17"/>
        <v>0</v>
      </c>
      <c r="BB20" s="181">
        <f t="shared" si="13"/>
        <v>6454.821506943999</v>
      </c>
      <c r="BC20" s="193"/>
      <c r="BD20" s="17">
        <f t="shared" si="18"/>
        <v>6454.821506943999</v>
      </c>
      <c r="BE20" s="138">
        <f t="shared" si="19"/>
        <v>3101.888493056</v>
      </c>
      <c r="BF20" s="139">
        <f t="shared" si="20"/>
        <v>-1292.1200000000008</v>
      </c>
    </row>
    <row r="21" spans="1:58" ht="12.75" hidden="1">
      <c r="A21" s="13" t="s">
        <v>50</v>
      </c>
      <c r="B21" s="183">
        <v>1254.2</v>
      </c>
      <c r="C21" s="187">
        <f t="shared" si="1"/>
        <v>10848.830000000002</v>
      </c>
      <c r="D21" s="173">
        <f t="shared" si="14"/>
        <v>1010.7700000000007</v>
      </c>
      <c r="E21" s="96">
        <v>857.14</v>
      </c>
      <c r="F21" s="96">
        <v>278.45</v>
      </c>
      <c r="G21" s="96">
        <v>1160.7</v>
      </c>
      <c r="H21" s="96">
        <v>377.42</v>
      </c>
      <c r="I21" s="96">
        <v>2789.3</v>
      </c>
      <c r="J21" s="96">
        <v>906.44</v>
      </c>
      <c r="K21" s="96">
        <v>1932.14</v>
      </c>
      <c r="L21" s="96">
        <v>628.02</v>
      </c>
      <c r="M21" s="97">
        <v>685.69</v>
      </c>
      <c r="N21" s="98">
        <v>222.76</v>
      </c>
      <c r="O21" s="186">
        <v>0</v>
      </c>
      <c r="P21" s="186">
        <v>0</v>
      </c>
      <c r="Q21" s="96">
        <v>0</v>
      </c>
      <c r="R21" s="96">
        <v>0</v>
      </c>
      <c r="S21" s="94">
        <f t="shared" si="2"/>
        <v>7424.970000000001</v>
      </c>
      <c r="T21" s="174">
        <f t="shared" si="3"/>
        <v>2413.0899999999997</v>
      </c>
      <c r="U21" s="96">
        <v>640.44</v>
      </c>
      <c r="V21" s="96">
        <v>866.91</v>
      </c>
      <c r="W21" s="96">
        <v>2082.79</v>
      </c>
      <c r="X21" s="96">
        <v>1443.07</v>
      </c>
      <c r="Y21" s="96">
        <v>512.37</v>
      </c>
      <c r="Z21" s="96">
        <v>0</v>
      </c>
      <c r="AA21" s="186">
        <v>0</v>
      </c>
      <c r="AB21" s="192">
        <f t="shared" si="4"/>
        <v>5545.58</v>
      </c>
      <c r="AC21" s="175">
        <f t="shared" si="5"/>
        <v>8969.44</v>
      </c>
      <c r="AD21" s="176">
        <f t="shared" si="6"/>
        <v>0</v>
      </c>
      <c r="AE21" s="176">
        <f t="shared" si="7"/>
        <v>0</v>
      </c>
      <c r="AF21" s="176"/>
      <c r="AG21" s="24">
        <f t="shared" si="15"/>
        <v>752.52</v>
      </c>
      <c r="AH21" s="24">
        <f>B21*0.2*0.99875</f>
        <v>250.52645000000004</v>
      </c>
      <c r="AI21" s="24">
        <f>0.85*B21*0.98526</f>
        <v>1050.3561282</v>
      </c>
      <c r="AJ21" s="24">
        <f t="shared" si="8"/>
        <v>189.064103076</v>
      </c>
      <c r="AK21" s="24">
        <f>0.83*B21*0.99</f>
        <v>1030.57614</v>
      </c>
      <c r="AL21" s="24">
        <f t="shared" si="9"/>
        <v>185.50370519999998</v>
      </c>
      <c r="AM21" s="24">
        <f>(1.91)*B21*0.99</f>
        <v>2371.56678</v>
      </c>
      <c r="AN21" s="24">
        <f t="shared" si="10"/>
        <v>426.8820204</v>
      </c>
      <c r="AO21" s="24"/>
      <c r="AP21" s="24">
        <f t="shared" si="11"/>
        <v>0</v>
      </c>
      <c r="AQ21" s="177"/>
      <c r="AR21" s="177">
        <f t="shared" si="11"/>
        <v>0</v>
      </c>
      <c r="AS21" s="99"/>
      <c r="AT21" s="99"/>
      <c r="AU21" s="99">
        <f t="shared" si="12"/>
        <v>0</v>
      </c>
      <c r="AV21" s="178">
        <v>293</v>
      </c>
      <c r="AW21" s="179">
        <v>0.6</v>
      </c>
      <c r="AX21" s="24">
        <f t="shared" si="16"/>
        <v>232.33727999999996</v>
      </c>
      <c r="AY21" s="180"/>
      <c r="AZ21" s="181"/>
      <c r="BA21" s="181">
        <f t="shared" si="17"/>
        <v>0</v>
      </c>
      <c r="BB21" s="181">
        <f t="shared" si="13"/>
        <v>6489.332606876</v>
      </c>
      <c r="BC21" s="193"/>
      <c r="BD21" s="17">
        <f t="shared" si="18"/>
        <v>6489.332606876</v>
      </c>
      <c r="BE21" s="138">
        <f t="shared" si="19"/>
        <v>2480.1073931240007</v>
      </c>
      <c r="BF21" s="139">
        <f t="shared" si="20"/>
        <v>-1879.3900000000012</v>
      </c>
    </row>
    <row r="22" spans="1:58" ht="13.5" hidden="1" thickBot="1">
      <c r="A22" s="156" t="s">
        <v>51</v>
      </c>
      <c r="B22" s="93">
        <v>1254.2</v>
      </c>
      <c r="C22" s="187">
        <f t="shared" si="1"/>
        <v>10848.830000000002</v>
      </c>
      <c r="D22" s="173">
        <f t="shared" si="14"/>
        <v>1000.3600000000021</v>
      </c>
      <c r="E22" s="94">
        <v>851.09</v>
      </c>
      <c r="F22" s="94">
        <v>285.73</v>
      </c>
      <c r="G22" s="94">
        <v>1152.42</v>
      </c>
      <c r="H22" s="94">
        <v>387.29</v>
      </c>
      <c r="I22" s="94">
        <v>2769.51</v>
      </c>
      <c r="J22" s="94">
        <v>930.15</v>
      </c>
      <c r="K22" s="94">
        <v>1918.41</v>
      </c>
      <c r="L22" s="94">
        <v>644.44</v>
      </c>
      <c r="M22" s="91">
        <v>680.84</v>
      </c>
      <c r="N22" s="95">
        <v>228.59</v>
      </c>
      <c r="O22" s="120">
        <v>0</v>
      </c>
      <c r="P22" s="120">
        <v>0</v>
      </c>
      <c r="Q22" s="120">
        <v>0</v>
      </c>
      <c r="R22" s="120">
        <v>0</v>
      </c>
      <c r="S22" s="94">
        <f t="shared" si="2"/>
        <v>7372.27</v>
      </c>
      <c r="T22" s="174">
        <f t="shared" si="3"/>
        <v>2476.2000000000003</v>
      </c>
      <c r="U22" s="94">
        <v>807.95</v>
      </c>
      <c r="V22" s="94">
        <v>1094.01</v>
      </c>
      <c r="W22" s="94">
        <v>2626.88</v>
      </c>
      <c r="X22" s="94">
        <v>1821.14</v>
      </c>
      <c r="Y22" s="94">
        <v>646.29</v>
      </c>
      <c r="Z22" s="94">
        <v>0</v>
      </c>
      <c r="AA22" s="120">
        <v>0</v>
      </c>
      <c r="AB22" s="192">
        <f t="shared" si="4"/>
        <v>6996.27</v>
      </c>
      <c r="AC22" s="175">
        <f t="shared" si="5"/>
        <v>10472.830000000002</v>
      </c>
      <c r="AD22" s="176">
        <f t="shared" si="6"/>
        <v>0</v>
      </c>
      <c r="AE22" s="176">
        <f t="shared" si="7"/>
        <v>0</v>
      </c>
      <c r="AF22" s="176"/>
      <c r="AG22" s="24">
        <f t="shared" si="15"/>
        <v>752.52</v>
      </c>
      <c r="AH22" s="24">
        <f>B22*0.2*0.9997</f>
        <v>250.76474800000005</v>
      </c>
      <c r="AI22" s="24">
        <f>0.85*B22*0.98509</f>
        <v>1050.1748963</v>
      </c>
      <c r="AJ22" s="24">
        <f t="shared" si="8"/>
        <v>189.031481334</v>
      </c>
      <c r="AK22" s="24">
        <f>0.83*B22*0.98981</f>
        <v>1030.3783526599998</v>
      </c>
      <c r="AL22" s="24">
        <f t="shared" si="9"/>
        <v>185.46810347879995</v>
      </c>
      <c r="AM22" s="24">
        <f>(1.91)*B22*0.9898</f>
        <v>2371.0876756</v>
      </c>
      <c r="AN22" s="24">
        <f t="shared" si="10"/>
        <v>426.79578160799997</v>
      </c>
      <c r="AO22" s="24"/>
      <c r="AP22" s="24">
        <f t="shared" si="11"/>
        <v>0</v>
      </c>
      <c r="AQ22" s="177"/>
      <c r="AR22" s="177">
        <f t="shared" si="11"/>
        <v>0</v>
      </c>
      <c r="AS22" s="99"/>
      <c r="AT22" s="99"/>
      <c r="AU22" s="99">
        <f t="shared" si="12"/>
        <v>0</v>
      </c>
      <c r="AV22" s="178">
        <v>349</v>
      </c>
      <c r="AW22" s="179">
        <v>0.6</v>
      </c>
      <c r="AX22" s="24">
        <f t="shared" si="16"/>
        <v>276.74304</v>
      </c>
      <c r="AY22" s="180"/>
      <c r="AZ22" s="181"/>
      <c r="BA22" s="181">
        <f t="shared" si="17"/>
        <v>0</v>
      </c>
      <c r="BB22" s="181">
        <f t="shared" si="13"/>
        <v>6532.9640789808</v>
      </c>
      <c r="BC22" s="193"/>
      <c r="BD22" s="161">
        <f t="shared" si="18"/>
        <v>6532.9640789808</v>
      </c>
      <c r="BE22" s="158">
        <f t="shared" si="19"/>
        <v>3939.865921019202</v>
      </c>
      <c r="BF22" s="163">
        <f t="shared" si="20"/>
        <v>-376</v>
      </c>
    </row>
    <row r="23" spans="1:58" ht="12.75" hidden="1">
      <c r="A23" s="164" t="s">
        <v>39</v>
      </c>
      <c r="B23" s="93">
        <v>1254.2</v>
      </c>
      <c r="C23" s="172">
        <f t="shared" si="1"/>
        <v>10848.830000000002</v>
      </c>
      <c r="D23" s="173">
        <f t="shared" si="14"/>
        <v>990.8600000000008</v>
      </c>
      <c r="E23" s="100">
        <f>861.21-6.67</f>
        <v>854.5400000000001</v>
      </c>
      <c r="F23" s="94">
        <v>283.4</v>
      </c>
      <c r="G23" s="94">
        <f>1166.07-9.05</f>
        <v>1157.02</v>
      </c>
      <c r="H23" s="94">
        <v>384.14</v>
      </c>
      <c r="I23" s="94">
        <f>2802.39-21.73</f>
        <v>2780.66</v>
      </c>
      <c r="J23" s="94">
        <v>922.58</v>
      </c>
      <c r="K23" s="94">
        <f>1941.17-15.05</f>
        <v>1926.1200000000001</v>
      </c>
      <c r="L23" s="94">
        <v>639.19</v>
      </c>
      <c r="M23" s="94">
        <f>688.93-5.34</f>
        <v>683.5899999999999</v>
      </c>
      <c r="N23" s="120">
        <v>226.73</v>
      </c>
      <c r="O23" s="120">
        <v>0</v>
      </c>
      <c r="P23" s="120">
        <v>0</v>
      </c>
      <c r="Q23" s="94">
        <v>0</v>
      </c>
      <c r="R23" s="94">
        <v>0</v>
      </c>
      <c r="S23" s="94">
        <f t="shared" si="2"/>
        <v>7401.929999999999</v>
      </c>
      <c r="T23" s="174">
        <f t="shared" si="3"/>
        <v>2456.04</v>
      </c>
      <c r="U23" s="101">
        <f>859.79+197.12</f>
        <v>1056.9099999999999</v>
      </c>
      <c r="V23" s="94">
        <f>1164.79+266.98</f>
        <v>1431.77</v>
      </c>
      <c r="W23" s="94">
        <f>2798.42+640.8</f>
        <v>3439.2200000000003</v>
      </c>
      <c r="X23" s="94">
        <f>1938.64+444.41</f>
        <v>2383.05</v>
      </c>
      <c r="Y23" s="94">
        <f>687.83+157.69</f>
        <v>845.52</v>
      </c>
      <c r="Z23" s="120">
        <v>0</v>
      </c>
      <c r="AA23" s="120">
        <v>0</v>
      </c>
      <c r="AB23" s="120">
        <f>SUM(U23:AA23)</f>
        <v>9156.470000000001</v>
      </c>
      <c r="AC23" s="175">
        <f>AB23+T23+D23</f>
        <v>12603.370000000003</v>
      </c>
      <c r="AD23" s="176">
        <f t="shared" si="6"/>
        <v>0</v>
      </c>
      <c r="AE23" s="176">
        <f t="shared" si="7"/>
        <v>0</v>
      </c>
      <c r="AF23" s="176"/>
      <c r="AG23" s="24">
        <f t="shared" si="15"/>
        <v>752.52</v>
      </c>
      <c r="AH23" s="24">
        <f>B23*0.2</f>
        <v>250.84000000000003</v>
      </c>
      <c r="AI23" s="24">
        <f>0.847*B23</f>
        <v>1062.3074</v>
      </c>
      <c r="AJ23" s="24">
        <f t="shared" si="8"/>
        <v>191.215332</v>
      </c>
      <c r="AK23" s="24">
        <f>0.83*B23</f>
        <v>1040.9859999999999</v>
      </c>
      <c r="AL23" s="24">
        <f t="shared" si="9"/>
        <v>187.37747999999996</v>
      </c>
      <c r="AM23" s="24">
        <f>(2.25/1.18)*B23</f>
        <v>2391.483050847458</v>
      </c>
      <c r="AN23" s="24">
        <f t="shared" si="10"/>
        <v>430.4669491525424</v>
      </c>
      <c r="AO23" s="24"/>
      <c r="AP23" s="24">
        <f t="shared" si="11"/>
        <v>0</v>
      </c>
      <c r="AQ23" s="177"/>
      <c r="AR23" s="177">
        <f t="shared" si="11"/>
        <v>0</v>
      </c>
      <c r="AS23" s="99">
        <v>0</v>
      </c>
      <c r="AT23" s="99"/>
      <c r="AU23" s="99">
        <f t="shared" si="12"/>
        <v>0</v>
      </c>
      <c r="AV23" s="178">
        <v>425</v>
      </c>
      <c r="AW23" s="179">
        <v>0.6</v>
      </c>
      <c r="AX23" s="24">
        <f t="shared" si="16"/>
        <v>337.008</v>
      </c>
      <c r="AY23" s="180"/>
      <c r="AZ23" s="200"/>
      <c r="BA23" s="181">
        <f t="shared" si="17"/>
        <v>0</v>
      </c>
      <c r="BB23" s="181">
        <f>SUM(AG23:AU23)+AX23+AY23+AZ23+BA23</f>
        <v>6644.204212000001</v>
      </c>
      <c r="BC23" s="193"/>
      <c r="BD23" s="165">
        <f t="shared" si="18"/>
        <v>6644.204212000001</v>
      </c>
      <c r="BE23" s="138">
        <f>(AC23-BB23)+(AF23-BC23)</f>
        <v>5959.165788000002</v>
      </c>
      <c r="BF23" s="138">
        <f t="shared" si="20"/>
        <v>1754.5400000000018</v>
      </c>
    </row>
    <row r="24" spans="1:58" ht="12.75" hidden="1">
      <c r="A24" s="13" t="s">
        <v>40</v>
      </c>
      <c r="B24" s="183">
        <v>1254.2</v>
      </c>
      <c r="C24" s="172">
        <f t="shared" si="1"/>
        <v>10848.830000000002</v>
      </c>
      <c r="D24" s="173">
        <f t="shared" si="14"/>
        <v>990.8600000000008</v>
      </c>
      <c r="E24" s="94">
        <f>861.21-6.67</f>
        <v>854.5400000000001</v>
      </c>
      <c r="F24" s="94">
        <v>283.4</v>
      </c>
      <c r="G24" s="94">
        <f>1166.07-9.05</f>
        <v>1157.02</v>
      </c>
      <c r="H24" s="94">
        <v>384.14</v>
      </c>
      <c r="I24" s="94">
        <f>2802.39-21.73</f>
        <v>2780.66</v>
      </c>
      <c r="J24" s="94">
        <v>922.58</v>
      </c>
      <c r="K24" s="94">
        <f>1941.17-15.05</f>
        <v>1926.1200000000001</v>
      </c>
      <c r="L24" s="94">
        <v>639.19</v>
      </c>
      <c r="M24" s="91">
        <f>688.93-5.34</f>
        <v>683.5899999999999</v>
      </c>
      <c r="N24" s="95">
        <v>226.73</v>
      </c>
      <c r="O24" s="120">
        <v>0</v>
      </c>
      <c r="P24" s="120">
        <v>0</v>
      </c>
      <c r="Q24" s="120">
        <v>0</v>
      </c>
      <c r="R24" s="120">
        <v>0</v>
      </c>
      <c r="S24" s="94">
        <f t="shared" si="2"/>
        <v>7401.929999999999</v>
      </c>
      <c r="T24" s="174">
        <f t="shared" si="3"/>
        <v>2456.04</v>
      </c>
      <c r="U24" s="94">
        <v>757.82</v>
      </c>
      <c r="V24" s="94">
        <v>1026.02</v>
      </c>
      <c r="W24" s="94">
        <v>2464.71</v>
      </c>
      <c r="X24" s="94">
        <v>1708</v>
      </c>
      <c r="Y24" s="94">
        <v>606.19</v>
      </c>
      <c r="Z24" s="94">
        <v>0</v>
      </c>
      <c r="AA24" s="120">
        <v>0</v>
      </c>
      <c r="AB24" s="120">
        <f>SUM(U24:AA24)</f>
        <v>6562.74</v>
      </c>
      <c r="AC24" s="175">
        <f>D24+T24+AB24</f>
        <v>10009.64</v>
      </c>
      <c r="AD24" s="176">
        <f t="shared" si="6"/>
        <v>0</v>
      </c>
      <c r="AE24" s="176">
        <f t="shared" si="7"/>
        <v>0</v>
      </c>
      <c r="AF24" s="176"/>
      <c r="AG24" s="24">
        <f t="shared" si="15"/>
        <v>752.52</v>
      </c>
      <c r="AH24" s="24">
        <f>B24*0.2</f>
        <v>250.84000000000003</v>
      </c>
      <c r="AI24" s="24">
        <f>0.85*B24</f>
        <v>1066.07</v>
      </c>
      <c r="AJ24" s="24">
        <f t="shared" si="8"/>
        <v>191.8926</v>
      </c>
      <c r="AK24" s="24">
        <f>0.83*B24</f>
        <v>1040.9859999999999</v>
      </c>
      <c r="AL24" s="24">
        <f t="shared" si="9"/>
        <v>187.37747999999996</v>
      </c>
      <c r="AM24" s="24">
        <f>(1.91)*B24</f>
        <v>2395.522</v>
      </c>
      <c r="AN24" s="24">
        <f t="shared" si="10"/>
        <v>431.19395999999995</v>
      </c>
      <c r="AO24" s="24"/>
      <c r="AP24" s="24">
        <f t="shared" si="11"/>
        <v>0</v>
      </c>
      <c r="AQ24" s="177"/>
      <c r="AR24" s="177">
        <f t="shared" si="11"/>
        <v>0</v>
      </c>
      <c r="AS24" s="99">
        <v>1926</v>
      </c>
      <c r="AT24" s="99"/>
      <c r="AU24" s="99">
        <f t="shared" si="12"/>
        <v>346.68</v>
      </c>
      <c r="AV24" s="178">
        <v>470</v>
      </c>
      <c r="AW24" s="179">
        <v>0.6</v>
      </c>
      <c r="AX24" s="24">
        <f t="shared" si="16"/>
        <v>372.69120000000004</v>
      </c>
      <c r="AY24" s="180"/>
      <c r="AZ24" s="181"/>
      <c r="BA24" s="181">
        <f t="shared" si="17"/>
        <v>0</v>
      </c>
      <c r="BB24" s="181">
        <f>SUM(AG24:AU24)+AX24+AY24+AZ24+BA24</f>
        <v>8961.77324</v>
      </c>
      <c r="BC24" s="182"/>
      <c r="BD24" s="64">
        <f t="shared" si="18"/>
        <v>8961.77324</v>
      </c>
      <c r="BE24" s="138">
        <f t="shared" si="19"/>
        <v>1047.866759999999</v>
      </c>
      <c r="BF24" s="138">
        <f t="shared" si="20"/>
        <v>-839.1899999999996</v>
      </c>
    </row>
    <row r="25" spans="1:58" s="137" customFormat="1" ht="12.75" hidden="1">
      <c r="A25" s="136" t="s">
        <v>41</v>
      </c>
      <c r="B25" s="93">
        <v>1254.2</v>
      </c>
      <c r="C25" s="172">
        <f t="shared" si="1"/>
        <v>10848.830000000002</v>
      </c>
      <c r="D25" s="173">
        <f t="shared" si="14"/>
        <v>1011.5100000000019</v>
      </c>
      <c r="E25" s="94">
        <v>860.73</v>
      </c>
      <c r="F25" s="94">
        <v>274.78</v>
      </c>
      <c r="G25" s="94">
        <v>1165.55</v>
      </c>
      <c r="H25" s="94">
        <v>372.45</v>
      </c>
      <c r="I25" s="94">
        <v>2800.96</v>
      </c>
      <c r="J25" s="94">
        <v>894.51</v>
      </c>
      <c r="K25" s="94">
        <v>1940.22</v>
      </c>
      <c r="L25" s="94">
        <v>619.74</v>
      </c>
      <c r="M25" s="91">
        <v>688.55</v>
      </c>
      <c r="N25" s="95">
        <v>219.83</v>
      </c>
      <c r="O25" s="120">
        <v>0</v>
      </c>
      <c r="P25" s="120">
        <v>0</v>
      </c>
      <c r="Q25" s="120"/>
      <c r="R25" s="120"/>
      <c r="S25" s="94">
        <f t="shared" si="2"/>
        <v>7456.01</v>
      </c>
      <c r="T25" s="174">
        <f t="shared" si="3"/>
        <v>2381.3099999999995</v>
      </c>
      <c r="U25" s="94">
        <v>862.08</v>
      </c>
      <c r="V25" s="94">
        <v>1167.4</v>
      </c>
      <c r="W25" s="94">
        <v>2805.19</v>
      </c>
      <c r="X25" s="94">
        <v>1943.3</v>
      </c>
      <c r="Y25" s="94">
        <v>689.63</v>
      </c>
      <c r="Z25" s="94">
        <v>0</v>
      </c>
      <c r="AA25" s="120">
        <v>0</v>
      </c>
      <c r="AB25" s="120">
        <f>SUM(U25:AA25)</f>
        <v>7467.6</v>
      </c>
      <c r="AC25" s="175">
        <f>D25+T25+AB25</f>
        <v>10860.420000000002</v>
      </c>
      <c r="AD25" s="176">
        <f t="shared" si="6"/>
        <v>0</v>
      </c>
      <c r="AE25" s="176">
        <f t="shared" si="7"/>
        <v>0</v>
      </c>
      <c r="AF25" s="176"/>
      <c r="AG25" s="24">
        <f t="shared" si="15"/>
        <v>752.52</v>
      </c>
      <c r="AH25" s="24">
        <f>B25*0.2</f>
        <v>250.84000000000003</v>
      </c>
      <c r="AI25" s="24">
        <f>0.85*B25</f>
        <v>1066.07</v>
      </c>
      <c r="AJ25" s="24">
        <f t="shared" si="8"/>
        <v>191.8926</v>
      </c>
      <c r="AK25" s="24">
        <f>0.83*B25</f>
        <v>1040.9859999999999</v>
      </c>
      <c r="AL25" s="24">
        <f t="shared" si="9"/>
        <v>187.37747999999996</v>
      </c>
      <c r="AM25" s="24">
        <f>(1.91)*B25</f>
        <v>2395.522</v>
      </c>
      <c r="AN25" s="24">
        <f t="shared" si="10"/>
        <v>431.19395999999995</v>
      </c>
      <c r="AO25" s="24"/>
      <c r="AP25" s="24">
        <f t="shared" si="11"/>
        <v>0</v>
      </c>
      <c r="AQ25" s="177"/>
      <c r="AR25" s="177">
        <f t="shared" si="11"/>
        <v>0</v>
      </c>
      <c r="AS25" s="99">
        <v>10185</v>
      </c>
      <c r="AT25" s="99"/>
      <c r="AU25" s="99">
        <f t="shared" si="12"/>
        <v>1833.3</v>
      </c>
      <c r="AV25" s="178">
        <v>514</v>
      </c>
      <c r="AW25" s="179">
        <v>0.6</v>
      </c>
      <c r="AX25" s="24">
        <f t="shared" si="16"/>
        <v>407.58144</v>
      </c>
      <c r="AY25" s="180"/>
      <c r="AZ25" s="181"/>
      <c r="BA25" s="181">
        <f t="shared" si="17"/>
        <v>0</v>
      </c>
      <c r="BB25" s="181">
        <f>SUM(AG25:BA25)-AV25-AW25</f>
        <v>18742.283480000002</v>
      </c>
      <c r="BC25" s="182"/>
      <c r="BD25" s="92">
        <f t="shared" si="18"/>
        <v>18742.283480000002</v>
      </c>
      <c r="BE25" s="138">
        <f t="shared" si="19"/>
        <v>-7881.86348</v>
      </c>
      <c r="BF25" s="138">
        <f>AB25-S25</f>
        <v>11.590000000000146</v>
      </c>
    </row>
    <row r="26" spans="1:58" s="23" customFormat="1" ht="12.75" hidden="1">
      <c r="A26" s="18" t="s">
        <v>3</v>
      </c>
      <c r="B26" s="19"/>
      <c r="C26" s="19">
        <f>SUM(C14:C25)</f>
        <v>130185.96000000002</v>
      </c>
      <c r="D26" s="19">
        <f aca="true" t="shared" si="21" ref="D26:BF26">SUM(D14:D25)</f>
        <v>13371.78500000001</v>
      </c>
      <c r="E26" s="19">
        <f t="shared" si="21"/>
        <v>9912.28</v>
      </c>
      <c r="F26" s="19">
        <f t="shared" si="21"/>
        <v>3297.4799999999996</v>
      </c>
      <c r="G26" s="19">
        <f t="shared" si="21"/>
        <v>13403.32</v>
      </c>
      <c r="H26" s="19">
        <f t="shared" si="21"/>
        <v>4463.79</v>
      </c>
      <c r="I26" s="19">
        <f t="shared" si="21"/>
        <v>32228.53</v>
      </c>
      <c r="J26" s="19">
        <f t="shared" si="21"/>
        <v>10728.78</v>
      </c>
      <c r="K26" s="19">
        <f t="shared" si="21"/>
        <v>22320.469999999998</v>
      </c>
      <c r="L26" s="19">
        <f t="shared" si="21"/>
        <v>7431.460000000001</v>
      </c>
      <c r="M26" s="19">
        <f t="shared" si="21"/>
        <v>7991.250000000001</v>
      </c>
      <c r="N26" s="19">
        <f t="shared" si="21"/>
        <v>2637.97</v>
      </c>
      <c r="O26" s="19">
        <f t="shared" si="21"/>
        <v>0</v>
      </c>
      <c r="P26" s="19">
        <f t="shared" si="21"/>
        <v>0</v>
      </c>
      <c r="Q26" s="19">
        <f t="shared" si="21"/>
        <v>0</v>
      </c>
      <c r="R26" s="19">
        <f t="shared" si="21"/>
        <v>0</v>
      </c>
      <c r="S26" s="19">
        <f t="shared" si="21"/>
        <v>85855.84999999999</v>
      </c>
      <c r="T26" s="19">
        <f t="shared" si="21"/>
        <v>28559.480000000003</v>
      </c>
      <c r="U26" s="19">
        <f t="shared" si="21"/>
        <v>9240.210000000001</v>
      </c>
      <c r="V26" s="19">
        <f t="shared" si="21"/>
        <v>12513</v>
      </c>
      <c r="W26" s="19">
        <f t="shared" si="21"/>
        <v>30064.270000000004</v>
      </c>
      <c r="X26" s="19">
        <f t="shared" si="21"/>
        <v>20839.19</v>
      </c>
      <c r="Y26" s="19">
        <f t="shared" si="21"/>
        <v>7401.150000000001</v>
      </c>
      <c r="Z26" s="19">
        <f t="shared" si="21"/>
        <v>0</v>
      </c>
      <c r="AA26" s="19">
        <f t="shared" si="21"/>
        <v>0</v>
      </c>
      <c r="AB26" s="19">
        <f t="shared" si="21"/>
        <v>80057.82</v>
      </c>
      <c r="AC26" s="19">
        <f t="shared" si="21"/>
        <v>121989.08500000002</v>
      </c>
      <c r="AD26" s="19">
        <f t="shared" si="21"/>
        <v>0</v>
      </c>
      <c r="AE26" s="19">
        <f t="shared" si="21"/>
        <v>0</v>
      </c>
      <c r="AF26" s="19">
        <f t="shared" si="21"/>
        <v>0</v>
      </c>
      <c r="AG26" s="19">
        <f t="shared" si="21"/>
        <v>8729.232000000002</v>
      </c>
      <c r="AH26" s="19">
        <f t="shared" si="21"/>
        <v>2922.551890400001</v>
      </c>
      <c r="AI26" s="19">
        <f t="shared" si="21"/>
        <v>12203.731666499998</v>
      </c>
      <c r="AJ26" s="19">
        <f t="shared" si="21"/>
        <v>2196.67169997</v>
      </c>
      <c r="AK26" s="19">
        <f t="shared" si="21"/>
        <v>11862.045879860001</v>
      </c>
      <c r="AL26" s="19">
        <f t="shared" si="21"/>
        <v>2135.1682583747993</v>
      </c>
      <c r="AM26" s="19">
        <f t="shared" si="21"/>
        <v>27293.173793047463</v>
      </c>
      <c r="AN26" s="19">
        <f t="shared" si="21"/>
        <v>4912.771282748542</v>
      </c>
      <c r="AO26" s="19">
        <f t="shared" si="21"/>
        <v>0</v>
      </c>
      <c r="AP26" s="19">
        <f t="shared" si="21"/>
        <v>0</v>
      </c>
      <c r="AQ26" s="166">
        <f t="shared" si="21"/>
        <v>1916.46</v>
      </c>
      <c r="AR26" s="166">
        <f t="shared" si="21"/>
        <v>344.9628</v>
      </c>
      <c r="AS26" s="20">
        <f t="shared" si="21"/>
        <v>24621</v>
      </c>
      <c r="AT26" s="20">
        <f t="shared" si="21"/>
        <v>0</v>
      </c>
      <c r="AU26" s="20">
        <f t="shared" si="21"/>
        <v>4431.79</v>
      </c>
      <c r="AV26" s="19">
        <f t="shared" si="21"/>
        <v>4400</v>
      </c>
      <c r="AW26" s="19">
        <f t="shared" si="21"/>
        <v>7.199999999999998</v>
      </c>
      <c r="AX26" s="19">
        <f t="shared" si="21"/>
        <v>3489.0231999999996</v>
      </c>
      <c r="AY26" s="19">
        <f t="shared" si="21"/>
        <v>0</v>
      </c>
      <c r="AZ26" s="19">
        <f t="shared" si="21"/>
        <v>0</v>
      </c>
      <c r="BA26" s="19">
        <f t="shared" si="21"/>
        <v>0</v>
      </c>
      <c r="BB26" s="19">
        <f t="shared" si="21"/>
        <v>107058.58247090079</v>
      </c>
      <c r="BC26" s="19">
        <f t="shared" si="21"/>
        <v>0</v>
      </c>
      <c r="BD26" s="19">
        <f t="shared" si="21"/>
        <v>97402.08271899678</v>
      </c>
      <c r="BE26" s="19">
        <f t="shared" si="21"/>
        <v>14930.502529099205</v>
      </c>
      <c r="BF26" s="167">
        <f t="shared" si="21"/>
        <v>-5798.030000000002</v>
      </c>
    </row>
    <row r="27" spans="1:58" s="23" customFormat="1" ht="12.75" hidden="1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125"/>
      <c r="AE27" s="125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87"/>
      <c r="AQ27" s="168"/>
      <c r="AR27" s="168"/>
      <c r="AS27" s="87"/>
      <c r="AT27" s="87"/>
      <c r="AU27" s="87"/>
      <c r="AV27" s="22"/>
      <c r="AW27" s="22"/>
      <c r="AX27" s="102"/>
      <c r="AY27" s="60"/>
      <c r="AZ27" s="60"/>
      <c r="BA27" s="60"/>
      <c r="BB27" s="60"/>
      <c r="BC27" s="60"/>
      <c r="BD27" s="60"/>
      <c r="BE27" s="60"/>
      <c r="BF27" s="169"/>
    </row>
    <row r="28" spans="1:58" s="23" customFormat="1" ht="13.5" hidden="1" thickBot="1">
      <c r="A28" s="26" t="s">
        <v>52</v>
      </c>
      <c r="B28" s="27"/>
      <c r="C28" s="27">
        <f>C12+C26</f>
        <v>162732.45</v>
      </c>
      <c r="D28" s="27">
        <f aca="true" t="shared" si="22" ref="D28:BF28">D12+D26</f>
        <v>21205.83363130001</v>
      </c>
      <c r="E28" s="27">
        <f t="shared" si="22"/>
        <v>12244.060000000001</v>
      </c>
      <c r="F28" s="27">
        <f t="shared" si="22"/>
        <v>4879.969999999999</v>
      </c>
      <c r="G28" s="27">
        <f t="shared" si="22"/>
        <v>16543.19</v>
      </c>
      <c r="H28" s="27">
        <f t="shared" si="22"/>
        <v>5543.67</v>
      </c>
      <c r="I28" s="27">
        <f t="shared" si="22"/>
        <v>39806.95</v>
      </c>
      <c r="J28" s="27">
        <f t="shared" si="22"/>
        <v>13328.460000000001</v>
      </c>
      <c r="K28" s="27">
        <f t="shared" si="22"/>
        <v>27567.03</v>
      </c>
      <c r="L28" s="27">
        <f t="shared" si="22"/>
        <v>9231.25</v>
      </c>
      <c r="M28" s="27">
        <f t="shared" si="22"/>
        <v>9856.660000000002</v>
      </c>
      <c r="N28" s="27">
        <f t="shared" si="22"/>
        <v>3277.8399999999997</v>
      </c>
      <c r="O28" s="27">
        <f t="shared" si="22"/>
        <v>0</v>
      </c>
      <c r="P28" s="27">
        <f t="shared" si="22"/>
        <v>0</v>
      </c>
      <c r="Q28" s="27">
        <f t="shared" si="22"/>
        <v>0</v>
      </c>
      <c r="R28" s="27">
        <f t="shared" si="22"/>
        <v>0</v>
      </c>
      <c r="S28" s="27">
        <f t="shared" si="22"/>
        <v>106017.88999999998</v>
      </c>
      <c r="T28" s="27">
        <f t="shared" si="22"/>
        <v>36261.19</v>
      </c>
      <c r="U28" s="27">
        <f t="shared" si="22"/>
        <v>10595.550000000001</v>
      </c>
      <c r="V28" s="27">
        <f t="shared" si="22"/>
        <v>14321.21</v>
      </c>
      <c r="W28" s="27">
        <f t="shared" si="22"/>
        <v>34445.030000000006</v>
      </c>
      <c r="X28" s="27">
        <f t="shared" si="22"/>
        <v>23852.82</v>
      </c>
      <c r="Y28" s="27">
        <f t="shared" si="22"/>
        <v>8472.69</v>
      </c>
      <c r="Z28" s="27">
        <f t="shared" si="22"/>
        <v>0</v>
      </c>
      <c r="AA28" s="27">
        <f t="shared" si="22"/>
        <v>0</v>
      </c>
      <c r="AB28" s="27">
        <f t="shared" si="22"/>
        <v>91687.3</v>
      </c>
      <c r="AC28" s="27">
        <f t="shared" si="22"/>
        <v>149154.3236313</v>
      </c>
      <c r="AD28" s="27">
        <f t="shared" si="22"/>
        <v>0</v>
      </c>
      <c r="AE28" s="27">
        <f t="shared" si="22"/>
        <v>0</v>
      </c>
      <c r="AF28" s="27">
        <f t="shared" si="22"/>
        <v>0</v>
      </c>
      <c r="AG28" s="27">
        <f t="shared" si="22"/>
        <v>10986.792000000001</v>
      </c>
      <c r="AH28" s="27">
        <f t="shared" si="22"/>
        <v>3697.271230400001</v>
      </c>
      <c r="AI28" s="27">
        <f t="shared" si="22"/>
        <v>15405.603930499998</v>
      </c>
      <c r="AJ28" s="27">
        <f>AJ12+AJ26</f>
        <v>2773.0087074900002</v>
      </c>
      <c r="AK28" s="27">
        <f t="shared" si="22"/>
        <v>15588.012202900001</v>
      </c>
      <c r="AL28" s="27">
        <f t="shared" si="22"/>
        <v>2805.8421965219995</v>
      </c>
      <c r="AM28" s="27">
        <f t="shared" si="22"/>
        <v>34136.054251707465</v>
      </c>
      <c r="AN28" s="27">
        <f t="shared" si="22"/>
        <v>6144.489765307342</v>
      </c>
      <c r="AO28" s="27">
        <f t="shared" si="22"/>
        <v>0</v>
      </c>
      <c r="AP28" s="27">
        <f t="shared" si="22"/>
        <v>0</v>
      </c>
      <c r="AQ28" s="170">
        <f t="shared" si="22"/>
        <v>1916.46</v>
      </c>
      <c r="AR28" s="170">
        <f t="shared" si="22"/>
        <v>344.9628</v>
      </c>
      <c r="AS28" s="171">
        <f t="shared" si="22"/>
        <v>32684.04</v>
      </c>
      <c r="AT28" s="171">
        <f t="shared" si="22"/>
        <v>0</v>
      </c>
      <c r="AU28" s="171">
        <f t="shared" si="22"/>
        <v>5883.1372</v>
      </c>
      <c r="AV28" s="27">
        <f t="shared" si="22"/>
        <v>4400</v>
      </c>
      <c r="AW28" s="27">
        <f t="shared" si="22"/>
        <v>7.199999999999998</v>
      </c>
      <c r="AX28" s="27">
        <f t="shared" si="22"/>
        <v>3489.0231999999996</v>
      </c>
      <c r="AY28" s="27">
        <f t="shared" si="22"/>
        <v>0</v>
      </c>
      <c r="AZ28" s="27">
        <f t="shared" si="22"/>
        <v>0</v>
      </c>
      <c r="BA28" s="27">
        <f t="shared" si="22"/>
        <v>0</v>
      </c>
      <c r="BB28" s="27">
        <f t="shared" si="22"/>
        <v>135854.6974848268</v>
      </c>
      <c r="BC28" s="27">
        <f t="shared" si="22"/>
        <v>0</v>
      </c>
      <c r="BD28" s="27">
        <f t="shared" si="22"/>
        <v>126198.19773292278</v>
      </c>
      <c r="BE28" s="27">
        <f t="shared" si="22"/>
        <v>13299.626146473209</v>
      </c>
      <c r="BF28" s="27">
        <f t="shared" si="22"/>
        <v>-14330.59</v>
      </c>
    </row>
    <row r="29" spans="1:58" ht="15" customHeight="1" hidden="1">
      <c r="A29" s="8" t="s">
        <v>91</v>
      </c>
      <c r="B29" s="80"/>
      <c r="C29" s="143"/>
      <c r="D29" s="143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5"/>
      <c r="P29" s="146"/>
      <c r="Q29" s="147"/>
      <c r="R29" s="147"/>
      <c r="S29" s="147"/>
      <c r="T29" s="147"/>
      <c r="U29" s="148"/>
      <c r="V29" s="148"/>
      <c r="W29" s="148"/>
      <c r="X29" s="148"/>
      <c r="Y29" s="148"/>
      <c r="Z29" s="148"/>
      <c r="AA29" s="149"/>
      <c r="AB29" s="149"/>
      <c r="AC29" s="150"/>
      <c r="AD29" s="151"/>
      <c r="AE29" s="151"/>
      <c r="AF29" s="63"/>
      <c r="AG29" s="63"/>
      <c r="AH29" s="63"/>
      <c r="AI29" s="63"/>
      <c r="AJ29" s="63"/>
      <c r="AK29" s="63"/>
      <c r="AL29" s="63"/>
      <c r="AM29" s="63"/>
      <c r="AN29" s="81"/>
      <c r="AO29" s="81"/>
      <c r="AP29" s="81"/>
      <c r="AQ29" s="152"/>
      <c r="AR29" s="153"/>
      <c r="AS29" s="126"/>
      <c r="AT29" s="126"/>
      <c r="AU29" s="154"/>
      <c r="AV29" s="63"/>
      <c r="AW29" s="63"/>
      <c r="AX29" s="64"/>
      <c r="AY29" s="1"/>
      <c r="AZ29" s="1"/>
      <c r="BA29" s="1"/>
      <c r="BB29" s="1"/>
      <c r="BC29" s="1"/>
      <c r="BD29" s="1"/>
      <c r="BE29" s="1"/>
      <c r="BF29" s="133"/>
    </row>
    <row r="30" spans="1:58" ht="12.75" hidden="1">
      <c r="A30" s="13" t="s">
        <v>43</v>
      </c>
      <c r="B30" s="93">
        <v>1254.2</v>
      </c>
      <c r="C30" s="172">
        <f aca="true" t="shared" si="23" ref="C30:C41">B30*8.65</f>
        <v>10848.830000000002</v>
      </c>
      <c r="D30" s="173">
        <f aca="true" t="shared" si="24" ref="D30:D37">C30-E30-F30-G30-H30-I30-J30-K30-L30-M30-N30</f>
        <v>1010.4100000000008</v>
      </c>
      <c r="E30" s="94">
        <v>862.14</v>
      </c>
      <c r="F30" s="94">
        <v>273.5</v>
      </c>
      <c r="G30" s="94">
        <v>1167.45</v>
      </c>
      <c r="H30" s="94">
        <v>370.72</v>
      </c>
      <c r="I30" s="94">
        <v>2805.53</v>
      </c>
      <c r="J30" s="94">
        <v>890.35</v>
      </c>
      <c r="K30" s="94">
        <v>1943.39</v>
      </c>
      <c r="L30" s="94">
        <v>616.86</v>
      </c>
      <c r="M30" s="91">
        <v>689.67</v>
      </c>
      <c r="N30" s="95">
        <v>218.81</v>
      </c>
      <c r="O30" s="120">
        <v>0</v>
      </c>
      <c r="P30" s="120">
        <v>0</v>
      </c>
      <c r="Q30" s="120"/>
      <c r="R30" s="120"/>
      <c r="S30" s="94">
        <f aca="true" t="shared" si="25" ref="S30:S41">E30+G30+I30+K30+M30+O30+Q30</f>
        <v>7468.180000000001</v>
      </c>
      <c r="T30" s="174">
        <f aca="true" t="shared" si="26" ref="T30:T41">P30+N30+L30+J30+H30+F30+R30</f>
        <v>2370.24</v>
      </c>
      <c r="U30" s="94">
        <v>452.06</v>
      </c>
      <c r="V30" s="94">
        <v>612.54</v>
      </c>
      <c r="W30" s="94">
        <v>1471.08</v>
      </c>
      <c r="X30" s="94">
        <v>1019.33</v>
      </c>
      <c r="Y30" s="94">
        <v>361.62</v>
      </c>
      <c r="Z30" s="94">
        <v>0</v>
      </c>
      <c r="AA30" s="120">
        <v>0</v>
      </c>
      <c r="AB30" s="120">
        <f>SUM(U30:AA30)</f>
        <v>3916.6299999999997</v>
      </c>
      <c r="AC30" s="175">
        <f aca="true" t="shared" si="27" ref="AC30:AC41">D30+T30+AB30</f>
        <v>7297.280000000001</v>
      </c>
      <c r="AD30" s="176">
        <f aca="true" t="shared" si="28" ref="AD30:AD41">P30+Z30</f>
        <v>0</v>
      </c>
      <c r="AE30" s="176">
        <f aca="true" t="shared" si="29" ref="AE30:AE41">R30+AA30</f>
        <v>0</v>
      </c>
      <c r="AF30" s="176"/>
      <c r="AG30" s="24">
        <f aca="true" t="shared" si="30" ref="AG30:AG41">0.6*B30</f>
        <v>752.52</v>
      </c>
      <c r="AH30" s="24">
        <f aca="true" t="shared" si="31" ref="AH30:AH41">B30*0.2</f>
        <v>250.84000000000003</v>
      </c>
      <c r="AI30" s="24">
        <f aca="true" t="shared" si="32" ref="AI30:AI41">1*B30</f>
        <v>1254.2</v>
      </c>
      <c r="AJ30" s="24">
        <v>0</v>
      </c>
      <c r="AK30" s="24">
        <f aca="true" t="shared" si="33" ref="AK30:AK41">0.98*B30</f>
        <v>1229.116</v>
      </c>
      <c r="AL30" s="24">
        <v>0</v>
      </c>
      <c r="AM30" s="24">
        <f aca="true" t="shared" si="34" ref="AM30:AM41">2.25*B30</f>
        <v>2821.9500000000003</v>
      </c>
      <c r="AN30" s="24">
        <v>0</v>
      </c>
      <c r="AO30" s="24"/>
      <c r="AP30" s="24">
        <v>0</v>
      </c>
      <c r="AQ30" s="177"/>
      <c r="AR30" s="177"/>
      <c r="AS30" s="99">
        <v>2157</v>
      </c>
      <c r="AT30" s="99"/>
      <c r="AU30" s="99">
        <f aca="true" t="shared" si="35" ref="AU30:AU36">AT30*0.18</f>
        <v>0</v>
      </c>
      <c r="AV30" s="178">
        <v>508</v>
      </c>
      <c r="AW30" s="179">
        <v>0.6</v>
      </c>
      <c r="AX30" s="24">
        <f aca="true" t="shared" si="36" ref="AX30:AX41">AV30*AW30*1.4</f>
        <v>426.71999999999997</v>
      </c>
      <c r="AY30" s="180"/>
      <c r="AZ30" s="181"/>
      <c r="BA30" s="181">
        <f aca="true" t="shared" si="37" ref="BA30:BA41">AZ30*0.18</f>
        <v>0</v>
      </c>
      <c r="BB30" s="181">
        <f aca="true" t="shared" si="38" ref="BB30:BB41">SUM(AG30:BA30)-AV30-AW30</f>
        <v>8892.346</v>
      </c>
      <c r="BC30" s="182"/>
      <c r="BD30" s="155"/>
      <c r="BE30" s="138">
        <f>(AC30-BB30)+(AF30-BC30)</f>
        <v>-1595.065999999999</v>
      </c>
      <c r="BF30" s="138">
        <f>AB30-S30</f>
        <v>-3551.5500000000015</v>
      </c>
    </row>
    <row r="31" spans="1:58" ht="12.75" hidden="1">
      <c r="A31" s="13" t="s">
        <v>44</v>
      </c>
      <c r="B31" s="183">
        <v>1254.2</v>
      </c>
      <c r="C31" s="172">
        <f t="shared" si="23"/>
        <v>10848.830000000002</v>
      </c>
      <c r="D31" s="173">
        <f t="shared" si="24"/>
        <v>1010.4100000000008</v>
      </c>
      <c r="E31" s="100">
        <v>862.14</v>
      </c>
      <c r="F31" s="94">
        <v>273.5</v>
      </c>
      <c r="G31" s="94">
        <v>1167.45</v>
      </c>
      <c r="H31" s="94">
        <v>370.72</v>
      </c>
      <c r="I31" s="94">
        <v>2805.53</v>
      </c>
      <c r="J31" s="94">
        <v>890.35</v>
      </c>
      <c r="K31" s="94">
        <v>1943.39</v>
      </c>
      <c r="L31" s="94">
        <v>616.86</v>
      </c>
      <c r="M31" s="91">
        <v>689.67</v>
      </c>
      <c r="N31" s="95">
        <v>218.81</v>
      </c>
      <c r="O31" s="120">
        <v>0</v>
      </c>
      <c r="P31" s="120">
        <v>0</v>
      </c>
      <c r="Q31" s="94">
        <v>0</v>
      </c>
      <c r="R31" s="120">
        <v>0</v>
      </c>
      <c r="S31" s="94">
        <f t="shared" si="25"/>
        <v>7468.180000000001</v>
      </c>
      <c r="T31" s="174">
        <f t="shared" si="26"/>
        <v>2370.24</v>
      </c>
      <c r="U31" s="94">
        <v>787.99</v>
      </c>
      <c r="V31" s="94">
        <v>1066.61</v>
      </c>
      <c r="W31" s="94">
        <v>2563.8</v>
      </c>
      <c r="X31" s="94">
        <v>1775.85</v>
      </c>
      <c r="Y31" s="94">
        <v>630.39</v>
      </c>
      <c r="Z31" s="94">
        <v>0</v>
      </c>
      <c r="AA31" s="120">
        <v>0</v>
      </c>
      <c r="AB31" s="120">
        <f>SUM(U31:AA31)</f>
        <v>6824.64</v>
      </c>
      <c r="AC31" s="175">
        <f t="shared" si="27"/>
        <v>10205.29</v>
      </c>
      <c r="AD31" s="176">
        <f t="shared" si="28"/>
        <v>0</v>
      </c>
      <c r="AE31" s="176">
        <f t="shared" si="29"/>
        <v>0</v>
      </c>
      <c r="AF31" s="176"/>
      <c r="AG31" s="24">
        <f t="shared" si="30"/>
        <v>752.52</v>
      </c>
      <c r="AH31" s="24">
        <f t="shared" si="31"/>
        <v>250.84000000000003</v>
      </c>
      <c r="AI31" s="24">
        <f t="shared" si="32"/>
        <v>1254.2</v>
      </c>
      <c r="AJ31" s="24">
        <v>0</v>
      </c>
      <c r="AK31" s="24">
        <f t="shared" si="33"/>
        <v>1229.116</v>
      </c>
      <c r="AL31" s="24">
        <v>0</v>
      </c>
      <c r="AM31" s="24">
        <f t="shared" si="34"/>
        <v>2821.9500000000003</v>
      </c>
      <c r="AN31" s="24">
        <v>0</v>
      </c>
      <c r="AO31" s="24">
        <f>319*5.4</f>
        <v>1722.6000000000001</v>
      </c>
      <c r="AP31" s="24"/>
      <c r="AQ31" s="177"/>
      <c r="AR31" s="177"/>
      <c r="AS31" s="99">
        <v>271</v>
      </c>
      <c r="AT31" s="99"/>
      <c r="AU31" s="99">
        <f t="shared" si="35"/>
        <v>0</v>
      </c>
      <c r="AV31" s="178">
        <v>407</v>
      </c>
      <c r="AW31" s="179">
        <v>0.6</v>
      </c>
      <c r="AX31" s="24">
        <f t="shared" si="36"/>
        <v>341.87999999999994</v>
      </c>
      <c r="AY31" s="180"/>
      <c r="AZ31" s="181"/>
      <c r="BA31" s="181">
        <f t="shared" si="37"/>
        <v>0</v>
      </c>
      <c r="BB31" s="181">
        <f t="shared" si="38"/>
        <v>8644.106</v>
      </c>
      <c r="BC31" s="182"/>
      <c r="BD31" s="155"/>
      <c r="BE31" s="138">
        <f aca="true" t="shared" si="39" ref="BE31:BE41">(AC31-BB31)+(AF31-BC31)</f>
        <v>1561.184000000001</v>
      </c>
      <c r="BF31" s="138">
        <f aca="true" t="shared" si="40" ref="BF31:BF41">AB31-S31</f>
        <v>-643.5400000000009</v>
      </c>
    </row>
    <row r="32" spans="1:58" ht="13.5" hidden="1" thickBot="1">
      <c r="A32" s="156" t="s">
        <v>45</v>
      </c>
      <c r="B32" s="93">
        <v>1254.2</v>
      </c>
      <c r="C32" s="172">
        <f t="shared" si="23"/>
        <v>10848.830000000002</v>
      </c>
      <c r="D32" s="173">
        <f t="shared" si="24"/>
        <v>1010.4100000000034</v>
      </c>
      <c r="E32" s="94">
        <v>865.84</v>
      </c>
      <c r="F32" s="94">
        <v>269.8</v>
      </c>
      <c r="G32" s="94">
        <v>1172.47</v>
      </c>
      <c r="H32" s="94">
        <v>365.7</v>
      </c>
      <c r="I32" s="94">
        <v>2817.58</v>
      </c>
      <c r="J32" s="94">
        <v>878.3</v>
      </c>
      <c r="K32" s="94">
        <v>1951.74</v>
      </c>
      <c r="L32" s="94">
        <v>608.51</v>
      </c>
      <c r="M32" s="91">
        <v>692.63</v>
      </c>
      <c r="N32" s="95">
        <v>215.85</v>
      </c>
      <c r="O32" s="120">
        <v>0</v>
      </c>
      <c r="P32" s="120">
        <v>0</v>
      </c>
      <c r="Q32" s="120">
        <v>0</v>
      </c>
      <c r="R32" s="120">
        <v>0</v>
      </c>
      <c r="S32" s="94">
        <f t="shared" si="25"/>
        <v>7500.259999999999</v>
      </c>
      <c r="T32" s="174">
        <f t="shared" si="26"/>
        <v>2338.16</v>
      </c>
      <c r="U32" s="94">
        <v>977.05</v>
      </c>
      <c r="V32" s="94">
        <v>1323.11</v>
      </c>
      <c r="W32" s="94">
        <v>3179.54</v>
      </c>
      <c r="X32" s="94">
        <v>2202.49</v>
      </c>
      <c r="Y32" s="94">
        <v>781.57</v>
      </c>
      <c r="Z32" s="94">
        <v>0</v>
      </c>
      <c r="AA32" s="120">
        <v>0</v>
      </c>
      <c r="AB32" s="120">
        <f>SUM(U32:AA32)</f>
        <v>8463.76</v>
      </c>
      <c r="AC32" s="175">
        <f t="shared" si="27"/>
        <v>11812.330000000004</v>
      </c>
      <c r="AD32" s="176">
        <f t="shared" si="28"/>
        <v>0</v>
      </c>
      <c r="AE32" s="176">
        <f t="shared" si="29"/>
        <v>0</v>
      </c>
      <c r="AF32" s="176"/>
      <c r="AG32" s="24">
        <f t="shared" si="30"/>
        <v>752.52</v>
      </c>
      <c r="AH32" s="24">
        <f t="shared" si="31"/>
        <v>250.84000000000003</v>
      </c>
      <c r="AI32" s="24">
        <f t="shared" si="32"/>
        <v>1254.2</v>
      </c>
      <c r="AJ32" s="24">
        <v>0</v>
      </c>
      <c r="AK32" s="24">
        <f t="shared" si="33"/>
        <v>1229.116</v>
      </c>
      <c r="AL32" s="24">
        <v>0</v>
      </c>
      <c r="AM32" s="24">
        <f t="shared" si="34"/>
        <v>2821.9500000000003</v>
      </c>
      <c r="AN32" s="24">
        <v>0</v>
      </c>
      <c r="AO32" s="24"/>
      <c r="AP32" s="24"/>
      <c r="AQ32" s="177"/>
      <c r="AR32" s="177"/>
      <c r="AS32" s="99">
        <v>3377</v>
      </c>
      <c r="AT32" s="99"/>
      <c r="AU32" s="99">
        <f t="shared" si="35"/>
        <v>0</v>
      </c>
      <c r="AV32" s="178">
        <v>383</v>
      </c>
      <c r="AW32" s="179">
        <v>0.6</v>
      </c>
      <c r="AX32" s="24">
        <f t="shared" si="36"/>
        <v>321.71999999999997</v>
      </c>
      <c r="AY32" s="180"/>
      <c r="AZ32" s="181"/>
      <c r="BA32" s="181">
        <f t="shared" si="37"/>
        <v>0</v>
      </c>
      <c r="BB32" s="181">
        <f t="shared" si="38"/>
        <v>10007.346</v>
      </c>
      <c r="BC32" s="182"/>
      <c r="BD32" s="157"/>
      <c r="BE32" s="138">
        <f t="shared" si="39"/>
        <v>1804.984000000004</v>
      </c>
      <c r="BF32" s="138">
        <f t="shared" si="40"/>
        <v>963.5000000000009</v>
      </c>
    </row>
    <row r="33" spans="1:58" ht="12.75" hidden="1">
      <c r="A33" s="159" t="s">
        <v>46</v>
      </c>
      <c r="B33" s="93">
        <v>1254.2</v>
      </c>
      <c r="C33" s="172">
        <f t="shared" si="23"/>
        <v>10848.830000000002</v>
      </c>
      <c r="D33" s="173">
        <f t="shared" si="24"/>
        <v>1002.6500000000037</v>
      </c>
      <c r="E33" s="94">
        <v>888.75</v>
      </c>
      <c r="F33" s="94">
        <v>247.8</v>
      </c>
      <c r="G33" s="94">
        <v>1203.47</v>
      </c>
      <c r="H33" s="94">
        <v>335.89</v>
      </c>
      <c r="I33" s="94">
        <v>2892.1</v>
      </c>
      <c r="J33" s="94">
        <v>806.7</v>
      </c>
      <c r="K33" s="94">
        <v>2003.35</v>
      </c>
      <c r="L33" s="94">
        <v>558.91</v>
      </c>
      <c r="M33" s="91">
        <v>710.96</v>
      </c>
      <c r="N33" s="95">
        <v>198.25</v>
      </c>
      <c r="O33" s="120">
        <v>0</v>
      </c>
      <c r="P33" s="120">
        <v>0</v>
      </c>
      <c r="Q33" s="120"/>
      <c r="R33" s="120"/>
      <c r="S33" s="94">
        <f t="shared" si="25"/>
        <v>7698.63</v>
      </c>
      <c r="T33" s="174">
        <f t="shared" si="26"/>
        <v>2147.55</v>
      </c>
      <c r="U33" s="94">
        <v>656.22</v>
      </c>
      <c r="V33" s="94">
        <v>885.99</v>
      </c>
      <c r="W33" s="94">
        <v>2130.62</v>
      </c>
      <c r="X33" s="94">
        <v>1476.57</v>
      </c>
      <c r="Y33" s="94">
        <v>525</v>
      </c>
      <c r="Z33" s="94">
        <v>0</v>
      </c>
      <c r="AA33" s="120">
        <v>0</v>
      </c>
      <c r="AB33" s="120">
        <f>SUM(U33:AA33)</f>
        <v>5674.4</v>
      </c>
      <c r="AC33" s="175">
        <f t="shared" si="27"/>
        <v>8824.600000000004</v>
      </c>
      <c r="AD33" s="176">
        <f t="shared" si="28"/>
        <v>0</v>
      </c>
      <c r="AE33" s="176">
        <f t="shared" si="29"/>
        <v>0</v>
      </c>
      <c r="AF33" s="176"/>
      <c r="AG33" s="24">
        <f t="shared" si="30"/>
        <v>752.52</v>
      </c>
      <c r="AH33" s="24">
        <f t="shared" si="31"/>
        <v>250.84000000000003</v>
      </c>
      <c r="AI33" s="24">
        <f t="shared" si="32"/>
        <v>1254.2</v>
      </c>
      <c r="AJ33" s="24">
        <v>0</v>
      </c>
      <c r="AK33" s="24">
        <f t="shared" si="33"/>
        <v>1229.116</v>
      </c>
      <c r="AL33" s="24">
        <v>0</v>
      </c>
      <c r="AM33" s="24">
        <f t="shared" si="34"/>
        <v>2821.9500000000003</v>
      </c>
      <c r="AN33" s="24">
        <v>0</v>
      </c>
      <c r="AO33" s="24"/>
      <c r="AP33" s="24"/>
      <c r="AQ33" s="177"/>
      <c r="AR33" s="177"/>
      <c r="AS33" s="99">
        <v>2547</v>
      </c>
      <c r="AT33" s="99"/>
      <c r="AU33" s="99">
        <f t="shared" si="35"/>
        <v>0</v>
      </c>
      <c r="AV33" s="178">
        <v>307</v>
      </c>
      <c r="AW33" s="179">
        <v>0.6</v>
      </c>
      <c r="AX33" s="24">
        <f t="shared" si="36"/>
        <v>257.88</v>
      </c>
      <c r="AY33" s="180"/>
      <c r="AZ33" s="181"/>
      <c r="BA33" s="181">
        <f t="shared" si="37"/>
        <v>0</v>
      </c>
      <c r="BB33" s="181">
        <f t="shared" si="38"/>
        <v>9113.506</v>
      </c>
      <c r="BC33" s="182"/>
      <c r="BD33" s="92"/>
      <c r="BE33" s="138">
        <f t="shared" si="39"/>
        <v>-288.9059999999954</v>
      </c>
      <c r="BF33" s="138">
        <f t="shared" si="40"/>
        <v>-2024.2300000000005</v>
      </c>
    </row>
    <row r="34" spans="1:58" ht="12.75" hidden="1">
      <c r="A34" s="13" t="s">
        <v>47</v>
      </c>
      <c r="B34" s="93">
        <v>1257.3</v>
      </c>
      <c r="C34" s="172">
        <f t="shared" si="23"/>
        <v>10875.645</v>
      </c>
      <c r="D34" s="173">
        <f t="shared" si="24"/>
        <v>1003.5350000000026</v>
      </c>
      <c r="E34" s="94">
        <v>891.75</v>
      </c>
      <c r="F34" s="94">
        <v>247.8</v>
      </c>
      <c r="G34" s="94">
        <v>1207.48</v>
      </c>
      <c r="H34" s="94">
        <v>335.89</v>
      </c>
      <c r="I34" s="94">
        <v>2901.85</v>
      </c>
      <c r="J34" s="94">
        <v>806.7</v>
      </c>
      <c r="K34" s="94">
        <v>2010.11</v>
      </c>
      <c r="L34" s="94">
        <v>558.91</v>
      </c>
      <c r="M34" s="91">
        <v>713.37</v>
      </c>
      <c r="N34" s="95">
        <v>198.25</v>
      </c>
      <c r="O34" s="120">
        <v>0</v>
      </c>
      <c r="P34" s="120">
        <v>0</v>
      </c>
      <c r="Q34" s="120"/>
      <c r="R34" s="120"/>
      <c r="S34" s="94">
        <f t="shared" si="25"/>
        <v>7724.5599999999995</v>
      </c>
      <c r="T34" s="174">
        <f t="shared" si="26"/>
        <v>2147.55</v>
      </c>
      <c r="U34" s="184">
        <v>813.98</v>
      </c>
      <c r="V34" s="184">
        <v>1102.3</v>
      </c>
      <c r="W34" s="184">
        <v>2648.83</v>
      </c>
      <c r="X34" s="184">
        <v>1834.81</v>
      </c>
      <c r="Y34" s="184">
        <v>651.16</v>
      </c>
      <c r="Z34" s="184">
        <v>0</v>
      </c>
      <c r="AA34" s="185">
        <v>0</v>
      </c>
      <c r="AB34" s="120">
        <f aca="true" t="shared" si="41" ref="AB34:AB41">SUM(U34:AA34)</f>
        <v>7051.08</v>
      </c>
      <c r="AC34" s="175">
        <f t="shared" si="27"/>
        <v>10202.165000000003</v>
      </c>
      <c r="AD34" s="176">
        <f t="shared" si="28"/>
        <v>0</v>
      </c>
      <c r="AE34" s="176">
        <f t="shared" si="29"/>
        <v>0</v>
      </c>
      <c r="AF34" s="176"/>
      <c r="AG34" s="24">
        <f t="shared" si="30"/>
        <v>754.38</v>
      </c>
      <c r="AH34" s="24">
        <f t="shared" si="31"/>
        <v>251.46</v>
      </c>
      <c r="AI34" s="24">
        <f t="shared" si="32"/>
        <v>1257.3</v>
      </c>
      <c r="AJ34" s="24">
        <v>0</v>
      </c>
      <c r="AK34" s="24">
        <f t="shared" si="33"/>
        <v>1232.154</v>
      </c>
      <c r="AL34" s="24">
        <v>0</v>
      </c>
      <c r="AM34" s="24">
        <f t="shared" si="34"/>
        <v>2828.9249999999997</v>
      </c>
      <c r="AN34" s="24">
        <v>0</v>
      </c>
      <c r="AO34" s="24"/>
      <c r="AP34" s="24"/>
      <c r="AQ34" s="177"/>
      <c r="AR34" s="177"/>
      <c r="AS34" s="99">
        <v>2377</v>
      </c>
      <c r="AT34" s="99">
        <v>766.27</v>
      </c>
      <c r="AU34" s="99"/>
      <c r="AV34" s="178">
        <v>263</v>
      </c>
      <c r="AW34" s="179">
        <v>0.6</v>
      </c>
      <c r="AX34" s="24">
        <f t="shared" si="36"/>
        <v>220.91999999999996</v>
      </c>
      <c r="AY34" s="180"/>
      <c r="AZ34" s="181"/>
      <c r="BA34" s="181">
        <f t="shared" si="37"/>
        <v>0</v>
      </c>
      <c r="BB34" s="181">
        <f t="shared" si="38"/>
        <v>9688.409</v>
      </c>
      <c r="BC34" s="182"/>
      <c r="BD34" s="17"/>
      <c r="BE34" s="138">
        <f t="shared" si="39"/>
        <v>513.756000000003</v>
      </c>
      <c r="BF34" s="138">
        <f t="shared" si="40"/>
        <v>-673.4799999999996</v>
      </c>
    </row>
    <row r="35" spans="1:58" ht="13.5" hidden="1" thickBot="1">
      <c r="A35" s="156" t="s">
        <v>48</v>
      </c>
      <c r="B35" s="93">
        <v>1257.3</v>
      </c>
      <c r="C35" s="172">
        <f t="shared" si="23"/>
        <v>10875.645</v>
      </c>
      <c r="D35" s="173">
        <f t="shared" si="24"/>
        <v>979.5349999999993</v>
      </c>
      <c r="E35" s="94">
        <v>907.27</v>
      </c>
      <c r="F35" s="94">
        <v>235.1</v>
      </c>
      <c r="G35" s="94">
        <v>1228.36</v>
      </c>
      <c r="H35" s="94">
        <v>318.68</v>
      </c>
      <c r="I35" s="94">
        <v>2952.23</v>
      </c>
      <c r="J35" s="94">
        <v>765.36</v>
      </c>
      <c r="K35" s="94">
        <v>2044.97</v>
      </c>
      <c r="L35" s="94">
        <v>530.27</v>
      </c>
      <c r="M35" s="91">
        <v>725.78</v>
      </c>
      <c r="N35" s="95">
        <v>188.09</v>
      </c>
      <c r="O35" s="120">
        <v>0</v>
      </c>
      <c r="P35" s="120">
        <v>0</v>
      </c>
      <c r="Q35" s="120">
        <v>0</v>
      </c>
      <c r="R35" s="120">
        <v>0</v>
      </c>
      <c r="S35" s="94">
        <f t="shared" si="25"/>
        <v>7858.610000000001</v>
      </c>
      <c r="T35" s="174">
        <f t="shared" si="26"/>
        <v>2037.5</v>
      </c>
      <c r="U35" s="94">
        <v>895.36</v>
      </c>
      <c r="V35" s="94">
        <v>1212.01</v>
      </c>
      <c r="W35" s="94">
        <v>2913.15</v>
      </c>
      <c r="X35" s="94">
        <v>2017.85</v>
      </c>
      <c r="Y35" s="94">
        <v>716.22</v>
      </c>
      <c r="Z35" s="94">
        <v>0</v>
      </c>
      <c r="AA35" s="120">
        <v>0</v>
      </c>
      <c r="AB35" s="120">
        <f t="shared" si="41"/>
        <v>7754.590000000001</v>
      </c>
      <c r="AC35" s="175">
        <f t="shared" si="27"/>
        <v>10771.625</v>
      </c>
      <c r="AD35" s="176">
        <f t="shared" si="28"/>
        <v>0</v>
      </c>
      <c r="AE35" s="176">
        <f t="shared" si="29"/>
        <v>0</v>
      </c>
      <c r="AF35" s="176"/>
      <c r="AG35" s="24">
        <f t="shared" si="30"/>
        <v>754.38</v>
      </c>
      <c r="AH35" s="24">
        <f t="shared" si="31"/>
        <v>251.46</v>
      </c>
      <c r="AI35" s="24">
        <f t="shared" si="32"/>
        <v>1257.3</v>
      </c>
      <c r="AJ35" s="24">
        <v>0</v>
      </c>
      <c r="AK35" s="24">
        <f t="shared" si="33"/>
        <v>1232.154</v>
      </c>
      <c r="AL35" s="24">
        <v>0</v>
      </c>
      <c r="AM35" s="24">
        <f t="shared" si="34"/>
        <v>2828.9249999999997</v>
      </c>
      <c r="AN35" s="24">
        <v>0</v>
      </c>
      <c r="AO35" s="24"/>
      <c r="AP35" s="24"/>
      <c r="AQ35" s="177"/>
      <c r="AR35" s="177"/>
      <c r="AS35" s="99">
        <v>2276</v>
      </c>
      <c r="AT35" s="99"/>
      <c r="AU35" s="99">
        <f t="shared" si="35"/>
        <v>0</v>
      </c>
      <c r="AV35" s="178">
        <v>233</v>
      </c>
      <c r="AW35" s="179">
        <v>0.6</v>
      </c>
      <c r="AX35" s="24">
        <f t="shared" si="36"/>
        <v>195.71999999999997</v>
      </c>
      <c r="AY35" s="180"/>
      <c r="AZ35" s="181"/>
      <c r="BA35" s="181">
        <f t="shared" si="37"/>
        <v>0</v>
      </c>
      <c r="BB35" s="181">
        <f t="shared" si="38"/>
        <v>8795.938999999998</v>
      </c>
      <c r="BC35" s="182"/>
      <c r="BD35" s="161"/>
      <c r="BE35" s="138">
        <f t="shared" si="39"/>
        <v>1975.6860000000015</v>
      </c>
      <c r="BF35" s="138">
        <f t="shared" si="40"/>
        <v>-104.01999999999953</v>
      </c>
    </row>
    <row r="36" spans="1:58" ht="12.75" hidden="1">
      <c r="A36" s="159" t="s">
        <v>49</v>
      </c>
      <c r="B36" s="203">
        <v>1257.3</v>
      </c>
      <c r="C36" s="172">
        <f t="shared" si="23"/>
        <v>10875.645</v>
      </c>
      <c r="D36" s="173">
        <f t="shared" si="24"/>
        <v>967.7849999999996</v>
      </c>
      <c r="E36" s="219">
        <v>1143.76</v>
      </c>
      <c r="F36" s="204">
        <v>0</v>
      </c>
      <c r="G36" s="204">
        <v>1548.84</v>
      </c>
      <c r="H36" s="204">
        <v>0</v>
      </c>
      <c r="I36" s="204">
        <v>3722.01</v>
      </c>
      <c r="J36" s="204">
        <v>0</v>
      </c>
      <c r="K36" s="204">
        <v>2578.26</v>
      </c>
      <c r="L36" s="204">
        <v>0</v>
      </c>
      <c r="M36" s="205">
        <v>914.99</v>
      </c>
      <c r="N36" s="206">
        <v>0</v>
      </c>
      <c r="O36" s="207">
        <v>0</v>
      </c>
      <c r="P36" s="207">
        <v>0</v>
      </c>
      <c r="Q36" s="207"/>
      <c r="R36" s="207"/>
      <c r="S36" s="204">
        <f t="shared" si="25"/>
        <v>9907.86</v>
      </c>
      <c r="T36" s="208">
        <f t="shared" si="26"/>
        <v>0</v>
      </c>
      <c r="U36" s="219">
        <v>1205.93</v>
      </c>
      <c r="V36" s="204">
        <v>1632.91</v>
      </c>
      <c r="W36" s="204">
        <v>3924.18</v>
      </c>
      <c r="X36" s="204">
        <v>2718.19</v>
      </c>
      <c r="Y36" s="204">
        <v>964.73</v>
      </c>
      <c r="Z36" s="204">
        <v>0</v>
      </c>
      <c r="AA36" s="207">
        <v>0</v>
      </c>
      <c r="AB36" s="207">
        <f t="shared" si="41"/>
        <v>10445.94</v>
      </c>
      <c r="AC36" s="209">
        <f t="shared" si="27"/>
        <v>11413.725</v>
      </c>
      <c r="AD36" s="210">
        <f t="shared" si="28"/>
        <v>0</v>
      </c>
      <c r="AE36" s="210">
        <f t="shared" si="29"/>
        <v>0</v>
      </c>
      <c r="AF36" s="210"/>
      <c r="AG36" s="211">
        <f t="shared" si="30"/>
        <v>754.38</v>
      </c>
      <c r="AH36" s="211">
        <f t="shared" si="31"/>
        <v>251.46</v>
      </c>
      <c r="AI36" s="211">
        <f t="shared" si="32"/>
        <v>1257.3</v>
      </c>
      <c r="AJ36" s="211">
        <v>0</v>
      </c>
      <c r="AK36" s="211">
        <f t="shared" si="33"/>
        <v>1232.154</v>
      </c>
      <c r="AL36" s="211">
        <v>0</v>
      </c>
      <c r="AM36" s="211">
        <f t="shared" si="34"/>
        <v>2828.9249999999997</v>
      </c>
      <c r="AN36" s="211">
        <v>0</v>
      </c>
      <c r="AO36" s="211"/>
      <c r="AP36" s="211"/>
      <c r="AQ36" s="212"/>
      <c r="AR36" s="212"/>
      <c r="AS36" s="213"/>
      <c r="AT36" s="213">
        <f>107.63</f>
        <v>107.63</v>
      </c>
      <c r="AU36" s="213">
        <f t="shared" si="35"/>
        <v>19.3734</v>
      </c>
      <c r="AV36" s="215">
        <v>248</v>
      </c>
      <c r="AW36" s="216">
        <v>0.6</v>
      </c>
      <c r="AX36" s="211">
        <f t="shared" si="36"/>
        <v>208.31999999999996</v>
      </c>
      <c r="AY36" s="180"/>
      <c r="AZ36" s="217"/>
      <c r="BA36" s="217">
        <f t="shared" si="37"/>
        <v>0</v>
      </c>
      <c r="BB36" s="217">
        <f t="shared" si="38"/>
        <v>6659.542399999999</v>
      </c>
      <c r="BC36" s="218"/>
      <c r="BD36" s="17"/>
      <c r="BE36" s="138">
        <f t="shared" si="39"/>
        <v>4754.182600000001</v>
      </c>
      <c r="BF36" s="138">
        <f t="shared" si="40"/>
        <v>538.0799999999999</v>
      </c>
    </row>
    <row r="37" spans="1:58" ht="12.75" hidden="1">
      <c r="A37" s="13" t="s">
        <v>50</v>
      </c>
      <c r="B37" s="203">
        <v>1257.3</v>
      </c>
      <c r="C37" s="172">
        <f t="shared" si="23"/>
        <v>10875.645</v>
      </c>
      <c r="D37" s="173">
        <f t="shared" si="24"/>
        <v>967.7849999999996</v>
      </c>
      <c r="E37" s="219">
        <v>1143.76</v>
      </c>
      <c r="F37" s="204">
        <v>0</v>
      </c>
      <c r="G37" s="204">
        <v>1548.84</v>
      </c>
      <c r="H37" s="204">
        <v>0</v>
      </c>
      <c r="I37" s="204">
        <v>3722.01</v>
      </c>
      <c r="J37" s="204">
        <v>0</v>
      </c>
      <c r="K37" s="204">
        <v>2578.26</v>
      </c>
      <c r="L37" s="204">
        <v>0</v>
      </c>
      <c r="M37" s="205">
        <v>914.99</v>
      </c>
      <c r="N37" s="206">
        <v>0</v>
      </c>
      <c r="O37" s="207">
        <v>0</v>
      </c>
      <c r="P37" s="207">
        <v>0</v>
      </c>
      <c r="Q37" s="207"/>
      <c r="R37" s="207"/>
      <c r="S37" s="204">
        <f t="shared" si="25"/>
        <v>9907.86</v>
      </c>
      <c r="T37" s="208">
        <f t="shared" si="26"/>
        <v>0</v>
      </c>
      <c r="U37" s="184">
        <v>1218.22</v>
      </c>
      <c r="V37" s="184">
        <v>1650.12</v>
      </c>
      <c r="W37" s="184">
        <v>3964.7</v>
      </c>
      <c r="X37" s="184">
        <v>2746.53</v>
      </c>
      <c r="Y37" s="184">
        <v>974.5</v>
      </c>
      <c r="Z37" s="184">
        <v>0</v>
      </c>
      <c r="AA37" s="185">
        <v>0</v>
      </c>
      <c r="AB37" s="207">
        <f t="shared" si="41"/>
        <v>10554.07</v>
      </c>
      <c r="AC37" s="209">
        <f t="shared" si="27"/>
        <v>11521.855</v>
      </c>
      <c r="AD37" s="210">
        <f t="shared" si="28"/>
        <v>0</v>
      </c>
      <c r="AE37" s="210">
        <f t="shared" si="29"/>
        <v>0</v>
      </c>
      <c r="AF37" s="210"/>
      <c r="AG37" s="211">
        <f t="shared" si="30"/>
        <v>754.38</v>
      </c>
      <c r="AH37" s="211">
        <f t="shared" si="31"/>
        <v>251.46</v>
      </c>
      <c r="AI37" s="211">
        <f t="shared" si="32"/>
        <v>1257.3</v>
      </c>
      <c r="AJ37" s="211">
        <v>0</v>
      </c>
      <c r="AK37" s="211">
        <f t="shared" si="33"/>
        <v>1232.154</v>
      </c>
      <c r="AL37" s="211">
        <v>0</v>
      </c>
      <c r="AM37" s="211">
        <f t="shared" si="34"/>
        <v>2828.9249999999997</v>
      </c>
      <c r="AN37" s="211">
        <v>0</v>
      </c>
      <c r="AO37" s="211"/>
      <c r="AP37" s="211"/>
      <c r="AQ37" s="212"/>
      <c r="AR37" s="212"/>
      <c r="AS37" s="213">
        <v>3177</v>
      </c>
      <c r="AT37" s="213">
        <f>47.8+42</f>
        <v>89.8</v>
      </c>
      <c r="AU37" s="213">
        <f>0*0.18</f>
        <v>0</v>
      </c>
      <c r="AV37" s="215">
        <v>293</v>
      </c>
      <c r="AW37" s="216">
        <v>0.6</v>
      </c>
      <c r="AX37" s="211">
        <f t="shared" si="36"/>
        <v>246.11999999999995</v>
      </c>
      <c r="AY37" s="180"/>
      <c r="AZ37" s="217"/>
      <c r="BA37" s="217">
        <f t="shared" si="37"/>
        <v>0</v>
      </c>
      <c r="BB37" s="217">
        <f>SUM(AG37:BA37)-AV37-AW37</f>
        <v>9837.139</v>
      </c>
      <c r="BC37" s="218"/>
      <c r="BD37" s="17"/>
      <c r="BE37" s="138">
        <f t="shared" si="39"/>
        <v>1684.7160000000003</v>
      </c>
      <c r="BF37" s="138">
        <f t="shared" si="40"/>
        <v>646.2099999999991</v>
      </c>
    </row>
    <row r="38" spans="1:58" ht="13.5" hidden="1" thickBot="1">
      <c r="A38" s="156" t="s">
        <v>51</v>
      </c>
      <c r="B38" s="203">
        <v>1257.3</v>
      </c>
      <c r="C38" s="172">
        <f t="shared" si="23"/>
        <v>10875.645</v>
      </c>
      <c r="D38" s="201">
        <f>C38-E38-F38-G38-H38-I38-J38-K38-L38-M38-N38+100000</f>
        <v>100967.785</v>
      </c>
      <c r="E38" s="204">
        <v>1143.76</v>
      </c>
      <c r="F38" s="204">
        <v>0</v>
      </c>
      <c r="G38" s="204">
        <v>1548.84</v>
      </c>
      <c r="H38" s="204">
        <v>0</v>
      </c>
      <c r="I38" s="204">
        <v>3722.01</v>
      </c>
      <c r="J38" s="204">
        <v>0</v>
      </c>
      <c r="K38" s="204">
        <v>2578.26</v>
      </c>
      <c r="L38" s="204">
        <v>0</v>
      </c>
      <c r="M38" s="205">
        <v>914.99</v>
      </c>
      <c r="N38" s="206">
        <v>0</v>
      </c>
      <c r="O38" s="207">
        <v>0</v>
      </c>
      <c r="P38" s="207">
        <v>0</v>
      </c>
      <c r="Q38" s="207"/>
      <c r="R38" s="207"/>
      <c r="S38" s="204">
        <f t="shared" si="25"/>
        <v>9907.86</v>
      </c>
      <c r="T38" s="208">
        <f t="shared" si="26"/>
        <v>0</v>
      </c>
      <c r="U38" s="204">
        <v>767</v>
      </c>
      <c r="V38" s="204">
        <v>1038.45</v>
      </c>
      <c r="W38" s="204">
        <v>3795.78</v>
      </c>
      <c r="X38" s="204">
        <v>1728.73</v>
      </c>
      <c r="Y38" s="204">
        <v>613.59</v>
      </c>
      <c r="Z38" s="204">
        <v>0</v>
      </c>
      <c r="AA38" s="207">
        <v>0</v>
      </c>
      <c r="AB38" s="207">
        <f t="shared" si="41"/>
        <v>7943.550000000001</v>
      </c>
      <c r="AC38" s="209">
        <f t="shared" si="27"/>
        <v>108911.335</v>
      </c>
      <c r="AD38" s="210">
        <f t="shared" si="28"/>
        <v>0</v>
      </c>
      <c r="AE38" s="210">
        <f t="shared" si="29"/>
        <v>0</v>
      </c>
      <c r="AF38" s="210"/>
      <c r="AG38" s="211">
        <f t="shared" si="30"/>
        <v>754.38</v>
      </c>
      <c r="AH38" s="211">
        <f t="shared" si="31"/>
        <v>251.46</v>
      </c>
      <c r="AI38" s="211">
        <f t="shared" si="32"/>
        <v>1257.3</v>
      </c>
      <c r="AJ38" s="211">
        <v>0</v>
      </c>
      <c r="AK38" s="211">
        <f t="shared" si="33"/>
        <v>1232.154</v>
      </c>
      <c r="AL38" s="211">
        <v>0</v>
      </c>
      <c r="AM38" s="211">
        <f t="shared" si="34"/>
        <v>2828.9249999999997</v>
      </c>
      <c r="AN38" s="211">
        <v>0</v>
      </c>
      <c r="AO38" s="211"/>
      <c r="AP38" s="211"/>
      <c r="AQ38" s="212"/>
      <c r="AR38" s="212"/>
      <c r="AS38" s="213">
        <v>906</v>
      </c>
      <c r="AT38" s="213">
        <f>335437.55</f>
        <v>335437.55</v>
      </c>
      <c r="AU38" s="214">
        <f>0*0.18</f>
        <v>0</v>
      </c>
      <c r="AV38" s="215">
        <v>349</v>
      </c>
      <c r="AW38" s="216">
        <v>0.6</v>
      </c>
      <c r="AX38" s="211">
        <f t="shared" si="36"/>
        <v>293.15999999999997</v>
      </c>
      <c r="AY38" s="180"/>
      <c r="AZ38" s="217"/>
      <c r="BA38" s="217">
        <f t="shared" si="37"/>
        <v>0</v>
      </c>
      <c r="BB38" s="217">
        <f t="shared" si="38"/>
        <v>342960.92899999995</v>
      </c>
      <c r="BC38" s="218"/>
      <c r="BD38" s="161"/>
      <c r="BE38" s="138">
        <f t="shared" si="39"/>
        <v>-234049.59399999992</v>
      </c>
      <c r="BF38" s="138">
        <f t="shared" si="40"/>
        <v>-1964.3099999999995</v>
      </c>
    </row>
    <row r="39" spans="1:58" ht="12.75" hidden="1">
      <c r="A39" s="164" t="s">
        <v>39</v>
      </c>
      <c r="B39" s="203">
        <v>1257.3</v>
      </c>
      <c r="C39" s="172">
        <f t="shared" si="23"/>
        <v>10875.645</v>
      </c>
      <c r="D39" s="173">
        <f>C39-E39-F39-G39-H39-I39-J39-K39-L39-M39-N39</f>
        <v>967.7849999999996</v>
      </c>
      <c r="E39" s="96">
        <v>1143.76</v>
      </c>
      <c r="F39" s="96">
        <v>0</v>
      </c>
      <c r="G39" s="96">
        <v>1548.84</v>
      </c>
      <c r="H39" s="96">
        <v>0</v>
      </c>
      <c r="I39" s="96">
        <v>3722.01</v>
      </c>
      <c r="J39" s="96">
        <v>0</v>
      </c>
      <c r="K39" s="96">
        <v>2578.26</v>
      </c>
      <c r="L39" s="96">
        <v>0</v>
      </c>
      <c r="M39" s="97">
        <v>914.99</v>
      </c>
      <c r="N39" s="98">
        <v>0</v>
      </c>
      <c r="O39" s="186">
        <v>0</v>
      </c>
      <c r="P39" s="186">
        <v>0</v>
      </c>
      <c r="Q39" s="186"/>
      <c r="R39" s="186"/>
      <c r="S39" s="204">
        <f t="shared" si="25"/>
        <v>9907.86</v>
      </c>
      <c r="T39" s="208">
        <f t="shared" si="26"/>
        <v>0</v>
      </c>
      <c r="U39" s="204">
        <v>1420.82</v>
      </c>
      <c r="V39" s="204">
        <v>1922.87</v>
      </c>
      <c r="W39" s="204">
        <v>4622.51</v>
      </c>
      <c r="X39" s="204">
        <v>3201.78</v>
      </c>
      <c r="Y39" s="204">
        <v>1136.66</v>
      </c>
      <c r="Z39" s="204">
        <v>0</v>
      </c>
      <c r="AA39" s="207">
        <v>0</v>
      </c>
      <c r="AB39" s="207">
        <f t="shared" si="41"/>
        <v>12304.64</v>
      </c>
      <c r="AC39" s="209">
        <f t="shared" si="27"/>
        <v>13272.425</v>
      </c>
      <c r="AD39" s="210">
        <f t="shared" si="28"/>
        <v>0</v>
      </c>
      <c r="AE39" s="210">
        <f t="shared" si="29"/>
        <v>0</v>
      </c>
      <c r="AF39" s="210">
        <f>100</f>
        <v>100</v>
      </c>
      <c r="AG39" s="211">
        <f t="shared" si="30"/>
        <v>754.38</v>
      </c>
      <c r="AH39" s="211">
        <f t="shared" si="31"/>
        <v>251.46</v>
      </c>
      <c r="AI39" s="211">
        <f t="shared" si="32"/>
        <v>1257.3</v>
      </c>
      <c r="AJ39" s="211">
        <v>0</v>
      </c>
      <c r="AK39" s="211">
        <f t="shared" si="33"/>
        <v>1232.154</v>
      </c>
      <c r="AL39" s="211">
        <v>0</v>
      </c>
      <c r="AM39" s="211">
        <f t="shared" si="34"/>
        <v>2828.9249999999997</v>
      </c>
      <c r="AN39" s="211">
        <v>0</v>
      </c>
      <c r="AO39" s="211"/>
      <c r="AP39" s="211"/>
      <c r="AQ39" s="212"/>
      <c r="AR39" s="212"/>
      <c r="AS39" s="213">
        <v>3828</v>
      </c>
      <c r="AT39" s="213"/>
      <c r="AU39" s="213">
        <f>0*0.18</f>
        <v>0</v>
      </c>
      <c r="AV39" s="215">
        <v>425</v>
      </c>
      <c r="AW39" s="216">
        <v>0.6</v>
      </c>
      <c r="AX39" s="211">
        <f t="shared" si="36"/>
        <v>357</v>
      </c>
      <c r="AY39" s="180"/>
      <c r="AZ39" s="217"/>
      <c r="BA39" s="217">
        <f>0</f>
        <v>0</v>
      </c>
      <c r="BB39" s="217">
        <f>SUM(AG39:BA39)-AV39-AW39</f>
        <v>10509.219</v>
      </c>
      <c r="BC39" s="218">
        <v>25</v>
      </c>
      <c r="BD39" s="165"/>
      <c r="BE39" s="138">
        <f t="shared" si="39"/>
        <v>2838.206</v>
      </c>
      <c r="BF39" s="138">
        <f t="shared" si="40"/>
        <v>2396.779999999999</v>
      </c>
    </row>
    <row r="40" spans="1:58" ht="12.75" hidden="1">
      <c r="A40" s="13" t="s">
        <v>40</v>
      </c>
      <c r="B40" s="93">
        <v>1257.3</v>
      </c>
      <c r="C40" s="172">
        <f t="shared" si="23"/>
        <v>10875.645</v>
      </c>
      <c r="D40" s="173">
        <f>C40-E40-F40-G40-H40-I40-J40-K40-L40-M40-N40</f>
        <v>967.7849999999996</v>
      </c>
      <c r="E40" s="94">
        <v>1143.76</v>
      </c>
      <c r="F40" s="94">
        <v>0</v>
      </c>
      <c r="G40" s="94">
        <v>1548.84</v>
      </c>
      <c r="H40" s="94">
        <v>0</v>
      </c>
      <c r="I40" s="94">
        <v>3722.01</v>
      </c>
      <c r="J40" s="94">
        <v>0</v>
      </c>
      <c r="K40" s="94">
        <v>2578.26</v>
      </c>
      <c r="L40" s="94">
        <v>0</v>
      </c>
      <c r="M40" s="91">
        <v>914.99</v>
      </c>
      <c r="N40" s="95">
        <v>0</v>
      </c>
      <c r="O40" s="120">
        <v>0</v>
      </c>
      <c r="P40" s="120">
        <v>0</v>
      </c>
      <c r="Q40" s="120"/>
      <c r="R40" s="120"/>
      <c r="S40" s="94">
        <f t="shared" si="25"/>
        <v>9907.86</v>
      </c>
      <c r="T40" s="174">
        <f t="shared" si="26"/>
        <v>0</v>
      </c>
      <c r="U40" s="100">
        <v>770.43</v>
      </c>
      <c r="V40" s="94">
        <v>1043.74</v>
      </c>
      <c r="W40" s="94">
        <v>2507.55</v>
      </c>
      <c r="X40" s="94">
        <v>1737.07</v>
      </c>
      <c r="Y40" s="94">
        <v>616.3</v>
      </c>
      <c r="Z40" s="94">
        <v>0</v>
      </c>
      <c r="AA40" s="120">
        <v>0</v>
      </c>
      <c r="AB40" s="120">
        <f t="shared" si="41"/>
        <v>6675.09</v>
      </c>
      <c r="AC40" s="175">
        <f t="shared" si="27"/>
        <v>7642.875</v>
      </c>
      <c r="AD40" s="176">
        <f t="shared" si="28"/>
        <v>0</v>
      </c>
      <c r="AE40" s="176">
        <f t="shared" si="29"/>
        <v>0</v>
      </c>
      <c r="AF40" s="176">
        <f>100</f>
        <v>100</v>
      </c>
      <c r="AG40" s="24">
        <f t="shared" si="30"/>
        <v>754.38</v>
      </c>
      <c r="AH40" s="24">
        <f t="shared" si="31"/>
        <v>251.46</v>
      </c>
      <c r="AI40" s="24">
        <f t="shared" si="32"/>
        <v>1257.3</v>
      </c>
      <c r="AJ40" s="24">
        <v>0</v>
      </c>
      <c r="AK40" s="24">
        <f t="shared" si="33"/>
        <v>1232.154</v>
      </c>
      <c r="AL40" s="24">
        <v>0</v>
      </c>
      <c r="AM40" s="24">
        <f t="shared" si="34"/>
        <v>2828.9249999999997</v>
      </c>
      <c r="AN40" s="24">
        <v>0</v>
      </c>
      <c r="AO40" s="24"/>
      <c r="AP40" s="24"/>
      <c r="AQ40" s="177"/>
      <c r="AR40" s="177"/>
      <c r="AS40" s="99">
        <v>303</v>
      </c>
      <c r="AT40" s="99"/>
      <c r="AU40" s="99">
        <f>AT40*0.18</f>
        <v>0</v>
      </c>
      <c r="AV40" s="178">
        <v>470</v>
      </c>
      <c r="AW40" s="179">
        <v>0.6</v>
      </c>
      <c r="AX40" s="24">
        <f t="shared" si="36"/>
        <v>394.79999999999995</v>
      </c>
      <c r="AY40" s="180"/>
      <c r="AZ40" s="181"/>
      <c r="BA40" s="181">
        <f t="shared" si="37"/>
        <v>0</v>
      </c>
      <c r="BB40" s="181">
        <f t="shared" si="38"/>
        <v>7022.018999999999</v>
      </c>
      <c r="BC40" s="182">
        <f>25</f>
        <v>25</v>
      </c>
      <c r="BD40" s="64"/>
      <c r="BE40" s="138">
        <f t="shared" si="39"/>
        <v>695.8560000000007</v>
      </c>
      <c r="BF40" s="138">
        <f t="shared" si="40"/>
        <v>-3232.7700000000004</v>
      </c>
    </row>
    <row r="41" spans="1:58" s="137" customFormat="1" ht="12.75" hidden="1">
      <c r="A41" s="136" t="s">
        <v>41</v>
      </c>
      <c r="B41" s="93">
        <v>1257.3</v>
      </c>
      <c r="C41" s="172">
        <f t="shared" si="23"/>
        <v>10875.645</v>
      </c>
      <c r="D41" s="173">
        <f>C41-E41-F41-G41-H41-I41-J41-K41-L41-M41-N41</f>
        <v>926.6450000000003</v>
      </c>
      <c r="E41" s="94">
        <v>1148.6</v>
      </c>
      <c r="F41" s="94">
        <v>0</v>
      </c>
      <c r="G41" s="94">
        <v>1555.13</v>
      </c>
      <c r="H41" s="94">
        <v>0</v>
      </c>
      <c r="I41" s="94">
        <v>3737.49</v>
      </c>
      <c r="J41" s="94">
        <v>0</v>
      </c>
      <c r="K41" s="94">
        <v>2588.91</v>
      </c>
      <c r="L41" s="94">
        <v>0</v>
      </c>
      <c r="M41" s="91">
        <v>918.87</v>
      </c>
      <c r="N41" s="95">
        <v>0</v>
      </c>
      <c r="O41" s="120">
        <v>0</v>
      </c>
      <c r="P41" s="120">
        <v>0</v>
      </c>
      <c r="Q41" s="120"/>
      <c r="R41" s="120"/>
      <c r="S41" s="94">
        <f t="shared" si="25"/>
        <v>9949</v>
      </c>
      <c r="T41" s="174">
        <f t="shared" si="26"/>
        <v>0</v>
      </c>
      <c r="U41" s="94">
        <v>1308.43</v>
      </c>
      <c r="V41" s="94">
        <v>1771.29</v>
      </c>
      <c r="W41" s="94">
        <v>4257.35</v>
      </c>
      <c r="X41" s="94">
        <v>2948.98</v>
      </c>
      <c r="Y41" s="94">
        <v>1046.77</v>
      </c>
      <c r="Z41" s="94">
        <v>0</v>
      </c>
      <c r="AA41" s="120">
        <v>0</v>
      </c>
      <c r="AB41" s="120">
        <f t="shared" si="41"/>
        <v>11332.820000000002</v>
      </c>
      <c r="AC41" s="175">
        <f t="shared" si="27"/>
        <v>12259.465000000002</v>
      </c>
      <c r="AD41" s="176">
        <f t="shared" si="28"/>
        <v>0</v>
      </c>
      <c r="AE41" s="176">
        <f t="shared" si="29"/>
        <v>0</v>
      </c>
      <c r="AF41" s="176">
        <f>100</f>
        <v>100</v>
      </c>
      <c r="AG41" s="24">
        <f t="shared" si="30"/>
        <v>754.38</v>
      </c>
      <c r="AH41" s="24">
        <f t="shared" si="31"/>
        <v>251.46</v>
      </c>
      <c r="AI41" s="24">
        <f t="shared" si="32"/>
        <v>1257.3</v>
      </c>
      <c r="AJ41" s="24">
        <v>0</v>
      </c>
      <c r="AK41" s="24">
        <f t="shared" si="33"/>
        <v>1232.154</v>
      </c>
      <c r="AL41" s="24">
        <v>0</v>
      </c>
      <c r="AM41" s="24">
        <f t="shared" si="34"/>
        <v>2828.9249999999997</v>
      </c>
      <c r="AN41" s="24">
        <v>0</v>
      </c>
      <c r="AO41" s="24"/>
      <c r="AP41" s="24"/>
      <c r="AQ41" s="177"/>
      <c r="AR41" s="177"/>
      <c r="AS41" s="99"/>
      <c r="AT41" s="99">
        <f>141.95+199.15+1283.05+28140.8+8857.68</f>
        <v>38622.630000000005</v>
      </c>
      <c r="AU41" s="99">
        <f>(141.95+199.15+1283.05+28140.8+8857.68)*0.18</f>
        <v>6952.0734</v>
      </c>
      <c r="AV41" s="178">
        <v>514</v>
      </c>
      <c r="AW41" s="179">
        <v>0.6</v>
      </c>
      <c r="AX41" s="24">
        <f t="shared" si="36"/>
        <v>431.75999999999993</v>
      </c>
      <c r="AY41" s="180"/>
      <c r="AZ41" s="181"/>
      <c r="BA41" s="181">
        <f t="shared" si="37"/>
        <v>0</v>
      </c>
      <c r="BB41" s="181">
        <f t="shared" si="38"/>
        <v>52330.682400000005</v>
      </c>
      <c r="BC41" s="182">
        <f>25</f>
        <v>25</v>
      </c>
      <c r="BD41" s="92"/>
      <c r="BE41" s="138">
        <f t="shared" si="39"/>
        <v>-39996.2174</v>
      </c>
      <c r="BF41" s="138">
        <f t="shared" si="40"/>
        <v>1383.8200000000015</v>
      </c>
    </row>
    <row r="42" spans="1:58" s="23" customFormat="1" ht="12.75" hidden="1">
      <c r="A42" s="18" t="s">
        <v>3</v>
      </c>
      <c r="B42" s="19"/>
      <c r="C42" s="19">
        <f>SUM(C30:C41)</f>
        <v>130400.48000000004</v>
      </c>
      <c r="D42" s="19">
        <f aca="true" t="shared" si="42" ref="D42:BF42">SUM(D30:D41)</f>
        <v>111782.52000000002</v>
      </c>
      <c r="E42" s="19">
        <f t="shared" si="42"/>
        <v>12145.29</v>
      </c>
      <c r="F42" s="19">
        <f t="shared" si="42"/>
        <v>1547.4999999999998</v>
      </c>
      <c r="G42" s="19">
        <f t="shared" si="42"/>
        <v>16446.01</v>
      </c>
      <c r="H42" s="19">
        <f t="shared" si="42"/>
        <v>2097.6</v>
      </c>
      <c r="I42" s="19">
        <f t="shared" si="42"/>
        <v>39522.36000000001</v>
      </c>
      <c r="J42" s="19">
        <f t="shared" si="42"/>
        <v>5037.759999999999</v>
      </c>
      <c r="K42" s="19">
        <f t="shared" si="42"/>
        <v>27377.160000000007</v>
      </c>
      <c r="L42" s="19">
        <f t="shared" si="42"/>
        <v>3490.3199999999997</v>
      </c>
      <c r="M42" s="19">
        <f t="shared" si="42"/>
        <v>9715.9</v>
      </c>
      <c r="N42" s="19">
        <f t="shared" si="42"/>
        <v>1238.06</v>
      </c>
      <c r="O42" s="19">
        <f t="shared" si="42"/>
        <v>0</v>
      </c>
      <c r="P42" s="19">
        <f t="shared" si="42"/>
        <v>0</v>
      </c>
      <c r="Q42" s="19">
        <f t="shared" si="42"/>
        <v>0</v>
      </c>
      <c r="R42" s="19">
        <f t="shared" si="42"/>
        <v>0</v>
      </c>
      <c r="S42" s="19">
        <f t="shared" si="42"/>
        <v>105206.72</v>
      </c>
      <c r="T42" s="19">
        <f t="shared" si="42"/>
        <v>13411.239999999998</v>
      </c>
      <c r="U42" s="19">
        <f t="shared" si="42"/>
        <v>11273.490000000002</v>
      </c>
      <c r="V42" s="19">
        <f t="shared" si="42"/>
        <v>15261.939999999999</v>
      </c>
      <c r="W42" s="19">
        <f t="shared" si="42"/>
        <v>37979.090000000004</v>
      </c>
      <c r="X42" s="19">
        <f t="shared" si="42"/>
        <v>25408.18</v>
      </c>
      <c r="Y42" s="19">
        <f t="shared" si="42"/>
        <v>9018.51</v>
      </c>
      <c r="Z42" s="19">
        <f t="shared" si="42"/>
        <v>0</v>
      </c>
      <c r="AA42" s="19">
        <f t="shared" si="42"/>
        <v>0</v>
      </c>
      <c r="AB42" s="19">
        <f t="shared" si="42"/>
        <v>98941.21</v>
      </c>
      <c r="AC42" s="19">
        <f t="shared" si="42"/>
        <v>224134.97</v>
      </c>
      <c r="AD42" s="19">
        <f t="shared" si="42"/>
        <v>0</v>
      </c>
      <c r="AE42" s="19">
        <f t="shared" si="42"/>
        <v>0</v>
      </c>
      <c r="AF42" s="19">
        <f t="shared" si="42"/>
        <v>300</v>
      </c>
      <c r="AG42" s="19">
        <f t="shared" si="42"/>
        <v>9045.119999999999</v>
      </c>
      <c r="AH42" s="19">
        <f t="shared" si="42"/>
        <v>3015.0400000000004</v>
      </c>
      <c r="AI42" s="19">
        <f t="shared" si="42"/>
        <v>15075.199999999997</v>
      </c>
      <c r="AJ42" s="19">
        <f t="shared" si="42"/>
        <v>0</v>
      </c>
      <c r="AK42" s="19">
        <f t="shared" si="42"/>
        <v>14773.696000000004</v>
      </c>
      <c r="AL42" s="19">
        <f t="shared" si="42"/>
        <v>0</v>
      </c>
      <c r="AM42" s="19">
        <f t="shared" si="42"/>
        <v>33919.2</v>
      </c>
      <c r="AN42" s="19">
        <f t="shared" si="42"/>
        <v>0</v>
      </c>
      <c r="AO42" s="19">
        <f t="shared" si="42"/>
        <v>1722.6000000000001</v>
      </c>
      <c r="AP42" s="19">
        <f t="shared" si="42"/>
        <v>0</v>
      </c>
      <c r="AQ42" s="166">
        <f t="shared" si="42"/>
        <v>0</v>
      </c>
      <c r="AR42" s="166">
        <f t="shared" si="42"/>
        <v>0</v>
      </c>
      <c r="AS42" s="20">
        <f t="shared" si="42"/>
        <v>21219</v>
      </c>
      <c r="AT42" s="20">
        <f t="shared" si="42"/>
        <v>375023.88</v>
      </c>
      <c r="AU42" s="20">
        <f t="shared" si="42"/>
        <v>6971.446800000001</v>
      </c>
      <c r="AV42" s="19">
        <f t="shared" si="42"/>
        <v>4400</v>
      </c>
      <c r="AW42" s="19">
        <f t="shared" si="42"/>
        <v>7.199999999999998</v>
      </c>
      <c r="AX42" s="19">
        <f t="shared" si="42"/>
        <v>3695.9999999999995</v>
      </c>
      <c r="AY42" s="19">
        <f t="shared" si="42"/>
        <v>0</v>
      </c>
      <c r="AZ42" s="19">
        <f t="shared" si="42"/>
        <v>0</v>
      </c>
      <c r="BA42" s="19">
        <f t="shared" si="42"/>
        <v>0</v>
      </c>
      <c r="BB42" s="19">
        <f t="shared" si="42"/>
        <v>484461.1827999999</v>
      </c>
      <c r="BC42" s="19">
        <f t="shared" si="42"/>
        <v>75</v>
      </c>
      <c r="BD42" s="19">
        <f t="shared" si="42"/>
        <v>0</v>
      </c>
      <c r="BE42" s="19">
        <f t="shared" si="42"/>
        <v>-260101.2127999999</v>
      </c>
      <c r="BF42" s="167">
        <f t="shared" si="42"/>
        <v>-6265.510000000001</v>
      </c>
    </row>
    <row r="43" spans="1:58" s="23" customFormat="1" ht="12.75" hidden="1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21"/>
      <c r="W43" s="21"/>
      <c r="X43" s="21"/>
      <c r="Y43" s="21"/>
      <c r="Z43" s="21"/>
      <c r="AA43" s="21"/>
      <c r="AB43" s="21"/>
      <c r="AC43" s="21"/>
      <c r="AD43" s="125"/>
      <c r="AE43" s="125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87"/>
      <c r="AQ43" s="168"/>
      <c r="AR43" s="168"/>
      <c r="AS43" s="87"/>
      <c r="AT43" s="87"/>
      <c r="AU43" s="87"/>
      <c r="AV43" s="22"/>
      <c r="AW43" s="22"/>
      <c r="AX43" s="102"/>
      <c r="AY43" s="60"/>
      <c r="AZ43" s="60"/>
      <c r="BA43" s="60"/>
      <c r="BB43" s="60"/>
      <c r="BC43" s="60"/>
      <c r="BD43" s="60"/>
      <c r="BE43" s="60"/>
      <c r="BF43" s="169"/>
    </row>
    <row r="44" spans="1:58" s="23" customFormat="1" ht="13.5" thickBot="1">
      <c r="A44" s="26" t="s">
        <v>52</v>
      </c>
      <c r="B44" s="27"/>
      <c r="C44" s="27">
        <f>C28+C42</f>
        <v>293132.93000000005</v>
      </c>
      <c r="D44" s="27">
        <f aca="true" t="shared" si="43" ref="D44:BF44">D28+D42</f>
        <v>132988.35363130004</v>
      </c>
      <c r="E44" s="27">
        <f t="shared" si="43"/>
        <v>24389.350000000002</v>
      </c>
      <c r="F44" s="27">
        <f t="shared" si="43"/>
        <v>6427.469999999999</v>
      </c>
      <c r="G44" s="27">
        <f t="shared" si="43"/>
        <v>32989.2</v>
      </c>
      <c r="H44" s="27">
        <f t="shared" si="43"/>
        <v>7641.27</v>
      </c>
      <c r="I44" s="27">
        <f t="shared" si="43"/>
        <v>79329.31</v>
      </c>
      <c r="J44" s="27">
        <f t="shared" si="43"/>
        <v>18366.22</v>
      </c>
      <c r="K44" s="27">
        <f t="shared" si="43"/>
        <v>54944.19</v>
      </c>
      <c r="L44" s="27">
        <f t="shared" si="43"/>
        <v>12721.57</v>
      </c>
      <c r="M44" s="27">
        <f t="shared" si="43"/>
        <v>19572.56</v>
      </c>
      <c r="N44" s="27">
        <f t="shared" si="43"/>
        <v>4515.9</v>
      </c>
      <c r="O44" s="27">
        <f t="shared" si="43"/>
        <v>0</v>
      </c>
      <c r="P44" s="27">
        <f t="shared" si="43"/>
        <v>0</v>
      </c>
      <c r="Q44" s="27">
        <f t="shared" si="43"/>
        <v>0</v>
      </c>
      <c r="R44" s="27">
        <f t="shared" si="43"/>
        <v>0</v>
      </c>
      <c r="S44" s="27">
        <f t="shared" si="43"/>
        <v>211224.61</v>
      </c>
      <c r="T44" s="27">
        <f t="shared" si="43"/>
        <v>49672.43</v>
      </c>
      <c r="U44" s="27">
        <f t="shared" si="43"/>
        <v>21869.04</v>
      </c>
      <c r="V44" s="27">
        <f t="shared" si="43"/>
        <v>29583.149999999998</v>
      </c>
      <c r="W44" s="27">
        <f t="shared" si="43"/>
        <v>72424.12000000001</v>
      </c>
      <c r="X44" s="27">
        <f t="shared" si="43"/>
        <v>49261</v>
      </c>
      <c r="Y44" s="27">
        <f t="shared" si="43"/>
        <v>17491.2</v>
      </c>
      <c r="Z44" s="27">
        <f t="shared" si="43"/>
        <v>0</v>
      </c>
      <c r="AA44" s="27">
        <f t="shared" si="43"/>
        <v>0</v>
      </c>
      <c r="AB44" s="27">
        <f t="shared" si="43"/>
        <v>190628.51</v>
      </c>
      <c r="AC44" s="27">
        <f t="shared" si="43"/>
        <v>373289.2936313</v>
      </c>
      <c r="AD44" s="27">
        <f t="shared" si="43"/>
        <v>0</v>
      </c>
      <c r="AE44" s="27">
        <f t="shared" si="43"/>
        <v>0</v>
      </c>
      <c r="AF44" s="27">
        <f t="shared" si="43"/>
        <v>300</v>
      </c>
      <c r="AG44" s="27">
        <f t="shared" si="43"/>
        <v>20031.912</v>
      </c>
      <c r="AH44" s="27">
        <f t="shared" si="43"/>
        <v>6712.3112304000015</v>
      </c>
      <c r="AI44" s="27">
        <f t="shared" si="43"/>
        <v>30480.803930499995</v>
      </c>
      <c r="AJ44" s="27">
        <f t="shared" si="43"/>
        <v>2773.0087074900002</v>
      </c>
      <c r="AK44" s="27">
        <f t="shared" si="43"/>
        <v>30361.708202900005</v>
      </c>
      <c r="AL44" s="27">
        <f t="shared" si="43"/>
        <v>2805.8421965219995</v>
      </c>
      <c r="AM44" s="27">
        <f t="shared" si="43"/>
        <v>68055.25425170746</v>
      </c>
      <c r="AN44" s="27">
        <f t="shared" si="43"/>
        <v>6144.489765307342</v>
      </c>
      <c r="AO44" s="27">
        <f t="shared" si="43"/>
        <v>1722.6000000000001</v>
      </c>
      <c r="AP44" s="27">
        <f t="shared" si="43"/>
        <v>0</v>
      </c>
      <c r="AQ44" s="170">
        <f t="shared" si="43"/>
        <v>1916.46</v>
      </c>
      <c r="AR44" s="170">
        <f t="shared" si="43"/>
        <v>344.9628</v>
      </c>
      <c r="AS44" s="171">
        <f t="shared" si="43"/>
        <v>53903.04</v>
      </c>
      <c r="AT44" s="171">
        <f t="shared" si="43"/>
        <v>375023.88</v>
      </c>
      <c r="AU44" s="171">
        <f t="shared" si="43"/>
        <v>12854.584</v>
      </c>
      <c r="AV44" s="27"/>
      <c r="AW44" s="27"/>
      <c r="AX44" s="27">
        <f t="shared" si="43"/>
        <v>7185.0232</v>
      </c>
      <c r="AY44" s="27">
        <f t="shared" si="43"/>
        <v>0</v>
      </c>
      <c r="AZ44" s="27">
        <f t="shared" si="43"/>
        <v>0</v>
      </c>
      <c r="BA44" s="27">
        <f t="shared" si="43"/>
        <v>0</v>
      </c>
      <c r="BB44" s="27">
        <f t="shared" si="43"/>
        <v>620315.8802848267</v>
      </c>
      <c r="BC44" s="27">
        <f t="shared" si="43"/>
        <v>75</v>
      </c>
      <c r="BD44" s="27">
        <f t="shared" si="43"/>
        <v>126198.19773292278</v>
      </c>
      <c r="BE44" s="27">
        <f t="shared" si="43"/>
        <v>-246801.5866535267</v>
      </c>
      <c r="BF44" s="27">
        <f t="shared" si="43"/>
        <v>-20596.100000000002</v>
      </c>
    </row>
  </sheetData>
  <sheetProtection/>
  <mergeCells count="67">
    <mergeCell ref="AP5:AP6"/>
    <mergeCell ref="AQ5:AQ6"/>
    <mergeCell ref="AR5:AR6"/>
    <mergeCell ref="AB5:AB6"/>
    <mergeCell ref="AE3:AE6"/>
    <mergeCell ref="AM5:AM6"/>
    <mergeCell ref="AN5:AN6"/>
    <mergeCell ref="Z5:Z6"/>
    <mergeCell ref="AA5:AA6"/>
    <mergeCell ref="V5:V6"/>
    <mergeCell ref="W5:W6"/>
    <mergeCell ref="X5:X6"/>
    <mergeCell ref="Y5:Y6"/>
    <mergeCell ref="N5:N6"/>
    <mergeCell ref="O5:O6"/>
    <mergeCell ref="P5:P6"/>
    <mergeCell ref="Q5:Q6"/>
    <mergeCell ref="J5:J6"/>
    <mergeCell ref="K5:K6"/>
    <mergeCell ref="L5:L6"/>
    <mergeCell ref="M5:M6"/>
    <mergeCell ref="A1:N1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E3:F4"/>
    <mergeCell ref="G3:H4"/>
    <mergeCell ref="I3:J4"/>
    <mergeCell ref="K3:L4"/>
    <mergeCell ref="M3:N4"/>
    <mergeCell ref="O3:P4"/>
    <mergeCell ref="Q3:R4"/>
    <mergeCell ref="AF3:AF6"/>
    <mergeCell ref="S3:T4"/>
    <mergeCell ref="U3:AB4"/>
    <mergeCell ref="AC3:AC6"/>
    <mergeCell ref="AD3:AD6"/>
    <mergeCell ref="T5:T6"/>
    <mergeCell ref="U5:U6"/>
    <mergeCell ref="R5:R6"/>
    <mergeCell ref="S5:S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BE3:BE6"/>
    <mergeCell ref="AG5:AG6"/>
    <mergeCell ref="AH5:AH6"/>
    <mergeCell ref="AI5:AI6"/>
    <mergeCell ref="AJ5:AJ6"/>
    <mergeCell ref="AK5:AK6"/>
    <mergeCell ref="AL5:AL6"/>
    <mergeCell ref="AS5:AS6"/>
    <mergeCell ref="AT5:AT6"/>
    <mergeCell ref="AO5:A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1">
      <selection activeCell="C61" sqref="C61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9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28" t="s">
        <v>53</v>
      </c>
    </row>
    <row r="2" ht="18.75">
      <c r="E2" s="28" t="s">
        <v>54</v>
      </c>
    </row>
    <row r="6" spans="1:15" ht="12.75">
      <c r="A6" s="404" t="s">
        <v>77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</row>
    <row r="7" spans="1:15" ht="12.75">
      <c r="A7" s="403" t="s">
        <v>93</v>
      </c>
      <c r="B7" s="403"/>
      <c r="C7" s="403"/>
      <c r="D7" s="403"/>
      <c r="E7" s="403"/>
      <c r="F7" s="403"/>
      <c r="G7" s="403"/>
      <c r="H7" s="121"/>
      <c r="I7" s="121"/>
      <c r="J7" s="121"/>
      <c r="K7" s="121"/>
      <c r="L7" s="121"/>
      <c r="M7" s="121"/>
      <c r="N7" s="121"/>
      <c r="O7" s="121"/>
    </row>
    <row r="8" spans="1:15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5" ht="13.5" thickBot="1">
      <c r="A9" s="30" t="s">
        <v>55</v>
      </c>
      <c r="D9" s="4"/>
      <c r="E9" s="30">
        <v>8.65</v>
      </c>
    </row>
    <row r="10" spans="1:16" ht="12.75" customHeight="1">
      <c r="A10" s="405" t="s">
        <v>56</v>
      </c>
      <c r="B10" s="408" t="s">
        <v>0</v>
      </c>
      <c r="C10" s="411" t="s">
        <v>57</v>
      </c>
      <c r="D10" s="414" t="s">
        <v>2</v>
      </c>
      <c r="E10" s="417" t="s">
        <v>58</v>
      </c>
      <c r="F10" s="352"/>
      <c r="G10" s="428" t="s">
        <v>74</v>
      </c>
      <c r="H10" s="428"/>
      <c r="I10" s="430" t="s">
        <v>8</v>
      </c>
      <c r="J10" s="431"/>
      <c r="K10" s="431"/>
      <c r="L10" s="431"/>
      <c r="M10" s="431"/>
      <c r="N10" s="432"/>
      <c r="O10" s="420" t="s">
        <v>59</v>
      </c>
      <c r="P10" s="420" t="s">
        <v>10</v>
      </c>
    </row>
    <row r="11" spans="1:16" ht="12.75">
      <c r="A11" s="406"/>
      <c r="B11" s="409"/>
      <c r="C11" s="412"/>
      <c r="D11" s="415"/>
      <c r="E11" s="418"/>
      <c r="F11" s="419"/>
      <c r="G11" s="429"/>
      <c r="H11" s="429"/>
      <c r="I11" s="433"/>
      <c r="J11" s="434"/>
      <c r="K11" s="434"/>
      <c r="L11" s="434"/>
      <c r="M11" s="434"/>
      <c r="N11" s="435"/>
      <c r="O11" s="421"/>
      <c r="P11" s="421"/>
    </row>
    <row r="12" spans="1:16" ht="26.25" customHeight="1">
      <c r="A12" s="406"/>
      <c r="B12" s="409"/>
      <c r="C12" s="412"/>
      <c r="D12" s="415"/>
      <c r="E12" s="423" t="s">
        <v>60</v>
      </c>
      <c r="F12" s="378"/>
      <c r="G12" s="32" t="s">
        <v>61</v>
      </c>
      <c r="H12" s="424" t="s">
        <v>5</v>
      </c>
      <c r="I12" s="426" t="s">
        <v>62</v>
      </c>
      <c r="J12" s="396" t="s">
        <v>30</v>
      </c>
      <c r="K12" s="396" t="s">
        <v>63</v>
      </c>
      <c r="L12" s="396" t="s">
        <v>35</v>
      </c>
      <c r="M12" s="396" t="s">
        <v>64</v>
      </c>
      <c r="N12" s="401" t="s">
        <v>37</v>
      </c>
      <c r="O12" s="421"/>
      <c r="P12" s="421"/>
    </row>
    <row r="13" spans="1:16" ht="66.75" customHeight="1" thickBot="1">
      <c r="A13" s="407"/>
      <c r="B13" s="410"/>
      <c r="C13" s="413"/>
      <c r="D13" s="416"/>
      <c r="E13" s="33" t="s">
        <v>65</v>
      </c>
      <c r="F13" s="34" t="s">
        <v>19</v>
      </c>
      <c r="G13" s="35" t="s">
        <v>75</v>
      </c>
      <c r="H13" s="425"/>
      <c r="I13" s="427"/>
      <c r="J13" s="397"/>
      <c r="K13" s="397"/>
      <c r="L13" s="397"/>
      <c r="M13" s="397"/>
      <c r="N13" s="402"/>
      <c r="O13" s="422"/>
      <c r="P13" s="422"/>
    </row>
    <row r="14" spans="1:16" ht="13.5" thickBot="1">
      <c r="A14" s="36">
        <v>1</v>
      </c>
      <c r="B14" s="37">
        <v>2</v>
      </c>
      <c r="C14" s="38">
        <v>3</v>
      </c>
      <c r="D14" s="36">
        <v>4</v>
      </c>
      <c r="E14" s="37">
        <v>5</v>
      </c>
      <c r="F14" s="39">
        <v>6</v>
      </c>
      <c r="G14" s="40">
        <v>7</v>
      </c>
      <c r="H14" s="103">
        <v>8</v>
      </c>
      <c r="I14" s="36">
        <v>9</v>
      </c>
      <c r="J14" s="37">
        <v>10</v>
      </c>
      <c r="K14" s="37">
        <v>11</v>
      </c>
      <c r="L14" s="37">
        <v>12</v>
      </c>
      <c r="M14" s="37">
        <v>13</v>
      </c>
      <c r="N14" s="115">
        <v>14</v>
      </c>
      <c r="O14" s="41">
        <v>15</v>
      </c>
      <c r="P14" s="41">
        <v>16</v>
      </c>
    </row>
    <row r="15" spans="1:16" ht="12.75" hidden="1">
      <c r="A15" s="8" t="s">
        <v>38</v>
      </c>
      <c r="B15" s="9"/>
      <c r="C15" s="31"/>
      <c r="D15" s="8"/>
      <c r="E15" s="9"/>
      <c r="F15" s="11"/>
      <c r="G15" s="42"/>
      <c r="H15" s="104"/>
      <c r="I15" s="8"/>
      <c r="J15" s="9"/>
      <c r="K15" s="9"/>
      <c r="L15" s="9"/>
      <c r="M15" s="9"/>
      <c r="N15" s="116"/>
      <c r="O15" s="43"/>
      <c r="P15" s="44"/>
    </row>
    <row r="16" spans="1:16" ht="12.75" hidden="1">
      <c r="A16" s="13" t="s">
        <v>39</v>
      </c>
      <c r="B16" s="14">
        <f>Лист1!B9</f>
        <v>1254.2</v>
      </c>
      <c r="C16" s="45">
        <f>Лист1!C9</f>
        <v>10848.830000000002</v>
      </c>
      <c r="D16" s="46">
        <f>Лист1!D9</f>
        <v>2613.2661704000006</v>
      </c>
      <c r="E16" s="15">
        <f>Лист1!S9</f>
        <v>6834.330000000001</v>
      </c>
      <c r="F16" s="17">
        <f>Лист1!T9</f>
        <v>2328.25</v>
      </c>
      <c r="G16" s="47">
        <f>Лист1!AB9</f>
        <v>0</v>
      </c>
      <c r="H16" s="112">
        <f>Лист1!AC9</f>
        <v>4941.5161704</v>
      </c>
      <c r="I16" s="48">
        <f>Лист1!AG9</f>
        <v>752.52</v>
      </c>
      <c r="J16" s="15">
        <f>Лист1!AH9+Лист1!AI9</f>
        <v>1333.7814984</v>
      </c>
      <c r="K16" s="15">
        <f>Лист1!AG9+Лист1!AJ9+Лист1!AK9+Лист1!AL9+Лист1!AM9+Лист1!AN9+Лист1!AO9+Лист1!AQ9+Лист1!AR9</f>
        <v>5105.92984842</v>
      </c>
      <c r="L16" s="16">
        <f>Лист1!AS9+Лист1!AT9+Лист1!AU9</f>
        <v>5383.2072</v>
      </c>
      <c r="M16" s="16">
        <f>Лист1!AX9</f>
        <v>0</v>
      </c>
      <c r="N16" s="118">
        <f>Лист1!BB9</f>
        <v>11822.91854682</v>
      </c>
      <c r="O16" s="49">
        <f>Лист1!BE9</f>
        <v>-6881.402376419999</v>
      </c>
      <c r="P16" s="49">
        <f>Лист1!BF9</f>
        <v>-6834.330000000001</v>
      </c>
    </row>
    <row r="17" spans="1:16" ht="12.75" hidden="1">
      <c r="A17" s="13" t="s">
        <v>40</v>
      </c>
      <c r="B17" s="14">
        <f>Лист1!B10</f>
        <v>1254.2</v>
      </c>
      <c r="C17" s="45">
        <f>Лист1!C10</f>
        <v>10848.830000000002</v>
      </c>
      <c r="D17" s="46">
        <f>Лист1!D10</f>
        <v>2613.2661704000006</v>
      </c>
      <c r="E17" s="15">
        <f>Лист1!S10</f>
        <v>6613.129999999999</v>
      </c>
      <c r="F17" s="17">
        <f>Лист1!T10</f>
        <v>2284.4900000000002</v>
      </c>
      <c r="G17" s="47">
        <f>Лист1!AB10</f>
        <v>4732.950000000001</v>
      </c>
      <c r="H17" s="112">
        <f>Лист1!AC10</f>
        <v>9630.7061704</v>
      </c>
      <c r="I17" s="48">
        <f>Лист1!AG10</f>
        <v>752.52</v>
      </c>
      <c r="J17" s="15">
        <f>Лист1!AH10+Лист1!AI10</f>
        <v>1320.42176</v>
      </c>
      <c r="K17" s="15">
        <f>Лист1!AG10+Лист1!AJ10+Лист1!AK10+Лист1!AL10+Лист1!AM10+Лист1!AN10+Лист1!AO10+Лист1!AQ10+Лист1!AR10</f>
        <v>5105.92984842</v>
      </c>
      <c r="L17" s="16">
        <f>Лист1!AS10+Лист1!AT10+Лист1!AU10</f>
        <v>4131.18</v>
      </c>
      <c r="M17" s="16">
        <f>Лист1!AX10</f>
        <v>0</v>
      </c>
      <c r="N17" s="118">
        <f>Лист1!BB10</f>
        <v>10557.531608419999</v>
      </c>
      <c r="O17" s="49">
        <f>Лист1!BE10</f>
        <v>-926.8254380199978</v>
      </c>
      <c r="P17" s="49">
        <f>Лист1!BF10</f>
        <v>-1880.1799999999985</v>
      </c>
    </row>
    <row r="18" spans="1:18" ht="13.5" hidden="1" thickBot="1">
      <c r="A18" s="50" t="s">
        <v>41</v>
      </c>
      <c r="B18" s="75">
        <f>Лист1!B11</f>
        <v>1254.2</v>
      </c>
      <c r="C18" s="51">
        <f>Лист1!C11</f>
        <v>10848.830000000002</v>
      </c>
      <c r="D18" s="76">
        <f>Лист1!D11</f>
        <v>2607.5162905000007</v>
      </c>
      <c r="E18" s="77">
        <f>Лист1!S11</f>
        <v>6714.58</v>
      </c>
      <c r="F18" s="79">
        <f>Лист1!T11</f>
        <v>3088.97</v>
      </c>
      <c r="G18" s="78">
        <f>Лист1!AB11</f>
        <v>6896.53</v>
      </c>
      <c r="H18" s="113">
        <f>Лист1!AC11</f>
        <v>12593.0162905</v>
      </c>
      <c r="I18" s="48">
        <f>Лист1!AG11</f>
        <v>752.52</v>
      </c>
      <c r="J18" s="77">
        <f>Лист1!AH11+Лист1!AI11</f>
        <v>1322.3883455999999</v>
      </c>
      <c r="K18" s="15">
        <f>Лист1!AG11+Лист1!AJ11+Лист1!AK11+Лист1!AL11+Лист1!AM11+Лист1!AN11+Лист1!AO11+Лист1!AQ11+Лист1!AR11</f>
        <v>5093.276513086001</v>
      </c>
      <c r="L18" s="16">
        <f>Лист1!AS11+Лист1!AT11+Лист1!AU11</f>
        <v>0</v>
      </c>
      <c r="M18" s="16">
        <f>Лист1!AX11</f>
        <v>0</v>
      </c>
      <c r="N18" s="118">
        <f>Лист1!BB11</f>
        <v>6415.664858686</v>
      </c>
      <c r="O18" s="49">
        <f>Лист1!BE11</f>
        <v>6177.351431814</v>
      </c>
      <c r="P18" s="49">
        <f>Лист1!BF11</f>
        <v>181.94999999999982</v>
      </c>
      <c r="Q18" s="1"/>
      <c r="R18" s="1"/>
    </row>
    <row r="19" spans="1:18" s="23" customFormat="1" ht="13.5" hidden="1" thickBot="1">
      <c r="A19" s="52" t="s">
        <v>3</v>
      </c>
      <c r="B19" s="83"/>
      <c r="C19" s="84">
        <f>SUM(C16:C18)</f>
        <v>32546.490000000005</v>
      </c>
      <c r="D19" s="90">
        <f aca="true" t="shared" si="0" ref="D19:P19">SUM(D16:D18)</f>
        <v>7834.048631300002</v>
      </c>
      <c r="E19" s="84">
        <f t="shared" si="0"/>
        <v>20162.04</v>
      </c>
      <c r="F19" s="85">
        <f t="shared" si="0"/>
        <v>7701.709999999999</v>
      </c>
      <c r="G19" s="89">
        <f t="shared" si="0"/>
        <v>11629.48</v>
      </c>
      <c r="H19" s="105">
        <f t="shared" si="0"/>
        <v>27165.238631300002</v>
      </c>
      <c r="I19" s="90">
        <f t="shared" si="0"/>
        <v>2257.56</v>
      </c>
      <c r="J19" s="84">
        <f t="shared" si="0"/>
        <v>3976.5916039999997</v>
      </c>
      <c r="K19" s="84">
        <f t="shared" si="0"/>
        <v>15305.136209926</v>
      </c>
      <c r="L19" s="84">
        <f t="shared" si="0"/>
        <v>9514.387200000001</v>
      </c>
      <c r="M19" s="84">
        <f t="shared" si="0"/>
        <v>0</v>
      </c>
      <c r="N19" s="122">
        <f t="shared" si="0"/>
        <v>28796.115013925995</v>
      </c>
      <c r="O19" s="89">
        <f t="shared" si="0"/>
        <v>-1630.8763826259974</v>
      </c>
      <c r="P19" s="123">
        <f t="shared" si="0"/>
        <v>-8532.559999999998</v>
      </c>
      <c r="Q19" s="59"/>
      <c r="R19" s="60"/>
    </row>
    <row r="20" spans="1:18" ht="12.75" hidden="1">
      <c r="A20" s="8" t="s">
        <v>42</v>
      </c>
      <c r="B20" s="80"/>
      <c r="C20" s="61"/>
      <c r="D20" s="62"/>
      <c r="E20" s="63"/>
      <c r="F20" s="64"/>
      <c r="G20" s="65"/>
      <c r="H20" s="114"/>
      <c r="I20" s="66"/>
      <c r="J20" s="63"/>
      <c r="K20" s="63"/>
      <c r="L20" s="81"/>
      <c r="M20" s="81"/>
      <c r="N20" s="119"/>
      <c r="O20" s="82"/>
      <c r="P20" s="82"/>
      <c r="Q20" s="1"/>
      <c r="R20" s="1"/>
    </row>
    <row r="21" spans="1:18" ht="12.75" hidden="1">
      <c r="A21" s="13" t="s">
        <v>43</v>
      </c>
      <c r="B21" s="14">
        <f>Лист1!B14</f>
        <v>1254.2</v>
      </c>
      <c r="C21" s="45">
        <f>Лист1!C14</f>
        <v>10848.830000000002</v>
      </c>
      <c r="D21" s="46">
        <f>Лист1!D14</f>
        <v>1356.1037500000002</v>
      </c>
      <c r="E21" s="15">
        <f>Лист1!S14</f>
        <v>6670.56</v>
      </c>
      <c r="F21" s="17">
        <f>Лист1!T14</f>
        <v>2306.37</v>
      </c>
      <c r="G21" s="47">
        <f>Лист1!AB14</f>
        <v>3267.5499999999997</v>
      </c>
      <c r="H21" s="112">
        <f>Лист1!AC14</f>
        <v>6930.02375</v>
      </c>
      <c r="I21" s="48">
        <f>Лист1!AG14</f>
        <v>677.268</v>
      </c>
      <c r="J21" s="15">
        <f>Лист1!AH14+Лист1!AI14</f>
        <v>1147.7611299999999</v>
      </c>
      <c r="K21" s="15">
        <f>Лист1!AG14+Лист1!AJ14+Лист1!AK14+Лист1!AL14+Лист1!AM14+Лист1!AN14+Лист1!AO14+Лист1!AQ14+Лист1!AR14</f>
        <v>4365.754449436</v>
      </c>
      <c r="L21" s="16">
        <f>Лист1!AS14+Лист1!AT14+Лист1!AU14</f>
        <v>11233.61</v>
      </c>
      <c r="M21" s="16">
        <f>Лист1!AX14</f>
        <v>0</v>
      </c>
      <c r="N21" s="118">
        <f>Лист1!BB14</f>
        <v>16747.125579436</v>
      </c>
      <c r="O21" s="49">
        <f>Лист1!BE14</f>
        <v>-9817.101829436</v>
      </c>
      <c r="P21" s="49">
        <f>Лист1!BF14</f>
        <v>-3403.0100000000007</v>
      </c>
      <c r="Q21" s="1"/>
      <c r="R21" s="1"/>
    </row>
    <row r="22" spans="1:18" ht="12.75" hidden="1">
      <c r="A22" s="13" t="s">
        <v>44</v>
      </c>
      <c r="B22" s="14">
        <f>Лист1!B15</f>
        <v>1254.2</v>
      </c>
      <c r="C22" s="45">
        <f>Лист1!C15</f>
        <v>10848.830000000002</v>
      </c>
      <c r="D22" s="46">
        <f>Лист1!D15</f>
        <v>1356.1037500000002</v>
      </c>
      <c r="E22" s="15">
        <f>Лист1!S15</f>
        <v>6164.86</v>
      </c>
      <c r="F22" s="17">
        <f>Лист1!T15</f>
        <v>2306.37</v>
      </c>
      <c r="G22" s="47">
        <f>Лист1!AB15</f>
        <v>5816.179999999999</v>
      </c>
      <c r="H22" s="112">
        <f>Лист1!AC15</f>
        <v>9478.65375</v>
      </c>
      <c r="I22" s="48">
        <f>Лист1!AG15</f>
        <v>677.268</v>
      </c>
      <c r="J22" s="15">
        <f>Лист1!AH15+Лист1!AI15</f>
        <v>1153.876542</v>
      </c>
      <c r="K22" s="15">
        <f>Лист1!AG15+Лист1!AJ15+Лист1!AK15+Лист1!AL15+Лист1!AM15+Лист1!AN15+Лист1!AO15+Лист1!AQ15+Лист1!AR15</f>
        <v>4365.069869896</v>
      </c>
      <c r="L22" s="16">
        <f>Лист1!AS15+Лист1!AT15+Лист1!AU15</f>
        <v>3044.4</v>
      </c>
      <c r="M22" s="16">
        <f>Лист1!AX15</f>
        <v>0</v>
      </c>
      <c r="N22" s="118">
        <f>Лист1!BB15</f>
        <v>8563.346411896</v>
      </c>
      <c r="O22" s="49">
        <f>Лист1!BE15</f>
        <v>915.3073381039994</v>
      </c>
      <c r="P22" s="49">
        <f>Лист1!BF15</f>
        <v>-348.6800000000003</v>
      </c>
      <c r="Q22" s="1"/>
      <c r="R22" s="1"/>
    </row>
    <row r="23" spans="1:18" ht="12.75" hidden="1">
      <c r="A23" s="13" t="s">
        <v>45</v>
      </c>
      <c r="B23" s="14">
        <f>Лист1!B16</f>
        <v>1254.2</v>
      </c>
      <c r="C23" s="45">
        <f>Лист1!C16</f>
        <v>10848.830000000002</v>
      </c>
      <c r="D23" s="46">
        <f>Лист1!D16</f>
        <v>1356.1037500000002</v>
      </c>
      <c r="E23" s="15">
        <f>Лист1!S16</f>
        <v>6722.49</v>
      </c>
      <c r="F23" s="17">
        <f>Лист1!T16</f>
        <v>2306.37</v>
      </c>
      <c r="G23" s="47">
        <f>Лист1!AB16</f>
        <v>7490.39</v>
      </c>
      <c r="H23" s="112">
        <f>Лист1!AC16</f>
        <v>11152.86375</v>
      </c>
      <c r="I23" s="48">
        <f>Лист1!AG16</f>
        <v>677.268</v>
      </c>
      <c r="J23" s="15">
        <f>Лист1!AH16+Лист1!AI16</f>
        <v>1152.628613</v>
      </c>
      <c r="K23" s="15">
        <f>Лист1!AG16+Лист1!AJ16+Лист1!AK16+Лист1!AL16+Лист1!AM16+Лист1!AN16+Лист1!AO16+Лист1!AQ16+Лист1!AR16</f>
        <v>4242.174072815999</v>
      </c>
      <c r="L23" s="16">
        <f>Лист1!AS16+Лист1!AT16+Лист1!AU16</f>
        <v>0</v>
      </c>
      <c r="M23" s="16">
        <f>Лист1!AX16</f>
        <v>0</v>
      </c>
      <c r="N23" s="118">
        <f>Лист1!BB16</f>
        <v>5394.802685816</v>
      </c>
      <c r="O23" s="49">
        <f>Лист1!BE16</f>
        <v>5758.061064184</v>
      </c>
      <c r="P23" s="49">
        <f>Лист1!BF16</f>
        <v>767.9000000000005</v>
      </c>
      <c r="Q23" s="1"/>
      <c r="R23" s="1"/>
    </row>
    <row r="24" spans="1:18" ht="12.75" hidden="1">
      <c r="A24" s="13" t="s">
        <v>46</v>
      </c>
      <c r="B24" s="14">
        <f>Лист1!B17</f>
        <v>1254.2</v>
      </c>
      <c r="C24" s="45">
        <f>Лист1!C17</f>
        <v>10848.830000000002</v>
      </c>
      <c r="D24" s="46">
        <f>Лист1!D17</f>
        <v>1356.1037500000002</v>
      </c>
      <c r="E24" s="15">
        <f>Лист1!S17</f>
        <v>6788.67</v>
      </c>
      <c r="F24" s="17">
        <f>Лист1!T17</f>
        <v>2306.37</v>
      </c>
      <c r="G24" s="47">
        <f>Лист1!AB17</f>
        <v>5674.4</v>
      </c>
      <c r="H24" s="112">
        <f>Лист1!AC17</f>
        <v>9336.873749999999</v>
      </c>
      <c r="I24" s="48">
        <f>Лист1!AG17</f>
        <v>677.268</v>
      </c>
      <c r="J24" s="15">
        <f>Лист1!AH17+Лист1!AI17</f>
        <v>1184.052594</v>
      </c>
      <c r="K24" s="15">
        <f>Лист1!AG17+Лист1!AJ17+Лист1!AK17+Лист1!AL17+Лист1!AM17+Лист1!AN17+Лист1!AO17+Лист1!AQ17+Лист1!AR17</f>
        <v>6556.134156952</v>
      </c>
      <c r="L24" s="16">
        <f>Лист1!AS17+Лист1!AT17+Лист1!AU17</f>
        <v>483.8</v>
      </c>
      <c r="M24" s="16">
        <f>Лист1!AX17</f>
        <v>1272.7</v>
      </c>
      <c r="N24" s="118">
        <f>Лист1!BB17</f>
        <v>9496.686750952</v>
      </c>
      <c r="O24" s="49">
        <f>Лист1!BE17</f>
        <v>-159.81300095200095</v>
      </c>
      <c r="P24" s="49">
        <f>Лист1!BF17</f>
        <v>-1114.2700000000004</v>
      </c>
      <c r="Q24" s="1"/>
      <c r="R24" s="1"/>
    </row>
    <row r="25" spans="1:18" ht="12.75" hidden="1">
      <c r="A25" s="13" t="s">
        <v>47</v>
      </c>
      <c r="B25" s="14">
        <f>Лист1!B18</f>
        <v>1254.2</v>
      </c>
      <c r="C25" s="45">
        <f>Лист1!C18</f>
        <v>10848.830000000002</v>
      </c>
      <c r="D25" s="46">
        <f>Лист1!D18</f>
        <v>966.8000000000031</v>
      </c>
      <c r="E25" s="15">
        <f>Лист1!S18</f>
        <v>7438.57</v>
      </c>
      <c r="F25" s="17">
        <f>Лист1!T18</f>
        <v>2443.46</v>
      </c>
      <c r="G25" s="47">
        <f>Лист1!AB18</f>
        <v>6892.280000000001</v>
      </c>
      <c r="H25" s="112">
        <f>Лист1!AC18</f>
        <v>10302.540000000005</v>
      </c>
      <c r="I25" s="48">
        <f>Лист1!AG18</f>
        <v>752.52</v>
      </c>
      <c r="J25" s="15">
        <f>Лист1!AH18+Лист1!AI18</f>
        <v>1319.4184</v>
      </c>
      <c r="K25" s="15">
        <f>Лист1!AG18+Лист1!AJ18+Лист1!AK18+Лист1!AL18+Лист1!AM18+Лист1!AN18+Лист1!AO18+Лист1!AQ18+Лист1!AR18</f>
        <v>4999.49204</v>
      </c>
      <c r="L25" s="16">
        <f>Лист1!AS18+Лист1!AT18+Лист1!AU18</f>
        <v>0</v>
      </c>
      <c r="M25" s="16">
        <f>Лист1!AX18</f>
        <v>208.54847999999998</v>
      </c>
      <c r="N25" s="118">
        <f>Лист1!BB18</f>
        <v>6527.45892</v>
      </c>
      <c r="O25" s="49">
        <f>Лист1!BE18</f>
        <v>3775.0810800000045</v>
      </c>
      <c r="P25" s="49">
        <f>Лист1!BF18</f>
        <v>-546.289999999999</v>
      </c>
      <c r="Q25" s="1"/>
      <c r="R25" s="1"/>
    </row>
    <row r="26" spans="1:18" ht="12.75" hidden="1">
      <c r="A26" s="13" t="s">
        <v>48</v>
      </c>
      <c r="B26" s="14">
        <f>Лист1!B19</f>
        <v>1254.2</v>
      </c>
      <c r="C26" s="45">
        <f>Лист1!C19</f>
        <v>10848.830000000002</v>
      </c>
      <c r="D26" s="46">
        <f>Лист1!D19</f>
        <v>978.3300000000002</v>
      </c>
      <c r="E26" s="15">
        <f>Лист1!S19</f>
        <v>7516.570000000001</v>
      </c>
      <c r="F26" s="17">
        <f>Лист1!T19</f>
        <v>2353.93</v>
      </c>
      <c r="G26" s="47">
        <f>Лист1!AB19</f>
        <v>8983.46</v>
      </c>
      <c r="H26" s="112">
        <f>Лист1!AC19</f>
        <v>12315.72</v>
      </c>
      <c r="I26" s="48">
        <f>Лист1!AG19</f>
        <v>752.52</v>
      </c>
      <c r="J26" s="15">
        <f>Лист1!AH19+Лист1!AI19</f>
        <v>1319.531278</v>
      </c>
      <c r="K26" s="15">
        <f>Лист1!AG19+Лист1!AJ19+Лист1!AK19+Лист1!AL19+Лист1!AM19+Лист1!AN19+Лист1!AO19+Лист1!AQ19+Лист1!AR19</f>
        <v>4999.49204</v>
      </c>
      <c r="L26" s="16">
        <f>Лист1!AS19+Лист1!AT19+Лист1!AU19</f>
        <v>0</v>
      </c>
      <c r="M26" s="16">
        <f>Лист1!AX19</f>
        <v>184.75967999999997</v>
      </c>
      <c r="N26" s="118">
        <f>Лист1!BB19</f>
        <v>6503.782998</v>
      </c>
      <c r="O26" s="49">
        <f>Лист1!BE19</f>
        <v>5811.937002</v>
      </c>
      <c r="P26" s="49">
        <f>Лист1!BF19</f>
        <v>1466.8899999999985</v>
      </c>
      <c r="Q26" s="1"/>
      <c r="R26" s="1"/>
    </row>
    <row r="27" spans="1:18" ht="12.75" hidden="1">
      <c r="A27" s="13" t="s">
        <v>49</v>
      </c>
      <c r="B27" s="14">
        <f>Лист1!B20</f>
        <v>1254.2</v>
      </c>
      <c r="C27" s="45">
        <f>Лист1!C20</f>
        <v>10848.830000000002</v>
      </c>
      <c r="D27" s="46">
        <f>Лист1!D20</f>
        <v>997.8800000000008</v>
      </c>
      <c r="E27" s="15">
        <f>Лист1!S20</f>
        <v>7497.02</v>
      </c>
      <c r="F27" s="17">
        <f>Лист1!T20</f>
        <v>2353.93</v>
      </c>
      <c r="G27" s="47">
        <f>Лист1!AB20</f>
        <v>6204.9</v>
      </c>
      <c r="H27" s="112">
        <f>Лист1!AC20</f>
        <v>9556.71</v>
      </c>
      <c r="I27" s="48">
        <f>Лист1!AG20</f>
        <v>752.52</v>
      </c>
      <c r="J27" s="15">
        <f>Лист1!AH20+Лист1!AI20</f>
        <v>1300.2253773999998</v>
      </c>
      <c r="K27" s="15">
        <f>Лист1!AG20+Лист1!AJ20+Лист1!AK20+Лист1!AL20+Лист1!AM20+Лист1!AN20+Лист1!AO20+Лист1!AQ20+Лист1!AR20</f>
        <v>4957.942049543999</v>
      </c>
      <c r="L27" s="16">
        <f>Лист1!AS20+Лист1!AT20+Лист1!AU20</f>
        <v>0</v>
      </c>
      <c r="M27" s="16">
        <f>Лист1!AX20</f>
        <v>196.65408</v>
      </c>
      <c r="N27" s="118">
        <f>Лист1!BB20</f>
        <v>6454.821506943999</v>
      </c>
      <c r="O27" s="49">
        <f>Лист1!BE20</f>
        <v>3101.888493056</v>
      </c>
      <c r="P27" s="49">
        <f>Лист1!BF20</f>
        <v>-1292.1200000000008</v>
      </c>
      <c r="Q27" s="1"/>
      <c r="R27" s="1"/>
    </row>
    <row r="28" spans="1:18" ht="12.75" hidden="1">
      <c r="A28" s="13" t="s">
        <v>50</v>
      </c>
      <c r="B28" s="14">
        <f>Лист1!B21</f>
        <v>1254.2</v>
      </c>
      <c r="C28" s="45">
        <f>Лист1!C21</f>
        <v>10848.830000000002</v>
      </c>
      <c r="D28" s="46">
        <f>Лист1!D21</f>
        <v>1010.7700000000007</v>
      </c>
      <c r="E28" s="15">
        <f>Лист1!S21</f>
        <v>7424.970000000001</v>
      </c>
      <c r="F28" s="17">
        <f>Лист1!T21</f>
        <v>2413.0899999999997</v>
      </c>
      <c r="G28" s="47">
        <f>Лист1!AB21</f>
        <v>5545.58</v>
      </c>
      <c r="H28" s="112">
        <f>Лист1!AC21</f>
        <v>8969.44</v>
      </c>
      <c r="I28" s="48">
        <f>Лист1!AG21</f>
        <v>752.52</v>
      </c>
      <c r="J28" s="15">
        <f>Лист1!AH21+Лист1!AI21</f>
        <v>1300.8825782000001</v>
      </c>
      <c r="K28" s="15">
        <f>Лист1!AG21+Лист1!AJ21+Лист1!AK21+Лист1!AL21+Лист1!AM21+Лист1!AN21+Лист1!AO21+Лист1!AQ21+Лист1!AR21</f>
        <v>4956.112748676</v>
      </c>
      <c r="L28" s="16">
        <f>Лист1!AS21+Лист1!AT21+Лист1!AU21</f>
        <v>0</v>
      </c>
      <c r="M28" s="16">
        <f>Лист1!AX21</f>
        <v>232.33727999999996</v>
      </c>
      <c r="N28" s="118">
        <f>Лист1!BB21</f>
        <v>6489.332606876</v>
      </c>
      <c r="O28" s="49">
        <f>Лист1!BE21</f>
        <v>2480.1073931240007</v>
      </c>
      <c r="P28" s="49">
        <f>Лист1!BF21</f>
        <v>-1879.3900000000012</v>
      </c>
      <c r="Q28" s="1"/>
      <c r="R28" s="1"/>
    </row>
    <row r="29" spans="1:18" ht="12.75" hidden="1">
      <c r="A29" s="13" t="s">
        <v>51</v>
      </c>
      <c r="B29" s="14">
        <f>Лист1!B22</f>
        <v>1254.2</v>
      </c>
      <c r="C29" s="45">
        <f>Лист1!C22</f>
        <v>10848.830000000002</v>
      </c>
      <c r="D29" s="46">
        <f>Лист1!D22</f>
        <v>1000.3600000000021</v>
      </c>
      <c r="E29" s="15">
        <f>Лист1!S22</f>
        <v>7372.27</v>
      </c>
      <c r="F29" s="17">
        <f>Лист1!T22</f>
        <v>2476.2000000000003</v>
      </c>
      <c r="G29" s="47">
        <f>Лист1!AB22</f>
        <v>6996.27</v>
      </c>
      <c r="H29" s="112">
        <f>Лист1!AC22</f>
        <v>10472.830000000002</v>
      </c>
      <c r="I29" s="48">
        <f>Лист1!AG22</f>
        <v>752.52</v>
      </c>
      <c r="J29" s="15">
        <f>Лист1!AH22+Лист1!AI22</f>
        <v>1300.9396443</v>
      </c>
      <c r="K29" s="15">
        <f>Лист1!AG22+Лист1!AJ22+Лист1!AK22+Лист1!AL22+Лист1!AM22+Лист1!AN22+Лист1!AO22+Лист1!AQ22+Лист1!AR22</f>
        <v>4955.281394680799</v>
      </c>
      <c r="L29" s="16">
        <f>Лист1!AS22+Лист1!AT22+Лист1!AU22</f>
        <v>0</v>
      </c>
      <c r="M29" s="16">
        <f>Лист1!AX22</f>
        <v>276.74304</v>
      </c>
      <c r="N29" s="118">
        <f>Лист1!BB22</f>
        <v>6532.9640789808</v>
      </c>
      <c r="O29" s="49">
        <f>Лист1!BE22</f>
        <v>3939.865921019202</v>
      </c>
      <c r="P29" s="49">
        <f>Лист1!BF22</f>
        <v>-376</v>
      </c>
      <c r="Q29" s="1"/>
      <c r="R29" s="1"/>
    </row>
    <row r="30" spans="1:18" ht="12.75" hidden="1">
      <c r="A30" s="13" t="s">
        <v>39</v>
      </c>
      <c r="B30" s="14">
        <f>Лист1!B23</f>
        <v>1254.2</v>
      </c>
      <c r="C30" s="45">
        <f>Лист1!C23</f>
        <v>10848.830000000002</v>
      </c>
      <c r="D30" s="46">
        <f>Лист1!D23</f>
        <v>990.8600000000008</v>
      </c>
      <c r="E30" s="15">
        <f>Лист1!S23</f>
        <v>7401.929999999999</v>
      </c>
      <c r="F30" s="17">
        <f>Лист1!T23</f>
        <v>2456.04</v>
      </c>
      <c r="G30" s="47">
        <f>Лист1!AB23</f>
        <v>9156.470000000001</v>
      </c>
      <c r="H30" s="112">
        <f>Лист1!AC23</f>
        <v>12603.370000000003</v>
      </c>
      <c r="I30" s="48">
        <f>Лист1!AG23</f>
        <v>752.52</v>
      </c>
      <c r="J30" s="15">
        <f>Лист1!AH23+Лист1!AI23</f>
        <v>1313.1473999999998</v>
      </c>
      <c r="K30" s="15">
        <f>Лист1!AG23+Лист1!AJ23+Лист1!AK23+Лист1!AL23+Лист1!AM23+Лист1!AN23+Лист1!AO23+Лист1!AQ23+Лист1!AR23</f>
        <v>4994.048811999999</v>
      </c>
      <c r="L30" s="16">
        <f>Лист1!AS23+Лист1!AT23+Лист1!AU23</f>
        <v>0</v>
      </c>
      <c r="M30" s="16">
        <f>Лист1!AX23</f>
        <v>337.008</v>
      </c>
      <c r="N30" s="118">
        <f>Лист1!BB23</f>
        <v>6644.204212000001</v>
      </c>
      <c r="O30" s="49">
        <f>Лист1!BE23</f>
        <v>5959.165788000002</v>
      </c>
      <c r="P30" s="49">
        <f>Лист1!BF23</f>
        <v>1754.5400000000018</v>
      </c>
      <c r="Q30" s="1"/>
      <c r="R30" s="1"/>
    </row>
    <row r="31" spans="1:18" ht="12.75" hidden="1">
      <c r="A31" s="13" t="s">
        <v>40</v>
      </c>
      <c r="B31" s="14">
        <f>Лист1!B24</f>
        <v>1254.2</v>
      </c>
      <c r="C31" s="45">
        <f>Лист1!C24</f>
        <v>10848.830000000002</v>
      </c>
      <c r="D31" s="46">
        <f>Лист1!D24</f>
        <v>990.8600000000008</v>
      </c>
      <c r="E31" s="15">
        <f>Лист1!S24</f>
        <v>7401.929999999999</v>
      </c>
      <c r="F31" s="17">
        <f>Лист1!T24</f>
        <v>2456.04</v>
      </c>
      <c r="G31" s="47">
        <f>Лист1!AB24</f>
        <v>6562.74</v>
      </c>
      <c r="H31" s="112">
        <f>Лист1!AC24</f>
        <v>10009.64</v>
      </c>
      <c r="I31" s="48">
        <f>Лист1!AG24</f>
        <v>752.52</v>
      </c>
      <c r="J31" s="15">
        <f>Лист1!AH24+Лист1!AI24</f>
        <v>1316.9099999999999</v>
      </c>
      <c r="K31" s="15">
        <f>Лист1!AG24+Лист1!AJ24+Лист1!AK24+Лист1!AL24+Лист1!AM24+Лист1!AN24+Лист1!AO24+Лист1!AQ24+Лист1!AR24</f>
        <v>4999.49204</v>
      </c>
      <c r="L31" s="16">
        <f>Лист1!AS24+Лист1!AT24+Лист1!AU24</f>
        <v>2272.68</v>
      </c>
      <c r="M31" s="16">
        <f>Лист1!AX24</f>
        <v>372.69120000000004</v>
      </c>
      <c r="N31" s="118">
        <f>Лист1!BB24</f>
        <v>8961.77324</v>
      </c>
      <c r="O31" s="49">
        <f>Лист1!BE24</f>
        <v>1047.866759999999</v>
      </c>
      <c r="P31" s="49">
        <f>Лист1!BF24</f>
        <v>-839.1899999999996</v>
      </c>
      <c r="Q31" s="1"/>
      <c r="R31" s="1"/>
    </row>
    <row r="32" spans="1:18" ht="13.5" hidden="1" thickBot="1">
      <c r="A32" s="50" t="s">
        <v>41</v>
      </c>
      <c r="B32" s="14">
        <f>Лист1!B25</f>
        <v>1254.2</v>
      </c>
      <c r="C32" s="45">
        <f>Лист1!C25</f>
        <v>10848.830000000002</v>
      </c>
      <c r="D32" s="46">
        <f>Лист1!D25</f>
        <v>1011.5100000000019</v>
      </c>
      <c r="E32" s="15">
        <f>Лист1!S25</f>
        <v>7456.01</v>
      </c>
      <c r="F32" s="17">
        <f>Лист1!T25</f>
        <v>2381.3099999999995</v>
      </c>
      <c r="G32" s="47">
        <f>Лист1!AB25</f>
        <v>7467.6</v>
      </c>
      <c r="H32" s="112">
        <f>Лист1!AC25</f>
        <v>10860.420000000002</v>
      </c>
      <c r="I32" s="48">
        <f>Лист1!AG25</f>
        <v>752.52</v>
      </c>
      <c r="J32" s="15">
        <f>Лист1!AH25+Лист1!AI25</f>
        <v>1316.9099999999999</v>
      </c>
      <c r="K32" s="15">
        <f>Лист1!AG25+Лист1!AJ25+Лист1!AK25+Лист1!AL25+Лист1!AM25+Лист1!AN25+Лист1!AO25+Лист1!AQ25+Лист1!AR25</f>
        <v>4999.49204</v>
      </c>
      <c r="L32" s="16">
        <f>Лист1!AS25+Лист1!AT25+Лист1!AU25</f>
        <v>12018.3</v>
      </c>
      <c r="M32" s="16">
        <f>Лист1!AX25</f>
        <v>407.58144</v>
      </c>
      <c r="N32" s="118">
        <f>Лист1!BB25</f>
        <v>18742.283480000002</v>
      </c>
      <c r="O32" s="49">
        <f>Лист1!BE25</f>
        <v>-7881.86348</v>
      </c>
      <c r="P32" s="49">
        <f>Лист1!BF25</f>
        <v>11.590000000000146</v>
      </c>
      <c r="Q32" s="1"/>
      <c r="R32" s="1"/>
    </row>
    <row r="33" spans="1:18" s="23" customFormat="1" ht="13.5" hidden="1" thickBot="1">
      <c r="A33" s="52" t="s">
        <v>3</v>
      </c>
      <c r="B33" s="53"/>
      <c r="C33" s="54">
        <f aca="true" t="shared" si="1" ref="C33:P33">SUM(C21:C32)</f>
        <v>130185.96000000002</v>
      </c>
      <c r="D33" s="55">
        <f t="shared" si="1"/>
        <v>13371.78500000001</v>
      </c>
      <c r="E33" s="54">
        <f t="shared" si="1"/>
        <v>85855.84999999999</v>
      </c>
      <c r="F33" s="56">
        <f t="shared" si="1"/>
        <v>28559.480000000003</v>
      </c>
      <c r="G33" s="57">
        <f t="shared" si="1"/>
        <v>80057.82</v>
      </c>
      <c r="H33" s="106">
        <f t="shared" si="1"/>
        <v>121989.08500000002</v>
      </c>
      <c r="I33" s="55">
        <f t="shared" si="1"/>
        <v>8729.232000000002</v>
      </c>
      <c r="J33" s="54">
        <f t="shared" si="1"/>
        <v>15126.2835569</v>
      </c>
      <c r="K33" s="54">
        <f t="shared" si="1"/>
        <v>59390.485714000795</v>
      </c>
      <c r="L33" s="54">
        <f t="shared" si="1"/>
        <v>29052.789999999997</v>
      </c>
      <c r="M33" s="54">
        <f t="shared" si="1"/>
        <v>3489.0231999999996</v>
      </c>
      <c r="N33" s="117">
        <f t="shared" si="1"/>
        <v>107058.58247090079</v>
      </c>
      <c r="O33" s="58">
        <f t="shared" si="1"/>
        <v>14930.502529099205</v>
      </c>
      <c r="P33" s="58">
        <f t="shared" si="1"/>
        <v>-5798.030000000002</v>
      </c>
      <c r="Q33" s="60"/>
      <c r="R33" s="60"/>
    </row>
    <row r="34" spans="1:18" ht="13.5" thickBot="1">
      <c r="A34" s="108" t="s">
        <v>95</v>
      </c>
      <c r="B34" s="109"/>
      <c r="C34" s="109"/>
      <c r="D34" s="109"/>
      <c r="E34" s="109"/>
      <c r="F34" s="109"/>
      <c r="G34" s="109"/>
      <c r="H34" s="111"/>
      <c r="I34" s="109"/>
      <c r="J34" s="109"/>
      <c r="K34" s="109"/>
      <c r="L34" s="109"/>
      <c r="M34" s="109"/>
      <c r="N34" s="111"/>
      <c r="O34" s="110"/>
      <c r="P34" s="67"/>
      <c r="Q34" s="1"/>
      <c r="R34" s="1"/>
    </row>
    <row r="35" spans="1:18" s="23" customFormat="1" ht="13.5" thickBot="1">
      <c r="A35" s="68" t="s">
        <v>52</v>
      </c>
      <c r="B35" s="69"/>
      <c r="C35" s="70">
        <f>C19+C33</f>
        <v>162732.45</v>
      </c>
      <c r="D35" s="71">
        <f aca="true" t="shared" si="2" ref="D35:P35">D19+D33</f>
        <v>21205.83363130001</v>
      </c>
      <c r="E35" s="69">
        <f t="shared" si="2"/>
        <v>106017.88999999998</v>
      </c>
      <c r="F35" s="70">
        <f t="shared" si="2"/>
        <v>36261.19</v>
      </c>
      <c r="G35" s="71">
        <f t="shared" si="2"/>
        <v>91687.3</v>
      </c>
      <c r="H35" s="107">
        <f t="shared" si="2"/>
        <v>149154.3236313</v>
      </c>
      <c r="I35" s="71">
        <f t="shared" si="2"/>
        <v>10986.792000000001</v>
      </c>
      <c r="J35" s="69">
        <f t="shared" si="2"/>
        <v>19102.8751609</v>
      </c>
      <c r="K35" s="69">
        <f t="shared" si="2"/>
        <v>74695.6219239268</v>
      </c>
      <c r="L35" s="69">
        <f t="shared" si="2"/>
        <v>38567.1772</v>
      </c>
      <c r="M35" s="69">
        <f t="shared" si="2"/>
        <v>3489.0231999999996</v>
      </c>
      <c r="N35" s="124">
        <f t="shared" si="2"/>
        <v>135854.6974848268</v>
      </c>
      <c r="O35" s="72">
        <f t="shared" si="2"/>
        <v>13299.626146473209</v>
      </c>
      <c r="P35" s="72">
        <f t="shared" si="2"/>
        <v>-14330.59</v>
      </c>
      <c r="Q35" s="73"/>
      <c r="R35" s="60"/>
    </row>
    <row r="36" spans="1:18" ht="12.75">
      <c r="A36" s="8" t="s">
        <v>91</v>
      </c>
      <c r="B36" s="80"/>
      <c r="C36" s="61"/>
      <c r="D36" s="62"/>
      <c r="E36" s="63"/>
      <c r="F36" s="64"/>
      <c r="G36" s="65"/>
      <c r="H36" s="114"/>
      <c r="I36" s="66"/>
      <c r="J36" s="63"/>
      <c r="K36" s="63"/>
      <c r="L36" s="81"/>
      <c r="M36" s="81"/>
      <c r="N36" s="119"/>
      <c r="O36" s="82"/>
      <c r="P36" s="82"/>
      <c r="Q36" s="1"/>
      <c r="R36" s="1"/>
    </row>
    <row r="37" spans="1:18" ht="12.75">
      <c r="A37" s="13" t="s">
        <v>43</v>
      </c>
      <c r="B37" s="14">
        <f>Лист1!B30</f>
        <v>1254.2</v>
      </c>
      <c r="C37" s="45">
        <f>Лист1!C30</f>
        <v>10848.830000000002</v>
      </c>
      <c r="D37" s="46">
        <f>Лист1!D30</f>
        <v>1010.4100000000008</v>
      </c>
      <c r="E37" s="15">
        <f>Лист1!S30</f>
        <v>7468.180000000001</v>
      </c>
      <c r="F37" s="17">
        <f>Лист1!T30</f>
        <v>2370.24</v>
      </c>
      <c r="G37" s="47">
        <f>Лист1!AB30</f>
        <v>3916.6299999999997</v>
      </c>
      <c r="H37" s="112">
        <f>Лист1!AC30</f>
        <v>7297.280000000001</v>
      </c>
      <c r="I37" s="48">
        <f>Лист1!AG30</f>
        <v>752.52</v>
      </c>
      <c r="J37" s="15">
        <f>Лист1!AH30+Лист1!AI30</f>
        <v>1505.04</v>
      </c>
      <c r="K37" s="15">
        <f>Лист1!AG30+Лист1!AJ30+Лист1!AK30+Лист1!AL30+Лист1!AM30+Лист1!AN30+Лист1!AO30+Лист1!AQ30+Лист1!AR30</f>
        <v>4803.586</v>
      </c>
      <c r="L37" s="16">
        <f>Лист1!AS30+Лист1!AT30+Лист1!AU30</f>
        <v>2157</v>
      </c>
      <c r="M37" s="16">
        <f>Лист1!AX30</f>
        <v>426.71999999999997</v>
      </c>
      <c r="N37" s="118">
        <f>Лист1!BB30</f>
        <v>8892.346</v>
      </c>
      <c r="O37" s="49">
        <f>Лист1!BE30</f>
        <v>-1595.065999999999</v>
      </c>
      <c r="P37" s="49">
        <f>Лист1!BF30</f>
        <v>-3551.5500000000015</v>
      </c>
      <c r="Q37" s="1"/>
      <c r="R37" s="1"/>
    </row>
    <row r="38" spans="1:18" ht="12.75">
      <c r="A38" s="13" t="s">
        <v>44</v>
      </c>
      <c r="B38" s="14">
        <f>Лист1!B31</f>
        <v>1254.2</v>
      </c>
      <c r="C38" s="45">
        <f>Лист1!C31</f>
        <v>10848.830000000002</v>
      </c>
      <c r="D38" s="46">
        <f>Лист1!D31</f>
        <v>1010.4100000000008</v>
      </c>
      <c r="E38" s="15">
        <f>Лист1!S31</f>
        <v>7468.180000000001</v>
      </c>
      <c r="F38" s="17">
        <f>Лист1!T31</f>
        <v>2370.24</v>
      </c>
      <c r="G38" s="47">
        <f>Лист1!AB31</f>
        <v>6824.64</v>
      </c>
      <c r="H38" s="112">
        <f>Лист1!AC31</f>
        <v>10205.29</v>
      </c>
      <c r="I38" s="48">
        <f>Лист1!AG31</f>
        <v>752.52</v>
      </c>
      <c r="J38" s="15">
        <f>Лист1!AH31+Лист1!AI31</f>
        <v>1505.04</v>
      </c>
      <c r="K38" s="15">
        <f>Лист1!AG31+Лист1!AJ31+Лист1!AK31+Лист1!AL31+Лист1!AM31+Лист1!AN31+Лист1!AO31+Лист1!AQ31+Лист1!AR31</f>
        <v>6526.186000000001</v>
      </c>
      <c r="L38" s="16">
        <f>Лист1!AS31+Лист1!AT31+Лист1!AU31</f>
        <v>271</v>
      </c>
      <c r="M38" s="16">
        <f>Лист1!AX31</f>
        <v>341.87999999999994</v>
      </c>
      <c r="N38" s="118">
        <f>Лист1!BB31</f>
        <v>8644.106</v>
      </c>
      <c r="O38" s="49">
        <f>Лист1!BE31</f>
        <v>1561.184000000001</v>
      </c>
      <c r="P38" s="49">
        <f>Лист1!BF31</f>
        <v>-643.5400000000009</v>
      </c>
      <c r="Q38" s="1"/>
      <c r="R38" s="1"/>
    </row>
    <row r="39" spans="1:18" ht="12.75">
      <c r="A39" s="13" t="s">
        <v>45</v>
      </c>
      <c r="B39" s="14">
        <f>Лист1!B32</f>
        <v>1254.2</v>
      </c>
      <c r="C39" s="45">
        <f>Лист1!C32</f>
        <v>10848.830000000002</v>
      </c>
      <c r="D39" s="46">
        <f>Лист1!D32</f>
        <v>1010.4100000000034</v>
      </c>
      <c r="E39" s="15">
        <f>Лист1!S32</f>
        <v>7500.259999999999</v>
      </c>
      <c r="F39" s="17">
        <f>Лист1!T32</f>
        <v>2338.16</v>
      </c>
      <c r="G39" s="47">
        <f>Лист1!AB32</f>
        <v>8463.76</v>
      </c>
      <c r="H39" s="112">
        <f>Лист1!AC32</f>
        <v>11812.330000000004</v>
      </c>
      <c r="I39" s="48">
        <f>Лист1!AG32</f>
        <v>752.52</v>
      </c>
      <c r="J39" s="15">
        <f>Лист1!AH32+Лист1!AI32</f>
        <v>1505.04</v>
      </c>
      <c r="K39" s="15">
        <f>Лист1!AG32+Лист1!AJ32+Лист1!AK32+Лист1!AL32+Лист1!AM32+Лист1!AN32+Лист1!AO32+Лист1!AQ32+Лист1!AR32</f>
        <v>4803.586</v>
      </c>
      <c r="L39" s="16">
        <f>Лист1!AS32+Лист1!AT32+Лист1!AU32</f>
        <v>3377</v>
      </c>
      <c r="M39" s="16">
        <f>Лист1!AX32</f>
        <v>321.71999999999997</v>
      </c>
      <c r="N39" s="118">
        <f>Лист1!BB32</f>
        <v>10007.346</v>
      </c>
      <c r="O39" s="49">
        <f>Лист1!BE32</f>
        <v>1804.984000000004</v>
      </c>
      <c r="P39" s="49">
        <f>Лист1!BF32</f>
        <v>963.5000000000009</v>
      </c>
      <c r="Q39" s="1"/>
      <c r="R39" s="1"/>
    </row>
    <row r="40" spans="1:18" ht="12.75">
      <c r="A40" s="13" t="s">
        <v>46</v>
      </c>
      <c r="B40" s="14">
        <f>Лист1!B33</f>
        <v>1254.2</v>
      </c>
      <c r="C40" s="45">
        <f>Лист1!C33</f>
        <v>10848.830000000002</v>
      </c>
      <c r="D40" s="46">
        <f>Лист1!D33</f>
        <v>1002.6500000000037</v>
      </c>
      <c r="E40" s="15">
        <f>Лист1!S33</f>
        <v>7698.63</v>
      </c>
      <c r="F40" s="17">
        <f>Лист1!T33</f>
        <v>2147.55</v>
      </c>
      <c r="G40" s="47">
        <f>Лист1!AB33</f>
        <v>5674.4</v>
      </c>
      <c r="H40" s="112">
        <f>Лист1!AC33</f>
        <v>8824.600000000004</v>
      </c>
      <c r="I40" s="48">
        <f>Лист1!AG33</f>
        <v>752.52</v>
      </c>
      <c r="J40" s="15">
        <f>Лист1!AH33+Лист1!AI33</f>
        <v>1505.04</v>
      </c>
      <c r="K40" s="15">
        <f>Лист1!AG33+Лист1!AJ33+Лист1!AK33+Лист1!AL33+Лист1!AM33+Лист1!AN33+Лист1!AO33+Лист1!AQ33+Лист1!AR33</f>
        <v>4803.586</v>
      </c>
      <c r="L40" s="16">
        <f>Лист1!AS33+Лист1!AT33+Лист1!AU33</f>
        <v>2547</v>
      </c>
      <c r="M40" s="16">
        <f>Лист1!AX33</f>
        <v>257.88</v>
      </c>
      <c r="N40" s="118">
        <f>Лист1!BB33</f>
        <v>9113.506</v>
      </c>
      <c r="O40" s="49">
        <f>Лист1!BE33</f>
        <v>-288.9059999999954</v>
      </c>
      <c r="P40" s="49">
        <f>Лист1!BF33</f>
        <v>-2024.2300000000005</v>
      </c>
      <c r="Q40" s="1"/>
      <c r="R40" s="1"/>
    </row>
    <row r="41" spans="1:18" ht="12.75">
      <c r="A41" s="13" t="s">
        <v>47</v>
      </c>
      <c r="B41" s="14">
        <f>Лист1!B34</f>
        <v>1257.3</v>
      </c>
      <c r="C41" s="45">
        <f>Лист1!C34</f>
        <v>10875.645</v>
      </c>
      <c r="D41" s="46">
        <f>Лист1!D34</f>
        <v>1003.5350000000026</v>
      </c>
      <c r="E41" s="15">
        <f>Лист1!S34</f>
        <v>7724.5599999999995</v>
      </c>
      <c r="F41" s="17">
        <f>Лист1!T34</f>
        <v>2147.55</v>
      </c>
      <c r="G41" s="47">
        <f>Лист1!AB34</f>
        <v>7051.08</v>
      </c>
      <c r="H41" s="112">
        <f>Лист1!AC34</f>
        <v>10202.165000000003</v>
      </c>
      <c r="I41" s="48">
        <f>Лист1!AG34</f>
        <v>754.38</v>
      </c>
      <c r="J41" s="15">
        <f>Лист1!AH34+Лист1!AI34</f>
        <v>1508.76</v>
      </c>
      <c r="K41" s="15">
        <f>Лист1!AG34+Лист1!AJ34+Лист1!AK34+Лист1!AL34+Лист1!AM34+Лист1!AN34+Лист1!AO34+Лист1!AQ34+Лист1!AR34</f>
        <v>4815.459</v>
      </c>
      <c r="L41" s="16">
        <f>Лист1!AS34+Лист1!AT34+Лист1!AU34</f>
        <v>3143.27</v>
      </c>
      <c r="M41" s="16">
        <f>Лист1!AX34</f>
        <v>220.91999999999996</v>
      </c>
      <c r="N41" s="118">
        <f>Лист1!BB34</f>
        <v>9688.409</v>
      </c>
      <c r="O41" s="49">
        <f>Лист1!BE34</f>
        <v>513.756000000003</v>
      </c>
      <c r="P41" s="49">
        <f>Лист1!BF34</f>
        <v>-673.4799999999996</v>
      </c>
      <c r="Q41" s="1"/>
      <c r="R41" s="1"/>
    </row>
    <row r="42" spans="1:18" ht="12.75">
      <c r="A42" s="13" t="s">
        <v>48</v>
      </c>
      <c r="B42" s="14">
        <f>Лист1!B35</f>
        <v>1257.3</v>
      </c>
      <c r="C42" s="45">
        <f>Лист1!C35</f>
        <v>10875.645</v>
      </c>
      <c r="D42" s="46">
        <f>Лист1!D35</f>
        <v>979.5349999999993</v>
      </c>
      <c r="E42" s="15">
        <f>Лист1!S35</f>
        <v>7858.610000000001</v>
      </c>
      <c r="F42" s="17">
        <f>Лист1!T35</f>
        <v>2037.5</v>
      </c>
      <c r="G42" s="47">
        <f>Лист1!AB35</f>
        <v>7754.590000000001</v>
      </c>
      <c r="H42" s="112">
        <f>Лист1!AC35</f>
        <v>10771.625</v>
      </c>
      <c r="I42" s="48">
        <f>Лист1!AG35</f>
        <v>754.38</v>
      </c>
      <c r="J42" s="15">
        <f>Лист1!AH35+Лист1!AI35</f>
        <v>1508.76</v>
      </c>
      <c r="K42" s="15">
        <f>Лист1!AG35+Лист1!AJ35+Лист1!AK35+Лист1!AL35+Лист1!AM35+Лист1!AN35+Лист1!AO35+Лист1!AQ35+Лист1!AR35</f>
        <v>4815.459</v>
      </c>
      <c r="L42" s="16">
        <f>Лист1!AS35+Лист1!AT35+Лист1!AU35</f>
        <v>2276</v>
      </c>
      <c r="M42" s="16">
        <f>Лист1!AX35</f>
        <v>195.71999999999997</v>
      </c>
      <c r="N42" s="118">
        <f>Лист1!BB35</f>
        <v>8795.938999999998</v>
      </c>
      <c r="O42" s="49">
        <f>Лист1!BE35</f>
        <v>1975.6860000000015</v>
      </c>
      <c r="P42" s="49">
        <f>Лист1!BF35</f>
        <v>-104.01999999999953</v>
      </c>
      <c r="Q42" s="1"/>
      <c r="R42" s="1"/>
    </row>
    <row r="43" spans="1:18" ht="12.75">
      <c r="A43" s="13" t="s">
        <v>49</v>
      </c>
      <c r="B43" s="14">
        <f>Лист1!B36</f>
        <v>1257.3</v>
      </c>
      <c r="C43" s="45">
        <f>Лист1!C36</f>
        <v>10875.645</v>
      </c>
      <c r="D43" s="46">
        <f>Лист1!D36</f>
        <v>967.7849999999996</v>
      </c>
      <c r="E43" s="15">
        <f>Лист1!S36</f>
        <v>9907.86</v>
      </c>
      <c r="F43" s="17">
        <f>Лист1!T36</f>
        <v>0</v>
      </c>
      <c r="G43" s="47">
        <f>Лист1!AB36</f>
        <v>10445.94</v>
      </c>
      <c r="H43" s="112">
        <f>Лист1!AC36</f>
        <v>11413.725</v>
      </c>
      <c r="I43" s="48">
        <f>Лист1!AG36</f>
        <v>754.38</v>
      </c>
      <c r="J43" s="15">
        <f>Лист1!AH36+Лист1!AI36</f>
        <v>1508.76</v>
      </c>
      <c r="K43" s="15">
        <f>Лист1!AG36+Лист1!AJ36+Лист1!AK36+Лист1!AL36+Лист1!AM36+Лист1!AN36+Лист1!AO36+Лист1!AQ36+Лист1!AR36</f>
        <v>4815.459</v>
      </c>
      <c r="L43" s="16">
        <f>Лист1!AS36+Лист1!AT36+Лист1!AU36</f>
        <v>127.0034</v>
      </c>
      <c r="M43" s="16">
        <f>Лист1!AX36</f>
        <v>208.31999999999996</v>
      </c>
      <c r="N43" s="118">
        <f>Лист1!BB36</f>
        <v>6659.542399999999</v>
      </c>
      <c r="O43" s="49">
        <f>Лист1!BE36</f>
        <v>4754.182600000001</v>
      </c>
      <c r="P43" s="49">
        <f>Лист1!BF36</f>
        <v>538.0799999999999</v>
      </c>
      <c r="Q43" s="1"/>
      <c r="R43" s="1"/>
    </row>
    <row r="44" spans="1:18" ht="12.75">
      <c r="A44" s="13" t="s">
        <v>50</v>
      </c>
      <c r="B44" s="14">
        <f>Лист1!B37</f>
        <v>1257.3</v>
      </c>
      <c r="C44" s="45">
        <f>Лист1!C37</f>
        <v>10875.645</v>
      </c>
      <c r="D44" s="46">
        <f>Лист1!D37</f>
        <v>967.7849999999996</v>
      </c>
      <c r="E44" s="15">
        <f>Лист1!S37</f>
        <v>9907.86</v>
      </c>
      <c r="F44" s="17">
        <f>Лист1!T37</f>
        <v>0</v>
      </c>
      <c r="G44" s="47">
        <f>Лист1!AB37</f>
        <v>10554.07</v>
      </c>
      <c r="H44" s="112">
        <f>Лист1!AC37</f>
        <v>11521.855</v>
      </c>
      <c r="I44" s="48">
        <f>Лист1!AG37</f>
        <v>754.38</v>
      </c>
      <c r="J44" s="15">
        <f>Лист1!AH37+Лист1!AI37</f>
        <v>1508.76</v>
      </c>
      <c r="K44" s="15">
        <f>Лист1!AG37+Лист1!AJ37+Лист1!AK37+Лист1!AL37+Лист1!AM37+Лист1!AN37+Лист1!AO37+Лист1!AQ37+Лист1!AR37</f>
        <v>4815.459</v>
      </c>
      <c r="L44" s="16">
        <f>Лист1!AS37+Лист1!AT37+Лист1!AU37</f>
        <v>3266.8</v>
      </c>
      <c r="M44" s="16">
        <f>Лист1!AX37</f>
        <v>246.11999999999995</v>
      </c>
      <c r="N44" s="118">
        <f>Лист1!BB37</f>
        <v>9837.139</v>
      </c>
      <c r="O44" s="49">
        <f>Лист1!BE37</f>
        <v>1684.7160000000003</v>
      </c>
      <c r="P44" s="49">
        <f>Лист1!BF37</f>
        <v>646.2099999999991</v>
      </c>
      <c r="Q44" s="1"/>
      <c r="R44" s="1"/>
    </row>
    <row r="45" spans="1:18" ht="12.75">
      <c r="A45" s="13" t="s">
        <v>51</v>
      </c>
      <c r="B45" s="14">
        <f>Лист1!B38</f>
        <v>1257.3</v>
      </c>
      <c r="C45" s="45">
        <f>Лист1!C38</f>
        <v>10875.645</v>
      </c>
      <c r="D45" s="46">
        <f>Лист1!D38</f>
        <v>100967.785</v>
      </c>
      <c r="E45" s="15">
        <f>Лист1!S38</f>
        <v>9907.86</v>
      </c>
      <c r="F45" s="17">
        <f>Лист1!T38</f>
        <v>0</v>
      </c>
      <c r="G45" s="47">
        <f>Лист1!AB38</f>
        <v>7943.550000000001</v>
      </c>
      <c r="H45" s="112">
        <f>Лист1!AC38</f>
        <v>108911.335</v>
      </c>
      <c r="I45" s="48">
        <f>Лист1!AG38</f>
        <v>754.38</v>
      </c>
      <c r="J45" s="15">
        <f>Лист1!AH38+Лист1!AI38</f>
        <v>1508.76</v>
      </c>
      <c r="K45" s="15">
        <f>Лист1!AG38+Лист1!AJ38+Лист1!AK38+Лист1!AL38+Лист1!AM38+Лист1!AN38+Лист1!AO38+Лист1!AQ38+Лист1!AR38</f>
        <v>4815.459</v>
      </c>
      <c r="L45" s="16">
        <f>Лист1!AS38+Лист1!AT38+Лист1!AU38</f>
        <v>336343.55</v>
      </c>
      <c r="M45" s="16">
        <f>Лист1!AX38</f>
        <v>293.15999999999997</v>
      </c>
      <c r="N45" s="118">
        <f>Лист1!BB38</f>
        <v>342960.92899999995</v>
      </c>
      <c r="O45" s="49">
        <f>Лист1!BE38</f>
        <v>-234049.59399999992</v>
      </c>
      <c r="P45" s="49">
        <f>Лист1!BF38</f>
        <v>-1964.3099999999995</v>
      </c>
      <c r="Q45" s="1"/>
      <c r="R45" s="1"/>
    </row>
    <row r="46" spans="1:18" ht="12.75">
      <c r="A46" s="13" t="s">
        <v>39</v>
      </c>
      <c r="B46" s="14">
        <f>Лист1!B39</f>
        <v>1257.3</v>
      </c>
      <c r="C46" s="45">
        <f>Лист1!C39</f>
        <v>10875.645</v>
      </c>
      <c r="D46" s="46">
        <f>Лист1!D39</f>
        <v>967.7849999999996</v>
      </c>
      <c r="E46" s="15">
        <f>Лист1!S39</f>
        <v>9907.86</v>
      </c>
      <c r="F46" s="17">
        <f>Лист1!T39</f>
        <v>0</v>
      </c>
      <c r="G46" s="47">
        <f>Лист1!AB39</f>
        <v>12304.64</v>
      </c>
      <c r="H46" s="112">
        <f>Лист1!AC39</f>
        <v>13272.425</v>
      </c>
      <c r="I46" s="48">
        <f>Лист1!AG39</f>
        <v>754.38</v>
      </c>
      <c r="J46" s="15">
        <f>Лист1!AH39+Лист1!AI39</f>
        <v>1508.76</v>
      </c>
      <c r="K46" s="15">
        <f>Лист1!AG39+Лист1!AJ39+Лист1!AK39+Лист1!AL39+Лист1!AM39+Лист1!AN39+Лист1!AO39+Лист1!AQ39+Лист1!AR39</f>
        <v>4815.459</v>
      </c>
      <c r="L46" s="16">
        <f>Лист1!AS39+Лист1!AT39+Лист1!AU39</f>
        <v>3828</v>
      </c>
      <c r="M46" s="16">
        <f>Лист1!AX39</f>
        <v>357</v>
      </c>
      <c r="N46" s="118">
        <f>Лист1!BB39</f>
        <v>10509.219</v>
      </c>
      <c r="O46" s="49">
        <f>Лист1!BE39</f>
        <v>2838.206</v>
      </c>
      <c r="P46" s="49">
        <f>Лист1!BF39</f>
        <v>2396.779999999999</v>
      </c>
      <c r="Q46" s="1"/>
      <c r="R46" s="1"/>
    </row>
    <row r="47" spans="1:18" ht="12.75">
      <c r="A47" s="13" t="s">
        <v>40</v>
      </c>
      <c r="B47" s="14">
        <f>Лист1!B40</f>
        <v>1257.3</v>
      </c>
      <c r="C47" s="45">
        <f>Лист1!C40</f>
        <v>10875.645</v>
      </c>
      <c r="D47" s="46">
        <f>Лист1!D40</f>
        <v>967.7849999999996</v>
      </c>
      <c r="E47" s="15">
        <f>Лист1!S40</f>
        <v>9907.86</v>
      </c>
      <c r="F47" s="17">
        <f>Лист1!T40</f>
        <v>0</v>
      </c>
      <c r="G47" s="47">
        <f>Лист1!AB40</f>
        <v>6675.09</v>
      </c>
      <c r="H47" s="112">
        <f>Лист1!AC40</f>
        <v>7642.875</v>
      </c>
      <c r="I47" s="48">
        <f>Лист1!AG40</f>
        <v>754.38</v>
      </c>
      <c r="J47" s="15">
        <f>Лист1!AH40+Лист1!AI40</f>
        <v>1508.76</v>
      </c>
      <c r="K47" s="15">
        <f>Лист1!AG40+Лист1!AJ40+Лист1!AK40+Лист1!AL40+Лист1!AM40+Лист1!AN40+Лист1!AO40+Лист1!AQ40+Лист1!AR40</f>
        <v>4815.459</v>
      </c>
      <c r="L47" s="16">
        <f>Лист1!AS40+Лист1!AT40+Лист1!AU40</f>
        <v>303</v>
      </c>
      <c r="M47" s="16">
        <f>Лист1!AX40</f>
        <v>394.79999999999995</v>
      </c>
      <c r="N47" s="118">
        <f>Лист1!BB40</f>
        <v>7022.018999999999</v>
      </c>
      <c r="O47" s="49">
        <f>Лист1!BE40</f>
        <v>695.8560000000007</v>
      </c>
      <c r="P47" s="49">
        <f>Лист1!BF40</f>
        <v>-3232.7700000000004</v>
      </c>
      <c r="Q47" s="1"/>
      <c r="R47" s="1"/>
    </row>
    <row r="48" spans="1:18" ht="13.5" thickBot="1">
      <c r="A48" s="50" t="s">
        <v>41</v>
      </c>
      <c r="B48" s="14">
        <f>Лист1!B41</f>
        <v>1257.3</v>
      </c>
      <c r="C48" s="45">
        <f>Лист1!C41</f>
        <v>10875.645</v>
      </c>
      <c r="D48" s="46">
        <f>Лист1!D41</f>
        <v>926.6450000000003</v>
      </c>
      <c r="E48" s="15">
        <f>Лист1!S41</f>
        <v>9949</v>
      </c>
      <c r="F48" s="17">
        <f>Лист1!T41</f>
        <v>0</v>
      </c>
      <c r="G48" s="47">
        <f>Лист1!AB41</f>
        <v>11332.820000000002</v>
      </c>
      <c r="H48" s="112">
        <f>Лист1!AC41</f>
        <v>12259.465000000002</v>
      </c>
      <c r="I48" s="48">
        <f>Лист1!AG41</f>
        <v>754.38</v>
      </c>
      <c r="J48" s="15">
        <f>Лист1!AH41+Лист1!AI41</f>
        <v>1508.76</v>
      </c>
      <c r="K48" s="15">
        <f>Лист1!AG41+Лист1!AJ41+Лист1!AK41+Лист1!AL41+Лист1!AM41+Лист1!AN41+Лист1!AO41+Лист1!AQ41+Лист1!AR41</f>
        <v>4815.459</v>
      </c>
      <c r="L48" s="16">
        <f>Лист1!AS41+Лист1!AT41+Лист1!AU41</f>
        <v>45574.703400000006</v>
      </c>
      <c r="M48" s="16">
        <f>Лист1!AX41</f>
        <v>431.75999999999993</v>
      </c>
      <c r="N48" s="118">
        <f>Лист1!BB41</f>
        <v>52330.682400000005</v>
      </c>
      <c r="O48" s="49">
        <f>Лист1!BE41</f>
        <v>-39996.2174</v>
      </c>
      <c r="P48" s="49">
        <f>Лист1!BF41</f>
        <v>1383.8200000000015</v>
      </c>
      <c r="Q48" s="1"/>
      <c r="R48" s="1"/>
    </row>
    <row r="49" spans="1:18" s="23" customFormat="1" ht="13.5" thickBot="1">
      <c r="A49" s="52" t="s">
        <v>3</v>
      </c>
      <c r="B49" s="53"/>
      <c r="C49" s="54">
        <f aca="true" t="shared" si="3" ref="C49:P49">SUM(C37:C48)</f>
        <v>130400.48000000004</v>
      </c>
      <c r="D49" s="55">
        <f t="shared" si="3"/>
        <v>111782.52000000002</v>
      </c>
      <c r="E49" s="54">
        <f t="shared" si="3"/>
        <v>105206.72</v>
      </c>
      <c r="F49" s="56">
        <f t="shared" si="3"/>
        <v>13411.239999999998</v>
      </c>
      <c r="G49" s="57">
        <f t="shared" si="3"/>
        <v>98941.21</v>
      </c>
      <c r="H49" s="106">
        <f t="shared" si="3"/>
        <v>224134.97</v>
      </c>
      <c r="I49" s="55">
        <f t="shared" si="3"/>
        <v>9045.119999999999</v>
      </c>
      <c r="J49" s="54">
        <f t="shared" si="3"/>
        <v>18090.239999999998</v>
      </c>
      <c r="K49" s="54">
        <f t="shared" si="3"/>
        <v>59460.61600000001</v>
      </c>
      <c r="L49" s="54">
        <f t="shared" si="3"/>
        <v>403214.3268</v>
      </c>
      <c r="M49" s="54">
        <f t="shared" si="3"/>
        <v>3695.9999999999995</v>
      </c>
      <c r="N49" s="117">
        <f t="shared" si="3"/>
        <v>484461.1827999999</v>
      </c>
      <c r="O49" s="58">
        <f t="shared" si="3"/>
        <v>-260101.2127999999</v>
      </c>
      <c r="P49" s="58">
        <f t="shared" si="3"/>
        <v>-6265.510000000001</v>
      </c>
      <c r="Q49" s="60"/>
      <c r="R49" s="60"/>
    </row>
    <row r="50" spans="1:18" ht="13.5" thickBot="1">
      <c r="A50" s="108" t="s">
        <v>66</v>
      </c>
      <c r="B50" s="109"/>
      <c r="C50" s="109"/>
      <c r="D50" s="109"/>
      <c r="E50" s="109"/>
      <c r="F50" s="109"/>
      <c r="G50" s="109"/>
      <c r="H50" s="111"/>
      <c r="I50" s="109"/>
      <c r="J50" s="109"/>
      <c r="K50" s="109"/>
      <c r="L50" s="109"/>
      <c r="M50" s="109"/>
      <c r="N50" s="111"/>
      <c r="O50" s="110"/>
      <c r="P50" s="67"/>
      <c r="Q50" s="1"/>
      <c r="R50" s="1"/>
    </row>
    <row r="51" spans="1:18" s="23" customFormat="1" ht="13.5" thickBot="1">
      <c r="A51" s="68" t="s">
        <v>52</v>
      </c>
      <c r="B51" s="69"/>
      <c r="C51" s="70">
        <f>C35+C49</f>
        <v>293132.93000000005</v>
      </c>
      <c r="D51" s="71">
        <f aca="true" t="shared" si="4" ref="D51:P51">D35+D49</f>
        <v>132988.35363130004</v>
      </c>
      <c r="E51" s="69">
        <f t="shared" si="4"/>
        <v>211224.61</v>
      </c>
      <c r="F51" s="70">
        <f t="shared" si="4"/>
        <v>49672.43</v>
      </c>
      <c r="G51" s="71">
        <f t="shared" si="4"/>
        <v>190628.51</v>
      </c>
      <c r="H51" s="107">
        <f t="shared" si="4"/>
        <v>373289.2936313</v>
      </c>
      <c r="I51" s="71">
        <f t="shared" si="4"/>
        <v>20031.912</v>
      </c>
      <c r="J51" s="69">
        <f t="shared" si="4"/>
        <v>37193.11516089999</v>
      </c>
      <c r="K51" s="69">
        <f t="shared" si="4"/>
        <v>134156.2379239268</v>
      </c>
      <c r="L51" s="69">
        <f t="shared" si="4"/>
        <v>441781.50399999996</v>
      </c>
      <c r="M51" s="69">
        <f t="shared" si="4"/>
        <v>7185.0232</v>
      </c>
      <c r="N51" s="124">
        <f t="shared" si="4"/>
        <v>620315.8802848267</v>
      </c>
      <c r="O51" s="72">
        <f t="shared" si="4"/>
        <v>-246801.5866535267</v>
      </c>
      <c r="P51" s="72">
        <f t="shared" si="4"/>
        <v>-20596.100000000002</v>
      </c>
      <c r="Q51" s="73"/>
      <c r="R51" s="60"/>
    </row>
    <row r="53" spans="1:18" ht="12.75">
      <c r="A53" s="23" t="s">
        <v>67</v>
      </c>
      <c r="D53" s="2" t="s">
        <v>92</v>
      </c>
      <c r="Q53" s="1"/>
      <c r="R53" s="1"/>
    </row>
    <row r="54" spans="1:18" ht="12.75">
      <c r="A54" s="25" t="s">
        <v>68</v>
      </c>
      <c r="B54" s="25" t="s">
        <v>69</v>
      </c>
      <c r="C54" s="398" t="s">
        <v>70</v>
      </c>
      <c r="D54" s="398"/>
      <c r="Q54" s="1"/>
      <c r="R54" s="1"/>
    </row>
    <row r="55" spans="1:18" ht="12.75">
      <c r="A55" s="86">
        <v>76617.94</v>
      </c>
      <c r="B55" s="88">
        <v>86391.6</v>
      </c>
      <c r="C55" s="399">
        <f>A55-B55</f>
        <v>-9773.660000000003</v>
      </c>
      <c r="D55" s="400"/>
      <c r="Q55" s="1"/>
      <c r="R55" s="1"/>
    </row>
    <row r="56" spans="1:18" ht="12.75">
      <c r="A56" s="74"/>
      <c r="Q56" s="1"/>
      <c r="R56" s="1"/>
    </row>
    <row r="57" spans="1:18" ht="12.75">
      <c r="A57" s="74"/>
      <c r="Q57" s="1"/>
      <c r="R57" s="1"/>
    </row>
    <row r="58" spans="1:18" ht="12.75">
      <c r="A58" s="2" t="s">
        <v>71</v>
      </c>
      <c r="G58" s="2" t="s">
        <v>72</v>
      </c>
      <c r="Q58" s="1"/>
      <c r="R58" s="1"/>
    </row>
    <row r="59" ht="12.75">
      <c r="A59" s="1"/>
    </row>
    <row r="60" ht="12.75">
      <c r="A60" s="1"/>
    </row>
    <row r="61" ht="12.75">
      <c r="A61" s="1" t="s">
        <v>94</v>
      </c>
    </row>
    <row r="62" ht="12.75">
      <c r="A62" s="2" t="s">
        <v>73</v>
      </c>
    </row>
  </sheetData>
  <sheetProtection/>
  <mergeCells count="21">
    <mergeCell ref="I10:N11"/>
    <mergeCell ref="E10:F11"/>
    <mergeCell ref="P10:P13"/>
    <mergeCell ref="E12:F12"/>
    <mergeCell ref="H12:H13"/>
    <mergeCell ref="I12:I13"/>
    <mergeCell ref="J12:J13"/>
    <mergeCell ref="K12:K13"/>
    <mergeCell ref="L12:L13"/>
    <mergeCell ref="G10:H11"/>
    <mergeCell ref="O10:O13"/>
    <mergeCell ref="M12:M13"/>
    <mergeCell ref="C54:D54"/>
    <mergeCell ref="C55:D55"/>
    <mergeCell ref="N12:N13"/>
    <mergeCell ref="A7:G7"/>
    <mergeCell ref="A6:O6"/>
    <mergeCell ref="A10:A13"/>
    <mergeCell ref="B10:B13"/>
    <mergeCell ref="C10:C13"/>
    <mergeCell ref="D10:D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0"/>
  <sheetViews>
    <sheetView zoomScalePageLayoutView="0" workbookViewId="0" topLeftCell="A1">
      <pane xSplit="2" ySplit="7" topLeftCell="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5" sqref="D15"/>
    </sheetView>
  </sheetViews>
  <sheetFormatPr defaultColWidth="9.00390625" defaultRowHeight="12.75"/>
  <cols>
    <col min="1" max="1" width="8.75390625" style="221" bestFit="1" customWidth="1"/>
    <col min="2" max="2" width="9.125" style="221" customWidth="1"/>
    <col min="3" max="3" width="11.375" style="221" customWidth="1"/>
    <col min="4" max="4" width="10.375" style="221" customWidth="1"/>
    <col min="5" max="5" width="10.125" style="221" bestFit="1" customWidth="1"/>
    <col min="6" max="6" width="9.125" style="221" customWidth="1"/>
    <col min="7" max="7" width="10.25390625" style="221" customWidth="1"/>
    <col min="8" max="8" width="9.125" style="221" customWidth="1"/>
    <col min="9" max="9" width="9.875" style="221" customWidth="1"/>
    <col min="10" max="10" width="9.125" style="221" customWidth="1"/>
    <col min="11" max="11" width="10.375" style="221" customWidth="1"/>
    <col min="12" max="12" width="9.125" style="221" customWidth="1"/>
    <col min="13" max="13" width="10.125" style="221" bestFit="1" customWidth="1"/>
    <col min="14" max="14" width="9.125" style="221" customWidth="1"/>
    <col min="15" max="15" width="10.125" style="221" bestFit="1" customWidth="1"/>
    <col min="16" max="18" width="9.125" style="221" customWidth="1"/>
    <col min="19" max="19" width="10.125" style="221" bestFit="1" customWidth="1"/>
    <col min="20" max="20" width="10.125" style="221" customWidth="1"/>
    <col min="21" max="21" width="10.125" style="221" bestFit="1" customWidth="1"/>
    <col min="22" max="22" width="10.25390625" style="221" customWidth="1"/>
    <col min="23" max="23" width="10.625" style="221" customWidth="1"/>
    <col min="24" max="24" width="10.125" style="221" customWidth="1"/>
    <col min="25" max="28" width="10.125" style="221" bestFit="1" customWidth="1"/>
    <col min="29" max="30" width="11.375" style="221" customWidth="1"/>
    <col min="31" max="31" width="9.25390625" style="221" bestFit="1" customWidth="1"/>
    <col min="32" max="32" width="10.125" style="221" bestFit="1" customWidth="1"/>
    <col min="33" max="33" width="12.00390625" style="221" customWidth="1"/>
    <col min="34" max="34" width="14.25390625" style="221" customWidth="1"/>
    <col min="35" max="35" width="9.25390625" style="221" bestFit="1" customWidth="1"/>
    <col min="36" max="36" width="12.625" style="221" customWidth="1"/>
    <col min="37" max="38" width="9.25390625" style="221" bestFit="1" customWidth="1"/>
    <col min="39" max="39" width="10.125" style="221" bestFit="1" customWidth="1"/>
    <col min="40" max="40" width="9.25390625" style="221" bestFit="1" customWidth="1"/>
    <col min="41" max="42" width="10.125" style="221" bestFit="1" customWidth="1"/>
    <col min="43" max="44" width="9.25390625" style="221" customWidth="1"/>
    <col min="45" max="45" width="10.125" style="221" bestFit="1" customWidth="1"/>
    <col min="46" max="46" width="11.625" style="221" customWidth="1"/>
    <col min="47" max="47" width="10.875" style="221" customWidth="1"/>
    <col min="48" max="48" width="10.625" style="221" customWidth="1"/>
    <col min="49" max="49" width="10.25390625" style="221" customWidth="1"/>
    <col min="50" max="50" width="10.625" style="221" customWidth="1"/>
    <col min="51" max="51" width="9.25390625" style="221" bestFit="1" customWidth="1"/>
    <col min="52" max="53" width="10.125" style="221" bestFit="1" customWidth="1"/>
    <col min="54" max="54" width="11.625" style="221" customWidth="1"/>
    <col min="55" max="55" width="11.75390625" style="221" customWidth="1"/>
    <col min="56" max="56" width="12.125" style="221" customWidth="1"/>
    <col min="57" max="57" width="13.625" style="221" customWidth="1"/>
    <col min="58" max="58" width="11.00390625" style="221" customWidth="1"/>
    <col min="59" max="59" width="11.375" style="221" customWidth="1"/>
    <col min="60" max="16384" width="9.125" style="221" customWidth="1"/>
  </cols>
  <sheetData>
    <row r="1" spans="1:18" ht="21" customHeight="1">
      <c r="A1" s="379" t="s">
        <v>126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220"/>
      <c r="P1" s="220"/>
      <c r="Q1" s="220"/>
      <c r="R1" s="220"/>
    </row>
    <row r="2" spans="1:18" ht="13.5" thickBot="1">
      <c r="A2" s="220"/>
      <c r="B2" s="222"/>
      <c r="C2" s="223"/>
      <c r="D2" s="223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1:59" ht="29.25" customHeight="1" thickBot="1">
      <c r="A3" s="351" t="s">
        <v>96</v>
      </c>
      <c r="B3" s="381" t="s">
        <v>0</v>
      </c>
      <c r="C3" s="383" t="s">
        <v>1</v>
      </c>
      <c r="D3" s="385" t="s">
        <v>2</v>
      </c>
      <c r="E3" s="351" t="s">
        <v>97</v>
      </c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2"/>
      <c r="S3" s="351"/>
      <c r="T3" s="358"/>
      <c r="U3" s="351" t="s">
        <v>3</v>
      </c>
      <c r="V3" s="358"/>
      <c r="W3" s="360" t="s">
        <v>4</v>
      </c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466"/>
      <c r="AJ3" s="468" t="s">
        <v>80</v>
      </c>
      <c r="AK3" s="395" t="s">
        <v>8</v>
      </c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  <c r="AW3" s="471"/>
      <c r="AX3" s="471"/>
      <c r="AY3" s="471"/>
      <c r="AZ3" s="471"/>
      <c r="BA3" s="471"/>
      <c r="BB3" s="471"/>
      <c r="BC3" s="471"/>
      <c r="BD3" s="471"/>
      <c r="BE3" s="472"/>
      <c r="BF3" s="473" t="s">
        <v>9</v>
      </c>
      <c r="BG3" s="455" t="s">
        <v>10</v>
      </c>
    </row>
    <row r="4" spans="1:59" ht="51.75" customHeight="1" hidden="1" thickBot="1">
      <c r="A4" s="380"/>
      <c r="B4" s="382"/>
      <c r="C4" s="384"/>
      <c r="D4" s="386"/>
      <c r="E4" s="380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8"/>
      <c r="S4" s="353"/>
      <c r="T4" s="359"/>
      <c r="U4" s="353"/>
      <c r="V4" s="359"/>
      <c r="W4" s="362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467"/>
      <c r="AJ4" s="469"/>
      <c r="AK4" s="348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50"/>
      <c r="BF4" s="474"/>
      <c r="BG4" s="456"/>
    </row>
    <row r="5" spans="1:59" ht="19.5" customHeight="1">
      <c r="A5" s="380"/>
      <c r="B5" s="382"/>
      <c r="C5" s="384"/>
      <c r="D5" s="386"/>
      <c r="E5" s="458" t="s">
        <v>11</v>
      </c>
      <c r="F5" s="459"/>
      <c r="G5" s="458" t="s">
        <v>98</v>
      </c>
      <c r="H5" s="459"/>
      <c r="I5" s="458" t="s">
        <v>12</v>
      </c>
      <c r="J5" s="459"/>
      <c r="K5" s="458" t="s">
        <v>14</v>
      </c>
      <c r="L5" s="459"/>
      <c r="M5" s="458" t="s">
        <v>13</v>
      </c>
      <c r="N5" s="459"/>
      <c r="O5" s="462" t="s">
        <v>15</v>
      </c>
      <c r="P5" s="462"/>
      <c r="Q5" s="458" t="s">
        <v>99</v>
      </c>
      <c r="R5" s="459"/>
      <c r="S5" s="462" t="s">
        <v>100</v>
      </c>
      <c r="T5" s="459"/>
      <c r="U5" s="389" t="s">
        <v>18</v>
      </c>
      <c r="V5" s="370" t="s">
        <v>19</v>
      </c>
      <c r="W5" s="451" t="s">
        <v>20</v>
      </c>
      <c r="X5" s="451" t="s">
        <v>101</v>
      </c>
      <c r="Y5" s="451" t="s">
        <v>21</v>
      </c>
      <c r="Z5" s="451" t="s">
        <v>23</v>
      </c>
      <c r="AA5" s="451" t="s">
        <v>22</v>
      </c>
      <c r="AB5" s="451" t="s">
        <v>24</v>
      </c>
      <c r="AC5" s="451" t="s">
        <v>25</v>
      </c>
      <c r="AD5" s="453" t="s">
        <v>26</v>
      </c>
      <c r="AE5" s="453" t="s">
        <v>102</v>
      </c>
      <c r="AF5" s="442" t="s">
        <v>27</v>
      </c>
      <c r="AG5" s="444" t="s">
        <v>79</v>
      </c>
      <c r="AH5" s="446" t="s">
        <v>6</v>
      </c>
      <c r="AI5" s="448" t="s">
        <v>7</v>
      </c>
      <c r="AJ5" s="469"/>
      <c r="AK5" s="450" t="s">
        <v>103</v>
      </c>
      <c r="AL5" s="441" t="s">
        <v>104</v>
      </c>
      <c r="AM5" s="441" t="s">
        <v>105</v>
      </c>
      <c r="AN5" s="339" t="s">
        <v>106</v>
      </c>
      <c r="AO5" s="441" t="s">
        <v>107</v>
      </c>
      <c r="AP5" s="339" t="s">
        <v>108</v>
      </c>
      <c r="AQ5" s="339" t="s">
        <v>109</v>
      </c>
      <c r="AR5" s="339" t="s">
        <v>110</v>
      </c>
      <c r="AS5" s="339" t="s">
        <v>111</v>
      </c>
      <c r="AT5" s="339" t="s">
        <v>34</v>
      </c>
      <c r="AU5" s="438" t="s">
        <v>112</v>
      </c>
      <c r="AV5" s="393" t="s">
        <v>113</v>
      </c>
      <c r="AW5" s="438" t="s">
        <v>114</v>
      </c>
      <c r="AX5" s="439" t="s">
        <v>115</v>
      </c>
      <c r="AY5" s="224"/>
      <c r="AZ5" s="343" t="s">
        <v>17</v>
      </c>
      <c r="BA5" s="339" t="s">
        <v>36</v>
      </c>
      <c r="BB5" s="339" t="s">
        <v>31</v>
      </c>
      <c r="BC5" s="436" t="s">
        <v>37</v>
      </c>
      <c r="BD5" s="336" t="s">
        <v>82</v>
      </c>
      <c r="BE5" s="339" t="s">
        <v>83</v>
      </c>
      <c r="BF5" s="474"/>
      <c r="BG5" s="456"/>
    </row>
    <row r="6" spans="1:59" ht="56.25" customHeight="1" thickBot="1">
      <c r="A6" s="380"/>
      <c r="B6" s="382"/>
      <c r="C6" s="384"/>
      <c r="D6" s="386"/>
      <c r="E6" s="460"/>
      <c r="F6" s="461"/>
      <c r="G6" s="460"/>
      <c r="H6" s="461"/>
      <c r="I6" s="460"/>
      <c r="J6" s="461"/>
      <c r="K6" s="460"/>
      <c r="L6" s="461"/>
      <c r="M6" s="460"/>
      <c r="N6" s="461"/>
      <c r="O6" s="463"/>
      <c r="P6" s="463"/>
      <c r="Q6" s="460"/>
      <c r="R6" s="461"/>
      <c r="S6" s="464"/>
      <c r="T6" s="461"/>
      <c r="U6" s="465"/>
      <c r="V6" s="476"/>
      <c r="W6" s="452"/>
      <c r="X6" s="452"/>
      <c r="Y6" s="452"/>
      <c r="Z6" s="452"/>
      <c r="AA6" s="452"/>
      <c r="AB6" s="452"/>
      <c r="AC6" s="452"/>
      <c r="AD6" s="454"/>
      <c r="AE6" s="454"/>
      <c r="AF6" s="443"/>
      <c r="AG6" s="445"/>
      <c r="AH6" s="447"/>
      <c r="AI6" s="449"/>
      <c r="AJ6" s="470"/>
      <c r="AK6" s="329"/>
      <c r="AL6" s="331"/>
      <c r="AM6" s="331"/>
      <c r="AN6" s="333"/>
      <c r="AO6" s="331"/>
      <c r="AP6" s="333"/>
      <c r="AQ6" s="333"/>
      <c r="AR6" s="333"/>
      <c r="AS6" s="333"/>
      <c r="AT6" s="333"/>
      <c r="AU6" s="335"/>
      <c r="AV6" s="394"/>
      <c r="AW6" s="335"/>
      <c r="AX6" s="440"/>
      <c r="AY6" s="129" t="s">
        <v>116</v>
      </c>
      <c r="AZ6" s="344"/>
      <c r="BA6" s="333"/>
      <c r="BB6" s="333"/>
      <c r="BC6" s="437"/>
      <c r="BD6" s="338"/>
      <c r="BE6" s="333"/>
      <c r="BF6" s="475"/>
      <c r="BG6" s="457"/>
    </row>
    <row r="7" spans="1:59" ht="19.5" customHeight="1" thickBot="1">
      <c r="A7" s="225">
        <v>1</v>
      </c>
      <c r="B7" s="41">
        <v>2</v>
      </c>
      <c r="C7" s="41">
        <v>3</v>
      </c>
      <c r="D7" s="225">
        <v>4</v>
      </c>
      <c r="E7" s="41">
        <v>5</v>
      </c>
      <c r="F7" s="41">
        <v>6</v>
      </c>
      <c r="G7" s="225">
        <v>7</v>
      </c>
      <c r="H7" s="41">
        <v>8</v>
      </c>
      <c r="I7" s="41">
        <v>9</v>
      </c>
      <c r="J7" s="225">
        <v>10</v>
      </c>
      <c r="K7" s="41">
        <v>11</v>
      </c>
      <c r="L7" s="41">
        <v>12</v>
      </c>
      <c r="M7" s="225">
        <v>13</v>
      </c>
      <c r="N7" s="41">
        <v>14</v>
      </c>
      <c r="O7" s="41">
        <v>15</v>
      </c>
      <c r="P7" s="225">
        <v>16</v>
      </c>
      <c r="Q7" s="41">
        <v>17</v>
      </c>
      <c r="R7" s="41">
        <v>18</v>
      </c>
      <c r="S7" s="225">
        <v>19</v>
      </c>
      <c r="T7" s="41">
        <v>20</v>
      </c>
      <c r="U7" s="41">
        <v>21</v>
      </c>
      <c r="V7" s="225">
        <v>22</v>
      </c>
      <c r="W7" s="41">
        <v>23</v>
      </c>
      <c r="X7" s="225">
        <v>24</v>
      </c>
      <c r="Y7" s="41">
        <v>25</v>
      </c>
      <c r="Z7" s="225">
        <v>26</v>
      </c>
      <c r="AA7" s="41">
        <v>27</v>
      </c>
      <c r="AB7" s="225">
        <v>28</v>
      </c>
      <c r="AC7" s="41">
        <v>29</v>
      </c>
      <c r="AD7" s="225">
        <v>30</v>
      </c>
      <c r="AE7" s="225">
        <v>31</v>
      </c>
      <c r="AF7" s="41">
        <v>32</v>
      </c>
      <c r="AG7" s="225">
        <v>33</v>
      </c>
      <c r="AH7" s="41">
        <v>34</v>
      </c>
      <c r="AI7" s="225">
        <v>35</v>
      </c>
      <c r="AJ7" s="41">
        <v>36</v>
      </c>
      <c r="AK7" s="225">
        <v>37</v>
      </c>
      <c r="AL7" s="41">
        <v>38</v>
      </c>
      <c r="AM7" s="225">
        <v>39</v>
      </c>
      <c r="AN7" s="225">
        <v>40</v>
      </c>
      <c r="AO7" s="41">
        <v>41</v>
      </c>
      <c r="AP7" s="225">
        <v>42</v>
      </c>
      <c r="AQ7" s="41">
        <v>43</v>
      </c>
      <c r="AR7" s="225"/>
      <c r="AS7" s="225">
        <v>44</v>
      </c>
      <c r="AT7" s="41">
        <v>45</v>
      </c>
      <c r="AU7" s="225">
        <v>46</v>
      </c>
      <c r="AV7" s="41">
        <v>47</v>
      </c>
      <c r="AW7" s="225">
        <v>48</v>
      </c>
      <c r="AX7" s="225">
        <v>49</v>
      </c>
      <c r="AY7" s="41"/>
      <c r="AZ7" s="41">
        <v>50</v>
      </c>
      <c r="BA7" s="41">
        <v>51</v>
      </c>
      <c r="BB7" s="41">
        <v>52</v>
      </c>
      <c r="BC7" s="41">
        <v>53</v>
      </c>
      <c r="BD7" s="41">
        <v>54</v>
      </c>
      <c r="BE7" s="41"/>
      <c r="BF7" s="41">
        <v>55</v>
      </c>
      <c r="BG7" s="41">
        <v>56</v>
      </c>
    </row>
    <row r="8" spans="1:59" s="23" customFormat="1" ht="13.5" thickBot="1">
      <c r="A8" s="26" t="s">
        <v>52</v>
      </c>
      <c r="B8" s="226"/>
      <c r="C8" s="226">
        <f>Лист1!C44</f>
        <v>293132.93000000005</v>
      </c>
      <c r="D8" s="226">
        <f>Лист1!D44</f>
        <v>132988.35363130004</v>
      </c>
      <c r="E8" s="226">
        <f>Лист1!E44</f>
        <v>24389.350000000002</v>
      </c>
      <c r="F8" s="226">
        <f>Лист1!F44</f>
        <v>6427.469999999999</v>
      </c>
      <c r="G8" s="226">
        <f>0</f>
        <v>0</v>
      </c>
      <c r="H8" s="226">
        <f>0</f>
        <v>0</v>
      </c>
      <c r="I8" s="226">
        <f>'[1]Лист1'!G44</f>
        <v>48001.80999999999</v>
      </c>
      <c r="J8" s="226">
        <f>'[1]Лист1'!H44</f>
        <v>7463.199999999999</v>
      </c>
      <c r="K8" s="226">
        <f>Лист1!K44</f>
        <v>54944.19</v>
      </c>
      <c r="L8" s="226">
        <f>Лист1!L44</f>
        <v>12721.57</v>
      </c>
      <c r="M8" s="226">
        <f>Лист1!I44</f>
        <v>79329.31</v>
      </c>
      <c r="N8" s="226">
        <f>Лист1!J44</f>
        <v>18366.22</v>
      </c>
      <c r="O8" s="226">
        <f>Лист1!M44</f>
        <v>19572.56</v>
      </c>
      <c r="P8" s="226">
        <f>Лист1!N44</f>
        <v>4515.9</v>
      </c>
      <c r="Q8" s="226">
        <f>'[2]Лист1'!O44</f>
        <v>0</v>
      </c>
      <c r="R8" s="226">
        <f>'[2]Лист1'!P44</f>
        <v>0</v>
      </c>
      <c r="S8" s="226">
        <f>'[2]Лист1'!Q44</f>
        <v>0</v>
      </c>
      <c r="T8" s="226">
        <f>'[2]Лист1'!R44</f>
        <v>0</v>
      </c>
      <c r="U8" s="226">
        <f>Лист1!S44</f>
        <v>211224.61</v>
      </c>
      <c r="V8" s="226">
        <f>Лист1!T44</f>
        <v>49672.43</v>
      </c>
      <c r="W8" s="226">
        <f>Лист1!U44</f>
        <v>21869.04</v>
      </c>
      <c r="X8" s="226">
        <v>0</v>
      </c>
      <c r="Y8" s="226">
        <f>Лист1!V44</f>
        <v>29583.149999999998</v>
      </c>
      <c r="Z8" s="226">
        <f>Лист1!X44</f>
        <v>49261</v>
      </c>
      <c r="AA8" s="226">
        <f>Лист1!W44</f>
        <v>72424.12000000001</v>
      </c>
      <c r="AB8" s="226">
        <f>Лист1!Y44</f>
        <v>17491.2</v>
      </c>
      <c r="AC8" s="226">
        <f>'[3]Лист1'!Z42</f>
        <v>0</v>
      </c>
      <c r="AD8" s="226">
        <f>'[3]Лист1'!AA42</f>
        <v>0</v>
      </c>
      <c r="AE8" s="226">
        <f>0</f>
        <v>0</v>
      </c>
      <c r="AF8" s="226">
        <f>Лист1!AB44</f>
        <v>190628.51</v>
      </c>
      <c r="AG8" s="226">
        <f>Лист1!AC44</f>
        <v>373289.2936313</v>
      </c>
      <c r="AH8" s="226">
        <f>'[4]2010 печать'!AD44</f>
        <v>0</v>
      </c>
      <c r="AI8" s="226">
        <f>'[3]Лист1'!AE42</f>
        <v>0</v>
      </c>
      <c r="AJ8" s="226">
        <f>Лист1!AF44</f>
        <v>300</v>
      </c>
      <c r="AK8" s="226">
        <f>Лист1!AG44</f>
        <v>20031.912</v>
      </c>
      <c r="AL8" s="226">
        <f>Лист1!AH44</f>
        <v>6712.3112304000015</v>
      </c>
      <c r="AM8" s="226">
        <f>Лист1!AI44+Лист1!AJ44</f>
        <v>33253.81263798999</v>
      </c>
      <c r="AN8" s="226">
        <v>0</v>
      </c>
      <c r="AO8" s="226">
        <f>Лист1!AK44+Лист1!AL44</f>
        <v>33167.550399422005</v>
      </c>
      <c r="AP8" s="226">
        <f>Лист1!AM44+Лист1!AN44</f>
        <v>74199.7440170148</v>
      </c>
      <c r="AQ8" s="226">
        <v>0</v>
      </c>
      <c r="AR8" s="226">
        <v>0</v>
      </c>
      <c r="AS8" s="226">
        <v>0</v>
      </c>
      <c r="AT8" s="226">
        <f>Лист1!AO44</f>
        <v>1722.6000000000001</v>
      </c>
      <c r="AU8" s="226">
        <f>Лист1!AS44+Лист1!AU44</f>
        <v>66757.624</v>
      </c>
      <c r="AV8" s="226">
        <v>0</v>
      </c>
      <c r="AW8" s="226">
        <f>Лист1!AT44</f>
        <v>375023.88</v>
      </c>
      <c r="AX8" s="226">
        <f>Лист1!AQ44+Лист1!AR44</f>
        <v>2261.4228000000003</v>
      </c>
      <c r="AY8" s="227">
        <f>Лист1!AX44</f>
        <v>7185.0232</v>
      </c>
      <c r="AZ8" s="227">
        <f>'[2]Лист1'!AY44</f>
        <v>0</v>
      </c>
      <c r="BA8" s="227">
        <f>'[5]Лист1'!AZ44</f>
        <v>0</v>
      </c>
      <c r="BB8" s="227">
        <v>0</v>
      </c>
      <c r="BC8" s="227">
        <f>Лист1!BB44</f>
        <v>620315.8802848267</v>
      </c>
      <c r="BD8" s="226">
        <f>Лист1!BC44</f>
        <v>75</v>
      </c>
      <c r="BE8" s="226">
        <f>BD8+BC8</f>
        <v>620390.8802848267</v>
      </c>
      <c r="BF8" s="228">
        <f>Лист1!BE44</f>
        <v>-246801.5866535267</v>
      </c>
      <c r="BG8" s="228">
        <f>Лист1!BF44</f>
        <v>-20596.100000000002</v>
      </c>
    </row>
    <row r="9" spans="1:59" ht="12.75">
      <c r="A9" s="5" t="s">
        <v>117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30"/>
      <c r="BF9" s="228"/>
      <c r="BG9" s="231"/>
    </row>
    <row r="10" spans="1:60" ht="12.75">
      <c r="A10" s="232" t="s">
        <v>43</v>
      </c>
      <c r="B10" s="203">
        <v>1257.3</v>
      </c>
      <c r="C10" s="172">
        <f aca="true" t="shared" si="0" ref="C10:C19">B10*8.55</f>
        <v>10749.915</v>
      </c>
      <c r="D10" s="188">
        <v>62.016</v>
      </c>
      <c r="E10" s="207">
        <v>0</v>
      </c>
      <c r="F10" s="207">
        <v>0</v>
      </c>
      <c r="G10" s="204">
        <v>6682.8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3199.33</v>
      </c>
      <c r="N10" s="204">
        <v>0</v>
      </c>
      <c r="O10" s="205">
        <v>1109.83</v>
      </c>
      <c r="P10" s="252">
        <v>0</v>
      </c>
      <c r="Q10" s="233">
        <v>0</v>
      </c>
      <c r="R10" s="234">
        <v>0</v>
      </c>
      <c r="S10" s="235">
        <v>0</v>
      </c>
      <c r="T10" s="236">
        <v>0</v>
      </c>
      <c r="U10" s="237">
        <f aca="true" t="shared" si="1" ref="U10:V21">E10+G10+I10+K10+M10+O10+Q10+S10</f>
        <v>10991.960000000001</v>
      </c>
      <c r="V10" s="238">
        <f t="shared" si="1"/>
        <v>0</v>
      </c>
      <c r="W10" s="204">
        <v>500.91</v>
      </c>
      <c r="X10" s="204"/>
      <c r="Y10" s="204">
        <v>678.1</v>
      </c>
      <c r="Z10" s="204">
        <v>1128.9</v>
      </c>
      <c r="AA10" s="204">
        <v>1629.82</v>
      </c>
      <c r="AB10" s="204">
        <v>400.74</v>
      </c>
      <c r="AC10" s="204">
        <v>0</v>
      </c>
      <c r="AD10" s="207">
        <v>0</v>
      </c>
      <c r="AE10" s="239">
        <v>0</v>
      </c>
      <c r="AF10" s="239">
        <f>SUM(W10:AE10)</f>
        <v>4338.469999999999</v>
      </c>
      <c r="AG10" s="240">
        <f>AF10+V10+D10</f>
        <v>4400.485999999999</v>
      </c>
      <c r="AH10" s="241">
        <f aca="true" t="shared" si="2" ref="AH10:AI21">AC10</f>
        <v>0</v>
      </c>
      <c r="AI10" s="241">
        <f t="shared" si="2"/>
        <v>0</v>
      </c>
      <c r="AJ10" s="242">
        <f>'[6]Т01'!$I$154</f>
        <v>100</v>
      </c>
      <c r="AK10" s="211">
        <f aca="true" t="shared" si="3" ref="AK10:AK21">0.67*B10</f>
        <v>842.3910000000001</v>
      </c>
      <c r="AL10" s="211">
        <f aca="true" t="shared" si="4" ref="AL10:AL21">B10*0.2</f>
        <v>251.46</v>
      </c>
      <c r="AM10" s="211">
        <f aca="true" t="shared" si="5" ref="AM10:AM21">B10*1</f>
        <v>1257.3</v>
      </c>
      <c r="AN10" s="211">
        <f aca="true" t="shared" si="6" ref="AN10:AN21">B10*0.21</f>
        <v>264.03299999999996</v>
      </c>
      <c r="AO10" s="211">
        <f aca="true" t="shared" si="7" ref="AO10:AO21">2.02*B10</f>
        <v>2539.746</v>
      </c>
      <c r="AP10" s="211">
        <f aca="true" t="shared" si="8" ref="AP10:AP21">B10*1.03</f>
        <v>1295.019</v>
      </c>
      <c r="AQ10" s="211">
        <f aca="true" t="shared" si="9" ref="AQ10:AQ21">B10*0.75</f>
        <v>942.9749999999999</v>
      </c>
      <c r="AR10" s="211">
        <f aca="true" t="shared" si="10" ref="AR10:AR21">B10*0.75</f>
        <v>942.9749999999999</v>
      </c>
      <c r="AS10" s="211">
        <f>B10*1.15</f>
        <v>1445.8949999999998</v>
      </c>
      <c r="AT10" s="243"/>
      <c r="AU10" s="244"/>
      <c r="AV10" s="212">
        <v>1630</v>
      </c>
      <c r="AW10" s="244"/>
      <c r="AX10" s="244"/>
      <c r="AY10" s="243"/>
      <c r="AZ10" s="200"/>
      <c r="BA10" s="200"/>
      <c r="BB10" s="217">
        <f>BA10*0.18</f>
        <v>0</v>
      </c>
      <c r="BC10" s="217">
        <f aca="true" t="shared" si="11" ref="BC10:BC21">SUM(AK10:BB10)</f>
        <v>11411.794000000002</v>
      </c>
      <c r="BD10" s="246">
        <f>'[6]Т01'!$R$154</f>
        <v>25</v>
      </c>
      <c r="BE10" s="246">
        <f>BC10+BD10</f>
        <v>11436.794000000002</v>
      </c>
      <c r="BF10" s="218">
        <f>AG10+AJ10-BE10</f>
        <v>-6936.308000000003</v>
      </c>
      <c r="BG10" s="218">
        <f>AF10-U10</f>
        <v>-6653.490000000002</v>
      </c>
      <c r="BH10" s="247"/>
    </row>
    <row r="11" spans="1:59" ht="12.75">
      <c r="A11" s="232" t="s">
        <v>44</v>
      </c>
      <c r="B11" s="203">
        <v>1257.3</v>
      </c>
      <c r="C11" s="172">
        <f t="shared" si="0"/>
        <v>10749.915</v>
      </c>
      <c r="D11" s="188">
        <v>62.016</v>
      </c>
      <c r="E11" s="207">
        <v>0</v>
      </c>
      <c r="F11" s="207">
        <v>0</v>
      </c>
      <c r="G11" s="204">
        <v>6492.7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3199.33</v>
      </c>
      <c r="N11" s="204">
        <v>0</v>
      </c>
      <c r="O11" s="205">
        <v>1109.83</v>
      </c>
      <c r="P11" s="206">
        <v>0</v>
      </c>
      <c r="Q11" s="207">
        <v>0</v>
      </c>
      <c r="R11" s="207">
        <v>0</v>
      </c>
      <c r="S11" s="207">
        <v>0</v>
      </c>
      <c r="T11" s="204">
        <v>0</v>
      </c>
      <c r="U11" s="248">
        <f t="shared" si="1"/>
        <v>10801.859999999999</v>
      </c>
      <c r="V11" s="238">
        <f t="shared" si="1"/>
        <v>0</v>
      </c>
      <c r="W11" s="204">
        <v>239.99</v>
      </c>
      <c r="X11" s="207">
        <v>5357.32</v>
      </c>
      <c r="Y11" s="204">
        <v>324.78</v>
      </c>
      <c r="Z11" s="204">
        <v>540.81</v>
      </c>
      <c r="AA11" s="204">
        <v>3457.29</v>
      </c>
      <c r="AB11" s="204">
        <v>1120.88</v>
      </c>
      <c r="AC11" s="204">
        <v>0</v>
      </c>
      <c r="AD11" s="207">
        <v>0</v>
      </c>
      <c r="AE11" s="207">
        <v>0</v>
      </c>
      <c r="AF11" s="239">
        <f>SUM(W11:AE11)</f>
        <v>11041.07</v>
      </c>
      <c r="AG11" s="240">
        <f>AF11+V11+D11</f>
        <v>11103.086</v>
      </c>
      <c r="AH11" s="241">
        <f t="shared" si="2"/>
        <v>0</v>
      </c>
      <c r="AI11" s="241">
        <f t="shared" si="2"/>
        <v>0</v>
      </c>
      <c r="AJ11" s="242">
        <f>'[6]Т02'!$J$156</f>
        <v>100</v>
      </c>
      <c r="AK11" s="211">
        <f t="shared" si="3"/>
        <v>842.3910000000001</v>
      </c>
      <c r="AL11" s="211">
        <f t="shared" si="4"/>
        <v>251.46</v>
      </c>
      <c r="AM11" s="211">
        <f t="shared" si="5"/>
        <v>1257.3</v>
      </c>
      <c r="AN11" s="211">
        <f t="shared" si="6"/>
        <v>264.03299999999996</v>
      </c>
      <c r="AO11" s="211">
        <f t="shared" si="7"/>
        <v>2539.746</v>
      </c>
      <c r="AP11" s="211">
        <f t="shared" si="8"/>
        <v>1295.019</v>
      </c>
      <c r="AQ11" s="211">
        <f t="shared" si="9"/>
        <v>942.9749999999999</v>
      </c>
      <c r="AR11" s="211">
        <f t="shared" si="10"/>
        <v>942.9749999999999</v>
      </c>
      <c r="AS11" s="211">
        <f>B11*1.15</f>
        <v>1445.8949999999998</v>
      </c>
      <c r="AT11" s="211">
        <f aca="true" t="shared" si="12" ref="AT11:AT21">0.45*319</f>
        <v>143.55</v>
      </c>
      <c r="AU11" s="244"/>
      <c r="AV11" s="245"/>
      <c r="AW11" s="244"/>
      <c r="AX11" s="213">
        <f>22.56</f>
        <v>22.56</v>
      </c>
      <c r="AY11" s="243"/>
      <c r="AZ11" s="200"/>
      <c r="BA11" s="200"/>
      <c r="BB11" s="217">
        <f>BA11*0.18</f>
        <v>0</v>
      </c>
      <c r="BC11" s="217">
        <f t="shared" si="11"/>
        <v>9947.904</v>
      </c>
      <c r="BD11" s="246">
        <f>'[6]Т02'!$S$155</f>
        <v>25</v>
      </c>
      <c r="BE11" s="246">
        <f aca="true" t="shared" si="13" ref="BE11:BE21">BC11+BD11</f>
        <v>9972.904</v>
      </c>
      <c r="BF11" s="218">
        <f aca="true" t="shared" si="14" ref="BF11:BF21">AG11+AJ11-BE11</f>
        <v>1230.1819999999989</v>
      </c>
      <c r="BG11" s="218">
        <f aca="true" t="shared" si="15" ref="BG11:BG21">AF11-U11</f>
        <v>239.21000000000095</v>
      </c>
    </row>
    <row r="12" spans="1:59" ht="12.75">
      <c r="A12" s="232" t="s">
        <v>45</v>
      </c>
      <c r="B12" s="203">
        <v>1257.3</v>
      </c>
      <c r="C12" s="172">
        <f t="shared" si="0"/>
        <v>10749.915</v>
      </c>
      <c r="D12" s="188">
        <v>62.016</v>
      </c>
      <c r="E12" s="207">
        <v>0</v>
      </c>
      <c r="F12" s="207">
        <v>0</v>
      </c>
      <c r="G12" s="204">
        <v>6586.83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3198.87</v>
      </c>
      <c r="N12" s="204">
        <v>0</v>
      </c>
      <c r="O12" s="205">
        <v>1109.67</v>
      </c>
      <c r="P12" s="251">
        <v>0</v>
      </c>
      <c r="Q12" s="249">
        <v>0</v>
      </c>
      <c r="R12" s="249">
        <v>0</v>
      </c>
      <c r="S12" s="249">
        <v>0</v>
      </c>
      <c r="T12" s="204">
        <v>0</v>
      </c>
      <c r="U12" s="204">
        <f t="shared" si="1"/>
        <v>10895.37</v>
      </c>
      <c r="V12" s="208">
        <f t="shared" si="1"/>
        <v>0</v>
      </c>
      <c r="W12" s="219">
        <v>542.32</v>
      </c>
      <c r="X12" s="207">
        <v>4980.8</v>
      </c>
      <c r="Y12" s="204">
        <v>735.01</v>
      </c>
      <c r="Z12" s="204">
        <v>1223.19</v>
      </c>
      <c r="AA12" s="204">
        <v>2596.92</v>
      </c>
      <c r="AB12" s="204">
        <v>1186.83</v>
      </c>
      <c r="AC12" s="204">
        <v>0</v>
      </c>
      <c r="AD12" s="207">
        <v>0</v>
      </c>
      <c r="AE12" s="204">
        <v>0</v>
      </c>
      <c r="AF12" s="250">
        <f>SUM(W12:AE12)</f>
        <v>11265.07</v>
      </c>
      <c r="AG12" s="240">
        <f>AF12+V12+D12</f>
        <v>11327.086</v>
      </c>
      <c r="AH12" s="241">
        <f t="shared" si="2"/>
        <v>0</v>
      </c>
      <c r="AI12" s="241">
        <f t="shared" si="2"/>
        <v>0</v>
      </c>
      <c r="AJ12" s="242">
        <f>'[6]Т03'!$J$156</f>
        <v>100</v>
      </c>
      <c r="AK12" s="211">
        <f t="shared" si="3"/>
        <v>842.3910000000001</v>
      </c>
      <c r="AL12" s="211">
        <f t="shared" si="4"/>
        <v>251.46</v>
      </c>
      <c r="AM12" s="211">
        <f t="shared" si="5"/>
        <v>1257.3</v>
      </c>
      <c r="AN12" s="211">
        <f t="shared" si="6"/>
        <v>264.03299999999996</v>
      </c>
      <c r="AO12" s="211">
        <f t="shared" si="7"/>
        <v>2539.746</v>
      </c>
      <c r="AP12" s="211">
        <f t="shared" si="8"/>
        <v>1295.019</v>
      </c>
      <c r="AQ12" s="211">
        <f t="shared" si="9"/>
        <v>942.9749999999999</v>
      </c>
      <c r="AR12" s="211">
        <f t="shared" si="10"/>
        <v>942.9749999999999</v>
      </c>
      <c r="AS12" s="211">
        <f>B12*1.15</f>
        <v>1445.8949999999998</v>
      </c>
      <c r="AT12" s="211">
        <f t="shared" si="12"/>
        <v>143.55</v>
      </c>
      <c r="AU12" s="244"/>
      <c r="AV12" s="245">
        <v>4867</v>
      </c>
      <c r="AW12" s="244"/>
      <c r="AX12" s="244"/>
      <c r="AY12" s="243"/>
      <c r="AZ12" s="200"/>
      <c r="BA12" s="200"/>
      <c r="BB12" s="217">
        <f>BA12*0.18</f>
        <v>0</v>
      </c>
      <c r="BC12" s="217">
        <f t="shared" si="11"/>
        <v>14792.344000000001</v>
      </c>
      <c r="BD12" s="246">
        <f>'[6]Т03'!$S$156</f>
        <v>25</v>
      </c>
      <c r="BE12" s="246">
        <f t="shared" si="13"/>
        <v>14817.344000000001</v>
      </c>
      <c r="BF12" s="218">
        <f t="shared" si="14"/>
        <v>-3390.2580000000016</v>
      </c>
      <c r="BG12" s="218">
        <f t="shared" si="15"/>
        <v>369.6999999999989</v>
      </c>
    </row>
    <row r="13" spans="1:59" ht="12.75">
      <c r="A13" s="232" t="s">
        <v>46</v>
      </c>
      <c r="B13" s="324">
        <v>1256.6</v>
      </c>
      <c r="C13" s="172">
        <f t="shared" si="0"/>
        <v>10743.93</v>
      </c>
      <c r="D13" s="188">
        <v>62.016</v>
      </c>
      <c r="E13" s="235">
        <v>0</v>
      </c>
      <c r="F13" s="207">
        <v>0</v>
      </c>
      <c r="G13" s="219">
        <v>6583.21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3197.11</v>
      </c>
      <c r="N13" s="204">
        <v>0</v>
      </c>
      <c r="O13" s="205">
        <v>1109.07</v>
      </c>
      <c r="P13" s="252">
        <v>0</v>
      </c>
      <c r="Q13" s="251">
        <v>0</v>
      </c>
      <c r="R13" s="252">
        <v>0</v>
      </c>
      <c r="S13" s="253">
        <v>0</v>
      </c>
      <c r="T13" s="236">
        <v>0</v>
      </c>
      <c r="U13" s="248">
        <f t="shared" si="1"/>
        <v>10889.39</v>
      </c>
      <c r="V13" s="208">
        <f t="shared" si="1"/>
        <v>0</v>
      </c>
      <c r="W13" s="204">
        <v>31.63</v>
      </c>
      <c r="X13" s="207">
        <v>5756.23</v>
      </c>
      <c r="Y13" s="204">
        <v>42.83</v>
      </c>
      <c r="Z13" s="204">
        <v>71.29</v>
      </c>
      <c r="AA13" s="204">
        <v>2799.63</v>
      </c>
      <c r="AB13" s="207">
        <v>969.55</v>
      </c>
      <c r="AC13" s="204">
        <v>0</v>
      </c>
      <c r="AD13" s="207">
        <v>0</v>
      </c>
      <c r="AE13" s="207">
        <v>0</v>
      </c>
      <c r="AF13" s="239">
        <f>SUM(W13:AD13)</f>
        <v>9671.16</v>
      </c>
      <c r="AG13" s="254">
        <f>AF13+V13+D13</f>
        <v>9733.176</v>
      </c>
      <c r="AH13" s="255">
        <f t="shared" si="2"/>
        <v>0</v>
      </c>
      <c r="AI13" s="255">
        <f t="shared" si="2"/>
        <v>0</v>
      </c>
      <c r="AJ13" s="256">
        <f>'[7]Т04'!$J$158</f>
        <v>100</v>
      </c>
      <c r="AK13" s="211">
        <f t="shared" si="3"/>
        <v>841.922</v>
      </c>
      <c r="AL13" s="211">
        <f t="shared" si="4"/>
        <v>251.32</v>
      </c>
      <c r="AM13" s="211">
        <f t="shared" si="5"/>
        <v>1256.6</v>
      </c>
      <c r="AN13" s="211">
        <f t="shared" si="6"/>
        <v>263.88599999999997</v>
      </c>
      <c r="AO13" s="211">
        <f t="shared" si="7"/>
        <v>2538.332</v>
      </c>
      <c r="AP13" s="211">
        <f t="shared" si="8"/>
        <v>1294.298</v>
      </c>
      <c r="AQ13" s="211">
        <f t="shared" si="9"/>
        <v>942.4499999999999</v>
      </c>
      <c r="AR13" s="211">
        <f t="shared" si="10"/>
        <v>942.4499999999999</v>
      </c>
      <c r="AS13" s="211"/>
      <c r="AT13" s="257">
        <f t="shared" si="12"/>
        <v>143.55</v>
      </c>
      <c r="AU13" s="258"/>
      <c r="AV13" s="258"/>
      <c r="AW13" s="258"/>
      <c r="AX13" s="258">
        <f>865</f>
        <v>865</v>
      </c>
      <c r="AY13" s="243"/>
      <c r="AZ13" s="243"/>
      <c r="BA13" s="257"/>
      <c r="BB13" s="257"/>
      <c r="BC13" s="249">
        <f t="shared" si="11"/>
        <v>9339.807999999999</v>
      </c>
      <c r="BD13" s="259">
        <f>'[6]Т04'!$S$158</f>
        <v>25</v>
      </c>
      <c r="BE13" s="246">
        <f t="shared" si="13"/>
        <v>9364.807999999999</v>
      </c>
      <c r="BF13" s="218">
        <f t="shared" si="14"/>
        <v>468.3680000000004</v>
      </c>
      <c r="BG13" s="218">
        <f t="shared" si="15"/>
        <v>-1218.2299999999996</v>
      </c>
    </row>
    <row r="14" spans="1:59" ht="12.75">
      <c r="A14" s="232" t="s">
        <v>47</v>
      </c>
      <c r="B14" s="260">
        <v>1256.6</v>
      </c>
      <c r="C14" s="172">
        <f t="shared" si="0"/>
        <v>10743.93</v>
      </c>
      <c r="D14" s="188">
        <v>62.016</v>
      </c>
      <c r="E14" s="261">
        <v>0</v>
      </c>
      <c r="F14" s="207">
        <v>0</v>
      </c>
      <c r="G14" s="204">
        <v>6583.21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3197.11</v>
      </c>
      <c r="N14" s="204">
        <v>0</v>
      </c>
      <c r="O14" s="205">
        <v>1109.07</v>
      </c>
      <c r="P14" s="252">
        <v>0</v>
      </c>
      <c r="Q14" s="249">
        <v>0</v>
      </c>
      <c r="R14" s="262">
        <v>0</v>
      </c>
      <c r="S14" s="249">
        <v>0</v>
      </c>
      <c r="T14" s="207">
        <v>0</v>
      </c>
      <c r="U14" s="235">
        <f t="shared" si="1"/>
        <v>10889.39</v>
      </c>
      <c r="V14" s="263">
        <f>F14+H14+J14+L14+N14++R14+T14</f>
        <v>0</v>
      </c>
      <c r="W14" s="204">
        <v>307.55</v>
      </c>
      <c r="X14" s="207">
        <v>7414.06</v>
      </c>
      <c r="Y14" s="204">
        <v>416.71</v>
      </c>
      <c r="Z14" s="204">
        <v>693.55</v>
      </c>
      <c r="AA14" s="204">
        <v>4555.05</v>
      </c>
      <c r="AB14" s="204">
        <v>1485.45</v>
      </c>
      <c r="AC14" s="204">
        <v>0</v>
      </c>
      <c r="AD14" s="207">
        <v>0</v>
      </c>
      <c r="AE14" s="239">
        <v>0</v>
      </c>
      <c r="AF14" s="264">
        <f>SUM(W14:AE14)</f>
        <v>14872.370000000003</v>
      </c>
      <c r="AG14" s="254">
        <f aca="true" t="shared" si="16" ref="AG14:AG21">D14+V14+AF14</f>
        <v>14934.386000000002</v>
      </c>
      <c r="AH14" s="255">
        <f t="shared" si="2"/>
        <v>0</v>
      </c>
      <c r="AI14" s="255">
        <f t="shared" si="2"/>
        <v>0</v>
      </c>
      <c r="AJ14" s="256">
        <f>'[6]Т05'!$J$156+'[6]Т05'!$J$202</f>
        <v>214</v>
      </c>
      <c r="AK14" s="211">
        <f t="shared" si="3"/>
        <v>841.922</v>
      </c>
      <c r="AL14" s="211">
        <f t="shared" si="4"/>
        <v>251.32</v>
      </c>
      <c r="AM14" s="211">
        <f t="shared" si="5"/>
        <v>1256.6</v>
      </c>
      <c r="AN14" s="211">
        <f t="shared" si="6"/>
        <v>263.88599999999997</v>
      </c>
      <c r="AO14" s="211">
        <f t="shared" si="7"/>
        <v>2538.332</v>
      </c>
      <c r="AP14" s="211">
        <f t="shared" si="8"/>
        <v>1294.298</v>
      </c>
      <c r="AQ14" s="211">
        <f t="shared" si="9"/>
        <v>942.4499999999999</v>
      </c>
      <c r="AR14" s="211">
        <f t="shared" si="10"/>
        <v>942.4499999999999</v>
      </c>
      <c r="AS14" s="211"/>
      <c r="AT14" s="257">
        <f t="shared" si="12"/>
        <v>143.55</v>
      </c>
      <c r="AU14" s="258">
        <v>491</v>
      </c>
      <c r="AV14" s="258"/>
      <c r="AW14" s="258"/>
      <c r="AX14" s="258">
        <f>2074+40</f>
        <v>2114</v>
      </c>
      <c r="AY14" s="243"/>
      <c r="AZ14" s="243"/>
      <c r="BA14" s="257"/>
      <c r="BB14" s="257"/>
      <c r="BC14" s="249">
        <f t="shared" si="11"/>
        <v>11079.807999999999</v>
      </c>
      <c r="BD14" s="259">
        <f>'[6]Т05'!$S$156+'[6]Т05'!$S$202</f>
        <v>53.5</v>
      </c>
      <c r="BE14" s="246">
        <f t="shared" si="13"/>
        <v>11133.307999999999</v>
      </c>
      <c r="BF14" s="218">
        <f t="shared" si="14"/>
        <v>4015.078000000003</v>
      </c>
      <c r="BG14" s="218">
        <f t="shared" si="15"/>
        <v>3982.980000000003</v>
      </c>
    </row>
    <row r="15" spans="1:59" ht="12.75">
      <c r="A15" s="232" t="s">
        <v>48</v>
      </c>
      <c r="B15" s="203">
        <v>1256.6</v>
      </c>
      <c r="C15" s="172">
        <f t="shared" si="0"/>
        <v>10743.93</v>
      </c>
      <c r="D15" s="188">
        <v>62.016</v>
      </c>
      <c r="E15" s="265">
        <v>0</v>
      </c>
      <c r="F15" s="265"/>
      <c r="G15" s="265">
        <v>6583.21</v>
      </c>
      <c r="H15" s="265"/>
      <c r="I15" s="266">
        <v>0</v>
      </c>
      <c r="J15" s="266"/>
      <c r="K15" s="266">
        <v>0</v>
      </c>
      <c r="L15" s="266"/>
      <c r="M15" s="266">
        <v>3197.11</v>
      </c>
      <c r="N15" s="266"/>
      <c r="O15" s="266">
        <v>1109.07</v>
      </c>
      <c r="P15" s="266"/>
      <c r="Q15" s="266">
        <v>0</v>
      </c>
      <c r="R15" s="267"/>
      <c r="S15" s="267">
        <v>0</v>
      </c>
      <c r="T15" s="266"/>
      <c r="U15" s="268">
        <f t="shared" si="1"/>
        <v>10889.39</v>
      </c>
      <c r="V15" s="269">
        <f t="shared" si="1"/>
        <v>0</v>
      </c>
      <c r="W15" s="270">
        <v>-65.1</v>
      </c>
      <c r="X15" s="265">
        <v>6130.15</v>
      </c>
      <c r="Y15" s="265">
        <v>-88.16</v>
      </c>
      <c r="Z15" s="265">
        <v>-146.77</v>
      </c>
      <c r="AA15" s="265">
        <v>2965.57</v>
      </c>
      <c r="AB15" s="265">
        <v>1036.72</v>
      </c>
      <c r="AC15" s="265">
        <v>0</v>
      </c>
      <c r="AD15" s="265">
        <v>0</v>
      </c>
      <c r="AE15" s="271">
        <v>0</v>
      </c>
      <c r="AF15" s="272">
        <f aca="true" t="shared" si="17" ref="AF15:AF21">SUM(W15:AE15)</f>
        <v>9832.409999999998</v>
      </c>
      <c r="AG15" s="254">
        <f t="shared" si="16"/>
        <v>9894.425999999998</v>
      </c>
      <c r="AH15" s="255">
        <f t="shared" si="2"/>
        <v>0</v>
      </c>
      <c r="AI15" s="255">
        <f t="shared" si="2"/>
        <v>0</v>
      </c>
      <c r="AJ15" s="256">
        <f>'[6]Т06'!$J$156+'[6]Т06'!$J$202</f>
        <v>214</v>
      </c>
      <c r="AK15" s="211">
        <f t="shared" si="3"/>
        <v>841.922</v>
      </c>
      <c r="AL15" s="211">
        <f t="shared" si="4"/>
        <v>251.32</v>
      </c>
      <c r="AM15" s="211">
        <f t="shared" si="5"/>
        <v>1256.6</v>
      </c>
      <c r="AN15" s="211">
        <f t="shared" si="6"/>
        <v>263.88599999999997</v>
      </c>
      <c r="AO15" s="211">
        <f t="shared" si="7"/>
        <v>2538.332</v>
      </c>
      <c r="AP15" s="211">
        <f t="shared" si="8"/>
        <v>1294.298</v>
      </c>
      <c r="AQ15" s="211">
        <f t="shared" si="9"/>
        <v>942.4499999999999</v>
      </c>
      <c r="AR15" s="211">
        <f t="shared" si="10"/>
        <v>942.4499999999999</v>
      </c>
      <c r="AS15" s="211"/>
      <c r="AT15" s="257">
        <f t="shared" si="12"/>
        <v>143.55</v>
      </c>
      <c r="AU15" s="258"/>
      <c r="AV15" s="258"/>
      <c r="AW15" s="258"/>
      <c r="AX15" s="258"/>
      <c r="AY15" s="211"/>
      <c r="AZ15" s="211"/>
      <c r="BA15" s="257"/>
      <c r="BB15" s="257"/>
      <c r="BC15" s="273">
        <f t="shared" si="11"/>
        <v>8474.807999999999</v>
      </c>
      <c r="BD15" s="259">
        <f>'[6]Т06'!$S$156+'[6]Т06'!$S$202</f>
        <v>53.5</v>
      </c>
      <c r="BE15" s="246">
        <f t="shared" si="13"/>
        <v>8528.307999999999</v>
      </c>
      <c r="BF15" s="218">
        <f t="shared" si="14"/>
        <v>1580.1179999999986</v>
      </c>
      <c r="BG15" s="218">
        <f t="shared" si="15"/>
        <v>-1056.9800000000014</v>
      </c>
    </row>
    <row r="16" spans="1:59" ht="12.75">
      <c r="A16" s="232" t="s">
        <v>49</v>
      </c>
      <c r="B16" s="203">
        <v>1256.6</v>
      </c>
      <c r="C16" s="172">
        <f t="shared" si="0"/>
        <v>10743.93</v>
      </c>
      <c r="D16" s="188">
        <v>62.016</v>
      </c>
      <c r="E16" s="274"/>
      <c r="F16" s="274"/>
      <c r="G16" s="274">
        <v>6583.21</v>
      </c>
      <c r="H16" s="274"/>
      <c r="I16" s="274"/>
      <c r="J16" s="274"/>
      <c r="K16" s="274"/>
      <c r="L16" s="274"/>
      <c r="M16" s="274">
        <v>3197.11</v>
      </c>
      <c r="N16" s="274"/>
      <c r="O16" s="274">
        <v>1109.07</v>
      </c>
      <c r="P16" s="274"/>
      <c r="Q16" s="274"/>
      <c r="R16" s="274"/>
      <c r="S16" s="275"/>
      <c r="T16" s="270"/>
      <c r="U16" s="276">
        <f t="shared" si="1"/>
        <v>10889.39</v>
      </c>
      <c r="V16" s="277">
        <f t="shared" si="1"/>
        <v>0</v>
      </c>
      <c r="W16" s="278">
        <v>18.16</v>
      </c>
      <c r="X16" s="274">
        <v>5686.93</v>
      </c>
      <c r="Y16" s="274">
        <v>24.6</v>
      </c>
      <c r="Z16" s="274">
        <v>40.92</v>
      </c>
      <c r="AA16" s="274">
        <v>2819.65</v>
      </c>
      <c r="AB16" s="274">
        <v>971.8</v>
      </c>
      <c r="AC16" s="265"/>
      <c r="AD16" s="274"/>
      <c r="AE16" s="275"/>
      <c r="AF16" s="272">
        <f t="shared" si="17"/>
        <v>9562.06</v>
      </c>
      <c r="AG16" s="279">
        <f t="shared" si="16"/>
        <v>9624.076</v>
      </c>
      <c r="AH16" s="255">
        <f t="shared" si="2"/>
        <v>0</v>
      </c>
      <c r="AI16" s="255">
        <f t="shared" si="2"/>
        <v>0</v>
      </c>
      <c r="AJ16" s="256">
        <f>'[6]Т07'!$J$160+'[6]Т07'!$J$206</f>
        <v>214</v>
      </c>
      <c r="AK16" s="211">
        <f t="shared" si="3"/>
        <v>841.922</v>
      </c>
      <c r="AL16" s="211">
        <f t="shared" si="4"/>
        <v>251.32</v>
      </c>
      <c r="AM16" s="211">
        <f t="shared" si="5"/>
        <v>1256.6</v>
      </c>
      <c r="AN16" s="211">
        <f t="shared" si="6"/>
        <v>263.88599999999997</v>
      </c>
      <c r="AO16" s="211">
        <f t="shared" si="7"/>
        <v>2538.332</v>
      </c>
      <c r="AP16" s="211">
        <f t="shared" si="8"/>
        <v>1294.298</v>
      </c>
      <c r="AQ16" s="211">
        <f t="shared" si="9"/>
        <v>942.4499999999999</v>
      </c>
      <c r="AR16" s="211">
        <f t="shared" si="10"/>
        <v>942.4499999999999</v>
      </c>
      <c r="AS16" s="211"/>
      <c r="AT16" s="257">
        <f t="shared" si="12"/>
        <v>143.55</v>
      </c>
      <c r="AU16" s="258"/>
      <c r="AV16" s="258"/>
      <c r="AW16" s="258"/>
      <c r="AX16" s="258">
        <f>111.43+9.43</f>
        <v>120.86000000000001</v>
      </c>
      <c r="AY16" s="243"/>
      <c r="AZ16" s="243"/>
      <c r="BA16" s="257"/>
      <c r="BB16" s="257"/>
      <c r="BC16" s="249">
        <f t="shared" si="11"/>
        <v>8595.668</v>
      </c>
      <c r="BD16" s="259">
        <f>'[6]Т07'!$S$160+'[6]Т07'!$S$206</f>
        <v>53.5</v>
      </c>
      <c r="BE16" s="246">
        <f t="shared" si="13"/>
        <v>8649.168</v>
      </c>
      <c r="BF16" s="218">
        <f t="shared" si="14"/>
        <v>1188.9079999999994</v>
      </c>
      <c r="BG16" s="218">
        <f t="shared" si="15"/>
        <v>-1327.33</v>
      </c>
    </row>
    <row r="17" spans="1:59" ht="12.75">
      <c r="A17" s="232" t="s">
        <v>50</v>
      </c>
      <c r="B17" s="203">
        <v>1256.6</v>
      </c>
      <c r="C17" s="172">
        <f t="shared" si="0"/>
        <v>10743.93</v>
      </c>
      <c r="D17" s="188">
        <v>62.016</v>
      </c>
      <c r="E17" s="274"/>
      <c r="F17" s="274"/>
      <c r="G17" s="274">
        <v>6583.21</v>
      </c>
      <c r="H17" s="274"/>
      <c r="I17" s="274"/>
      <c r="J17" s="274"/>
      <c r="K17" s="274"/>
      <c r="L17" s="274"/>
      <c r="M17" s="274">
        <v>3197.11</v>
      </c>
      <c r="N17" s="274"/>
      <c r="O17" s="274">
        <v>1109.07</v>
      </c>
      <c r="P17" s="274"/>
      <c r="Q17" s="274"/>
      <c r="R17" s="274"/>
      <c r="S17" s="275"/>
      <c r="T17" s="271"/>
      <c r="U17" s="280">
        <f t="shared" si="1"/>
        <v>10889.39</v>
      </c>
      <c r="V17" s="281">
        <f t="shared" si="1"/>
        <v>0</v>
      </c>
      <c r="W17" s="274">
        <v>0</v>
      </c>
      <c r="X17" s="274">
        <v>5544.75</v>
      </c>
      <c r="Y17" s="274">
        <v>0</v>
      </c>
      <c r="Z17" s="274">
        <v>0</v>
      </c>
      <c r="AA17" s="274">
        <v>2691</v>
      </c>
      <c r="AB17" s="274">
        <v>934.09</v>
      </c>
      <c r="AC17" s="274"/>
      <c r="AD17" s="274"/>
      <c r="AE17" s="275"/>
      <c r="AF17" s="272">
        <f t="shared" si="17"/>
        <v>9169.84</v>
      </c>
      <c r="AG17" s="279">
        <f t="shared" si="16"/>
        <v>9231.856</v>
      </c>
      <c r="AH17" s="255">
        <f t="shared" si="2"/>
        <v>0</v>
      </c>
      <c r="AI17" s="255">
        <f t="shared" si="2"/>
        <v>0</v>
      </c>
      <c r="AJ17" s="256">
        <f>'[6]Т08'!$J$164+'[6]Т08'!$J$210</f>
        <v>214</v>
      </c>
      <c r="AK17" s="211">
        <f t="shared" si="3"/>
        <v>841.922</v>
      </c>
      <c r="AL17" s="211">
        <f t="shared" si="4"/>
        <v>251.32</v>
      </c>
      <c r="AM17" s="211">
        <f t="shared" si="5"/>
        <v>1256.6</v>
      </c>
      <c r="AN17" s="211">
        <f t="shared" si="6"/>
        <v>263.88599999999997</v>
      </c>
      <c r="AO17" s="211">
        <f t="shared" si="7"/>
        <v>2538.332</v>
      </c>
      <c r="AP17" s="211">
        <f t="shared" si="8"/>
        <v>1294.298</v>
      </c>
      <c r="AQ17" s="211">
        <f t="shared" si="9"/>
        <v>942.4499999999999</v>
      </c>
      <c r="AR17" s="211">
        <f t="shared" si="10"/>
        <v>942.4499999999999</v>
      </c>
      <c r="AS17" s="211"/>
      <c r="AT17" s="257">
        <f t="shared" si="12"/>
        <v>143.55</v>
      </c>
      <c r="AU17" s="258"/>
      <c r="AV17" s="258"/>
      <c r="AW17" s="258"/>
      <c r="AX17" s="258"/>
      <c r="AY17" s="243"/>
      <c r="AZ17" s="243"/>
      <c r="BA17" s="257"/>
      <c r="BB17" s="257"/>
      <c r="BC17" s="249">
        <f t="shared" si="11"/>
        <v>8474.807999999999</v>
      </c>
      <c r="BD17" s="259">
        <f>'[6]Т08'!$S$164+'[6]Т08'!$S$210</f>
        <v>53.5</v>
      </c>
      <c r="BE17" s="246">
        <f t="shared" si="13"/>
        <v>8528.307999999999</v>
      </c>
      <c r="BF17" s="218">
        <f t="shared" si="14"/>
        <v>917.5480000000007</v>
      </c>
      <c r="BG17" s="218">
        <f t="shared" si="15"/>
        <v>-1719.5499999999993</v>
      </c>
    </row>
    <row r="18" spans="1:59" ht="12.75">
      <c r="A18" s="232" t="s">
        <v>51</v>
      </c>
      <c r="B18" s="203">
        <v>1256.6</v>
      </c>
      <c r="C18" s="172">
        <f t="shared" si="0"/>
        <v>10743.93</v>
      </c>
      <c r="D18" s="188">
        <v>62.016</v>
      </c>
      <c r="E18" s="274"/>
      <c r="F18" s="274"/>
      <c r="G18" s="274">
        <v>6678.24</v>
      </c>
      <c r="H18" s="274"/>
      <c r="I18" s="274"/>
      <c r="J18" s="274"/>
      <c r="K18" s="274"/>
      <c r="L18" s="274"/>
      <c r="M18" s="274">
        <v>3243.29</v>
      </c>
      <c r="N18" s="274"/>
      <c r="O18" s="274">
        <v>1125.13</v>
      </c>
      <c r="P18" s="274"/>
      <c r="Q18" s="274"/>
      <c r="R18" s="274"/>
      <c r="S18" s="275"/>
      <c r="T18" s="282"/>
      <c r="U18" s="282">
        <f t="shared" si="1"/>
        <v>11046.66</v>
      </c>
      <c r="V18" s="283">
        <f t="shared" si="1"/>
        <v>0</v>
      </c>
      <c r="W18" s="274">
        <v>0</v>
      </c>
      <c r="X18" s="274">
        <v>5554.22</v>
      </c>
      <c r="Y18" s="274">
        <v>0</v>
      </c>
      <c r="Z18" s="274">
        <v>0</v>
      </c>
      <c r="AA18" s="274">
        <v>2697.43</v>
      </c>
      <c r="AB18" s="274">
        <v>935.82</v>
      </c>
      <c r="AC18" s="274"/>
      <c r="AD18" s="274"/>
      <c r="AE18" s="275"/>
      <c r="AF18" s="272">
        <f t="shared" si="17"/>
        <v>9187.47</v>
      </c>
      <c r="AG18" s="279">
        <f t="shared" si="16"/>
        <v>9249.485999999999</v>
      </c>
      <c r="AH18" s="255">
        <f t="shared" si="2"/>
        <v>0</v>
      </c>
      <c r="AI18" s="255">
        <f t="shared" si="2"/>
        <v>0</v>
      </c>
      <c r="AJ18" s="256">
        <f>'[6]Т09'!$J$164+'[6]Т09'!$J$210</f>
        <v>214</v>
      </c>
      <c r="AK18" s="211">
        <f t="shared" si="3"/>
        <v>841.922</v>
      </c>
      <c r="AL18" s="211">
        <f t="shared" si="4"/>
        <v>251.32</v>
      </c>
      <c r="AM18" s="211">
        <f t="shared" si="5"/>
        <v>1256.6</v>
      </c>
      <c r="AN18" s="211">
        <f t="shared" si="6"/>
        <v>263.88599999999997</v>
      </c>
      <c r="AO18" s="211">
        <f t="shared" si="7"/>
        <v>2538.332</v>
      </c>
      <c r="AP18" s="211">
        <f t="shared" si="8"/>
        <v>1294.298</v>
      </c>
      <c r="AQ18" s="211">
        <f t="shared" si="9"/>
        <v>942.4499999999999</v>
      </c>
      <c r="AR18" s="211">
        <f t="shared" si="10"/>
        <v>942.4499999999999</v>
      </c>
      <c r="AS18" s="211"/>
      <c r="AT18" s="257">
        <f t="shared" si="12"/>
        <v>143.55</v>
      </c>
      <c r="AU18" s="258"/>
      <c r="AV18" s="258"/>
      <c r="AW18" s="258"/>
      <c r="AX18" s="284">
        <f>213.34</f>
        <v>213.34</v>
      </c>
      <c r="AY18" s="243"/>
      <c r="AZ18" s="243"/>
      <c r="BA18" s="257"/>
      <c r="BB18" s="257"/>
      <c r="BC18" s="249">
        <f t="shared" si="11"/>
        <v>8688.148</v>
      </c>
      <c r="BD18" s="259">
        <f>'[6]Т08'!$S$164+'[6]Т08'!$S$210</f>
        <v>53.5</v>
      </c>
      <c r="BE18" s="246">
        <f t="shared" si="13"/>
        <v>8741.648</v>
      </c>
      <c r="BF18" s="218">
        <f t="shared" si="14"/>
        <v>721.8379999999997</v>
      </c>
      <c r="BG18" s="218">
        <f t="shared" si="15"/>
        <v>-1859.1900000000005</v>
      </c>
    </row>
    <row r="19" spans="1:59" ht="12.75">
      <c r="A19" s="232" t="s">
        <v>39</v>
      </c>
      <c r="B19" s="203">
        <v>1256.6</v>
      </c>
      <c r="C19" s="172">
        <f t="shared" si="0"/>
        <v>10743.93</v>
      </c>
      <c r="D19" s="188">
        <v>62.016</v>
      </c>
      <c r="E19" s="265"/>
      <c r="F19" s="265"/>
      <c r="G19" s="265">
        <v>6678.24</v>
      </c>
      <c r="H19" s="265"/>
      <c r="I19" s="265"/>
      <c r="J19" s="265"/>
      <c r="K19" s="265"/>
      <c r="L19" s="265"/>
      <c r="M19" s="265">
        <v>3243.29</v>
      </c>
      <c r="N19" s="265"/>
      <c r="O19" s="265">
        <v>1125.13</v>
      </c>
      <c r="P19" s="265"/>
      <c r="Q19" s="265"/>
      <c r="R19" s="265"/>
      <c r="S19" s="271"/>
      <c r="T19" s="285"/>
      <c r="U19" s="286">
        <f t="shared" si="1"/>
        <v>11046.66</v>
      </c>
      <c r="V19" s="287">
        <f t="shared" si="1"/>
        <v>0</v>
      </c>
      <c r="W19" s="265">
        <v>0</v>
      </c>
      <c r="X19" s="265">
        <v>6016.5</v>
      </c>
      <c r="Y19" s="265">
        <v>0</v>
      </c>
      <c r="Z19" s="265">
        <v>0</v>
      </c>
      <c r="AA19" s="265">
        <v>2921.73</v>
      </c>
      <c r="AB19" s="265">
        <v>1013.42</v>
      </c>
      <c r="AC19" s="265"/>
      <c r="AD19" s="265"/>
      <c r="AE19" s="271"/>
      <c r="AF19" s="272">
        <f t="shared" si="17"/>
        <v>9951.65</v>
      </c>
      <c r="AG19" s="279">
        <f t="shared" si="16"/>
        <v>10013.666</v>
      </c>
      <c r="AH19" s="255">
        <f t="shared" si="2"/>
        <v>0</v>
      </c>
      <c r="AI19" s="255">
        <f t="shared" si="2"/>
        <v>0</v>
      </c>
      <c r="AJ19" s="256">
        <f>'[6]Т10'!$J$164+'[6]Т10'!$J$210</f>
        <v>214</v>
      </c>
      <c r="AK19" s="211">
        <f t="shared" si="3"/>
        <v>841.922</v>
      </c>
      <c r="AL19" s="211">
        <f t="shared" si="4"/>
        <v>251.32</v>
      </c>
      <c r="AM19" s="211">
        <f t="shared" si="5"/>
        <v>1256.6</v>
      </c>
      <c r="AN19" s="211">
        <f t="shared" si="6"/>
        <v>263.88599999999997</v>
      </c>
      <c r="AO19" s="211">
        <f t="shared" si="7"/>
        <v>2538.332</v>
      </c>
      <c r="AP19" s="211">
        <f t="shared" si="8"/>
        <v>1294.298</v>
      </c>
      <c r="AQ19" s="211">
        <f t="shared" si="9"/>
        <v>942.4499999999999</v>
      </c>
      <c r="AR19" s="211">
        <f t="shared" si="10"/>
        <v>942.4499999999999</v>
      </c>
      <c r="AS19" s="288">
        <f>B19*1.15</f>
        <v>1445.0899999999997</v>
      </c>
      <c r="AT19" s="257">
        <f t="shared" si="12"/>
        <v>143.55</v>
      </c>
      <c r="AU19" s="258"/>
      <c r="AV19" s="258"/>
      <c r="AW19" s="258"/>
      <c r="AX19" s="258"/>
      <c r="AY19" s="243"/>
      <c r="AZ19" s="243"/>
      <c r="BA19" s="257"/>
      <c r="BB19" s="257"/>
      <c r="BC19" s="249">
        <f t="shared" si="11"/>
        <v>9919.898</v>
      </c>
      <c r="BD19" s="259">
        <f>'[6]Т10'!$S$164+'[6]Т10'!$S$210</f>
        <v>53.5</v>
      </c>
      <c r="BE19" s="246">
        <f t="shared" si="13"/>
        <v>9973.398</v>
      </c>
      <c r="BF19" s="218">
        <f t="shared" si="14"/>
        <v>254.26800000000003</v>
      </c>
      <c r="BG19" s="218">
        <f t="shared" si="15"/>
        <v>-1095.0100000000002</v>
      </c>
    </row>
    <row r="20" spans="1:59" ht="12.75">
      <c r="A20" s="232" t="s">
        <v>40</v>
      </c>
      <c r="B20" s="203">
        <v>1256.6</v>
      </c>
      <c r="C20" s="172">
        <f>B20*8.55</f>
        <v>10743.93</v>
      </c>
      <c r="D20" s="188">
        <v>62.016</v>
      </c>
      <c r="E20" s="265"/>
      <c r="F20" s="265"/>
      <c r="G20" s="265">
        <v>6678.24</v>
      </c>
      <c r="H20" s="265"/>
      <c r="I20" s="265"/>
      <c r="J20" s="265"/>
      <c r="K20" s="265"/>
      <c r="L20" s="265"/>
      <c r="M20" s="265">
        <v>3243.29</v>
      </c>
      <c r="N20" s="265"/>
      <c r="O20" s="265">
        <v>1125.13</v>
      </c>
      <c r="P20" s="265"/>
      <c r="Q20" s="265"/>
      <c r="R20" s="265"/>
      <c r="S20" s="271"/>
      <c r="T20" s="285"/>
      <c r="U20" s="286">
        <f t="shared" si="1"/>
        <v>11046.66</v>
      </c>
      <c r="V20" s="287">
        <f t="shared" si="1"/>
        <v>0</v>
      </c>
      <c r="W20" s="265">
        <v>0</v>
      </c>
      <c r="X20" s="265">
        <v>6022.97</v>
      </c>
      <c r="Y20" s="265">
        <v>0</v>
      </c>
      <c r="Z20" s="265">
        <v>0</v>
      </c>
      <c r="AA20" s="265">
        <v>2925.16</v>
      </c>
      <c r="AB20" s="265">
        <v>1014.98</v>
      </c>
      <c r="AC20" s="265"/>
      <c r="AD20" s="265"/>
      <c r="AE20" s="271"/>
      <c r="AF20" s="272">
        <f t="shared" si="17"/>
        <v>9963.11</v>
      </c>
      <c r="AG20" s="279">
        <f t="shared" si="16"/>
        <v>10025.126</v>
      </c>
      <c r="AH20" s="255">
        <f t="shared" si="2"/>
        <v>0</v>
      </c>
      <c r="AI20" s="255">
        <f t="shared" si="2"/>
        <v>0</v>
      </c>
      <c r="AJ20" s="256">
        <f>'[6]Т11'!$J$164+'[6]Т11'!$J$210</f>
        <v>214</v>
      </c>
      <c r="AK20" s="211">
        <f t="shared" si="3"/>
        <v>841.922</v>
      </c>
      <c r="AL20" s="211">
        <f t="shared" si="4"/>
        <v>251.32</v>
      </c>
      <c r="AM20" s="211">
        <f t="shared" si="5"/>
        <v>1256.6</v>
      </c>
      <c r="AN20" s="211">
        <f t="shared" si="6"/>
        <v>263.88599999999997</v>
      </c>
      <c r="AO20" s="211">
        <f t="shared" si="7"/>
        <v>2538.332</v>
      </c>
      <c r="AP20" s="211">
        <f t="shared" si="8"/>
        <v>1294.298</v>
      </c>
      <c r="AQ20" s="211">
        <f t="shared" si="9"/>
        <v>942.4499999999999</v>
      </c>
      <c r="AR20" s="211">
        <f t="shared" si="10"/>
        <v>942.4499999999999</v>
      </c>
      <c r="AS20" s="288">
        <f>B20*1.15</f>
        <v>1445.0899999999997</v>
      </c>
      <c r="AT20" s="257">
        <f t="shared" si="12"/>
        <v>143.55</v>
      </c>
      <c r="AU20" s="258"/>
      <c r="AV20" s="258"/>
      <c r="AW20" s="258"/>
      <c r="AX20" s="258"/>
      <c r="AY20" s="243"/>
      <c r="AZ20" s="243"/>
      <c r="BA20" s="257"/>
      <c r="BB20" s="257"/>
      <c r="BC20" s="249">
        <f t="shared" si="11"/>
        <v>9919.898</v>
      </c>
      <c r="BD20" s="259">
        <f>'[6]Т11'!$S$164+'[6]Т11'!$S$210</f>
        <v>53.5</v>
      </c>
      <c r="BE20" s="246">
        <f t="shared" si="13"/>
        <v>9973.398</v>
      </c>
      <c r="BF20" s="218">
        <f t="shared" si="14"/>
        <v>265.728000000001</v>
      </c>
      <c r="BG20" s="218">
        <f t="shared" si="15"/>
        <v>-1083.5499999999993</v>
      </c>
    </row>
    <row r="21" spans="1:59" ht="13.5" thickBot="1">
      <c r="A21" s="232" t="s">
        <v>41</v>
      </c>
      <c r="B21" s="203">
        <v>1256.6</v>
      </c>
      <c r="C21" s="172">
        <f>B21*8.55</f>
        <v>10743.93</v>
      </c>
      <c r="D21" s="289">
        <v>30.804</v>
      </c>
      <c r="E21" s="290"/>
      <c r="F21" s="290"/>
      <c r="G21" s="290">
        <v>6659.43</v>
      </c>
      <c r="H21" s="290"/>
      <c r="I21" s="290"/>
      <c r="J21" s="290"/>
      <c r="K21" s="290"/>
      <c r="L21" s="290"/>
      <c r="M21" s="290">
        <v>3234.05</v>
      </c>
      <c r="N21" s="290"/>
      <c r="O21" s="290">
        <v>1121.83</v>
      </c>
      <c r="P21" s="290"/>
      <c r="Q21" s="290"/>
      <c r="R21" s="290"/>
      <c r="S21" s="291"/>
      <c r="T21" s="292"/>
      <c r="U21" s="286">
        <f t="shared" si="1"/>
        <v>11015.31</v>
      </c>
      <c r="V21" s="287">
        <f t="shared" si="1"/>
        <v>0</v>
      </c>
      <c r="W21" s="265">
        <v>0</v>
      </c>
      <c r="X21" s="265">
        <v>6343.67</v>
      </c>
      <c r="Y21" s="265">
        <v>0</v>
      </c>
      <c r="Z21" s="265">
        <v>0</v>
      </c>
      <c r="AA21" s="265">
        <v>3080.69</v>
      </c>
      <c r="AB21" s="265">
        <v>1068.6</v>
      </c>
      <c r="AC21" s="265"/>
      <c r="AD21" s="265"/>
      <c r="AE21" s="271"/>
      <c r="AF21" s="272">
        <f t="shared" si="17"/>
        <v>10492.960000000001</v>
      </c>
      <c r="AG21" s="279">
        <f t="shared" si="16"/>
        <v>10523.764000000001</v>
      </c>
      <c r="AH21" s="255">
        <f t="shared" si="2"/>
        <v>0</v>
      </c>
      <c r="AI21" s="255">
        <f t="shared" si="2"/>
        <v>0</v>
      </c>
      <c r="AJ21" s="256">
        <f>'[6]Т12'!$J$188+'[6]Т12'!$J$234</f>
        <v>214</v>
      </c>
      <c r="AK21" s="211">
        <f t="shared" si="3"/>
        <v>841.922</v>
      </c>
      <c r="AL21" s="211">
        <f t="shared" si="4"/>
        <v>251.32</v>
      </c>
      <c r="AM21" s="211">
        <f t="shared" si="5"/>
        <v>1256.6</v>
      </c>
      <c r="AN21" s="211">
        <f t="shared" si="6"/>
        <v>263.88599999999997</v>
      </c>
      <c r="AO21" s="211">
        <f t="shared" si="7"/>
        <v>2538.332</v>
      </c>
      <c r="AP21" s="211">
        <f t="shared" si="8"/>
        <v>1294.298</v>
      </c>
      <c r="AQ21" s="211">
        <f t="shared" si="9"/>
        <v>942.4499999999999</v>
      </c>
      <c r="AR21" s="211">
        <f t="shared" si="10"/>
        <v>942.4499999999999</v>
      </c>
      <c r="AS21" s="288">
        <f>B21*1.15</f>
        <v>1445.0899999999997</v>
      </c>
      <c r="AT21" s="257">
        <f t="shared" si="12"/>
        <v>143.55</v>
      </c>
      <c r="AU21" s="258"/>
      <c r="AV21" s="258"/>
      <c r="AW21" s="258"/>
      <c r="AX21" s="258"/>
      <c r="AY21" s="243"/>
      <c r="AZ21" s="243"/>
      <c r="BA21" s="257"/>
      <c r="BB21" s="257"/>
      <c r="BC21" s="249">
        <f t="shared" si="11"/>
        <v>9919.898</v>
      </c>
      <c r="BD21" s="259">
        <f>'[6]Т12'!$S$188+'[6]Т12'!$S$234</f>
        <v>53.5</v>
      </c>
      <c r="BE21" s="246">
        <f t="shared" si="13"/>
        <v>9973.398</v>
      </c>
      <c r="BF21" s="218">
        <f t="shared" si="14"/>
        <v>764.3660000000018</v>
      </c>
      <c r="BG21" s="218">
        <f t="shared" si="15"/>
        <v>-522.3499999999985</v>
      </c>
    </row>
    <row r="22" spans="1:59" s="23" customFormat="1" ht="13.5" thickBot="1">
      <c r="A22" s="293" t="s">
        <v>3</v>
      </c>
      <c r="B22" s="294"/>
      <c r="C22" s="295">
        <f aca="true" t="shared" si="18" ref="C22:AY22">SUM(C10:C21)</f>
        <v>128945.11499999996</v>
      </c>
      <c r="D22" s="295">
        <f t="shared" si="18"/>
        <v>712.9799999999999</v>
      </c>
      <c r="E22" s="295">
        <f t="shared" si="18"/>
        <v>0</v>
      </c>
      <c r="F22" s="295">
        <f t="shared" si="18"/>
        <v>0</v>
      </c>
      <c r="G22" s="295">
        <f t="shared" si="18"/>
        <v>79372.53</v>
      </c>
      <c r="H22" s="295">
        <f t="shared" si="18"/>
        <v>0</v>
      </c>
      <c r="I22" s="295">
        <f t="shared" si="18"/>
        <v>0</v>
      </c>
      <c r="J22" s="295">
        <f t="shared" si="18"/>
        <v>0</v>
      </c>
      <c r="K22" s="295">
        <f t="shared" si="18"/>
        <v>0</v>
      </c>
      <c r="L22" s="295">
        <f t="shared" si="18"/>
        <v>0</v>
      </c>
      <c r="M22" s="295">
        <f t="shared" si="18"/>
        <v>38547.00000000001</v>
      </c>
      <c r="N22" s="295">
        <f t="shared" si="18"/>
        <v>0</v>
      </c>
      <c r="O22" s="295">
        <f t="shared" si="18"/>
        <v>13371.9</v>
      </c>
      <c r="P22" s="295">
        <f t="shared" si="18"/>
        <v>0</v>
      </c>
      <c r="Q22" s="295">
        <f t="shared" si="18"/>
        <v>0</v>
      </c>
      <c r="R22" s="295">
        <f t="shared" si="18"/>
        <v>0</v>
      </c>
      <c r="S22" s="295">
        <f t="shared" si="18"/>
        <v>0</v>
      </c>
      <c r="T22" s="295">
        <f t="shared" si="18"/>
        <v>0</v>
      </c>
      <c r="U22" s="295">
        <f t="shared" si="18"/>
        <v>131291.43000000002</v>
      </c>
      <c r="V22" s="295">
        <f t="shared" si="18"/>
        <v>0</v>
      </c>
      <c r="W22" s="295">
        <f t="shared" si="18"/>
        <v>1575.4600000000005</v>
      </c>
      <c r="X22" s="295">
        <f t="shared" si="18"/>
        <v>64807.6</v>
      </c>
      <c r="Y22" s="295">
        <f t="shared" si="18"/>
        <v>2133.87</v>
      </c>
      <c r="Z22" s="295">
        <f t="shared" si="18"/>
        <v>3551.89</v>
      </c>
      <c r="AA22" s="295">
        <f t="shared" si="18"/>
        <v>35139.94</v>
      </c>
      <c r="AB22" s="295">
        <f t="shared" si="18"/>
        <v>12138.880000000001</v>
      </c>
      <c r="AC22" s="295">
        <f t="shared" si="18"/>
        <v>0</v>
      </c>
      <c r="AD22" s="295">
        <f t="shared" si="18"/>
        <v>0</v>
      </c>
      <c r="AE22" s="295">
        <f t="shared" si="18"/>
        <v>0</v>
      </c>
      <c r="AF22" s="295">
        <f t="shared" si="18"/>
        <v>119347.64</v>
      </c>
      <c r="AG22" s="295">
        <f t="shared" si="18"/>
        <v>120060.62</v>
      </c>
      <c r="AH22" s="295">
        <f t="shared" si="18"/>
        <v>0</v>
      </c>
      <c r="AI22" s="295">
        <f t="shared" si="18"/>
        <v>0</v>
      </c>
      <c r="AJ22" s="295">
        <f t="shared" si="18"/>
        <v>2112</v>
      </c>
      <c r="AK22" s="295">
        <f t="shared" si="18"/>
        <v>10104.471000000003</v>
      </c>
      <c r="AL22" s="295">
        <f t="shared" si="18"/>
        <v>3016.26</v>
      </c>
      <c r="AM22" s="295">
        <f t="shared" si="18"/>
        <v>15081.300000000003</v>
      </c>
      <c r="AN22" s="295">
        <f t="shared" si="18"/>
        <v>3167.0729999999994</v>
      </c>
      <c r="AO22" s="295">
        <f t="shared" si="18"/>
        <v>30464.22599999999</v>
      </c>
      <c r="AP22" s="295">
        <f t="shared" si="18"/>
        <v>15533.739000000003</v>
      </c>
      <c r="AQ22" s="295">
        <f t="shared" si="18"/>
        <v>11310.975000000002</v>
      </c>
      <c r="AR22" s="295">
        <f t="shared" si="18"/>
        <v>11310.975000000002</v>
      </c>
      <c r="AS22" s="295">
        <f t="shared" si="18"/>
        <v>8672.955</v>
      </c>
      <c r="AT22" s="295">
        <f t="shared" si="18"/>
        <v>1579.0499999999997</v>
      </c>
      <c r="AU22" s="295">
        <f t="shared" si="18"/>
        <v>491</v>
      </c>
      <c r="AV22" s="295">
        <f t="shared" si="18"/>
        <v>6497</v>
      </c>
      <c r="AW22" s="295">
        <f t="shared" si="18"/>
        <v>0</v>
      </c>
      <c r="AX22" s="295">
        <f t="shared" si="18"/>
        <v>3335.76</v>
      </c>
      <c r="AY22" s="295">
        <f t="shared" si="18"/>
        <v>0</v>
      </c>
      <c r="AZ22" s="295">
        <f>SUM(BA10:BA21)</f>
        <v>0</v>
      </c>
      <c r="BA22" s="295">
        <f>SUM(BB10:BB21)</f>
        <v>0</v>
      </c>
      <c r="BB22" s="295">
        <v>0</v>
      </c>
      <c r="BC22" s="295">
        <f>SUM(BC10:BC21)</f>
        <v>120564.784</v>
      </c>
      <c r="BD22" s="295">
        <f>SUM(BD10:BD21)</f>
        <v>528</v>
      </c>
      <c r="BE22" s="295">
        <f>SUM(BE10:BE21)</f>
        <v>121092.784</v>
      </c>
      <c r="BF22" s="295">
        <f>SUM(BF10:BF21)</f>
        <v>1079.8359999999993</v>
      </c>
      <c r="BG22" s="295">
        <f>SUM(BG10:BG21)</f>
        <v>-11943.789999999997</v>
      </c>
    </row>
    <row r="23" spans="1:59" s="23" customFormat="1" ht="13.5" thickBot="1">
      <c r="A23" s="296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8"/>
      <c r="BF23" s="297"/>
      <c r="BG23" s="299"/>
    </row>
    <row r="24" spans="1:59" s="23" customFormat="1" ht="13.5" thickBot="1">
      <c r="A24" s="26" t="s">
        <v>52</v>
      </c>
      <c r="B24" s="297"/>
      <c r="C24" s="300">
        <f aca="true" t="shared" si="19" ref="C24:L24">C22+C8</f>
        <v>422078.04500000004</v>
      </c>
      <c r="D24" s="300">
        <f t="shared" si="19"/>
        <v>133701.33363130005</v>
      </c>
      <c r="E24" s="300">
        <f t="shared" si="19"/>
        <v>24389.350000000002</v>
      </c>
      <c r="F24" s="300">
        <f t="shared" si="19"/>
        <v>6427.469999999999</v>
      </c>
      <c r="G24" s="300">
        <f t="shared" si="19"/>
        <v>79372.53</v>
      </c>
      <c r="H24" s="300">
        <f t="shared" si="19"/>
        <v>0</v>
      </c>
      <c r="I24" s="300">
        <f t="shared" si="19"/>
        <v>48001.80999999999</v>
      </c>
      <c r="J24" s="300">
        <f t="shared" si="19"/>
        <v>7463.199999999999</v>
      </c>
      <c r="K24" s="300">
        <f t="shared" si="19"/>
        <v>54944.19</v>
      </c>
      <c r="L24" s="300">
        <f t="shared" si="19"/>
        <v>12721.57</v>
      </c>
      <c r="M24" s="300" t="e">
        <f>#REF!</f>
        <v>#REF!</v>
      </c>
      <c r="N24" s="300">
        <f aca="true" t="shared" si="20" ref="N24:BG24">N22+N8</f>
        <v>18366.22</v>
      </c>
      <c r="O24" s="300">
        <f t="shared" si="20"/>
        <v>32944.46</v>
      </c>
      <c r="P24" s="300">
        <f t="shared" si="20"/>
        <v>4515.9</v>
      </c>
      <c r="Q24" s="300">
        <f t="shared" si="20"/>
        <v>0</v>
      </c>
      <c r="R24" s="300">
        <f t="shared" si="20"/>
        <v>0</v>
      </c>
      <c r="S24" s="300">
        <f t="shared" si="20"/>
        <v>0</v>
      </c>
      <c r="T24" s="300">
        <f t="shared" si="20"/>
        <v>0</v>
      </c>
      <c r="U24" s="300">
        <f t="shared" si="20"/>
        <v>342516.04000000004</v>
      </c>
      <c r="V24" s="300">
        <f t="shared" si="20"/>
        <v>49672.43</v>
      </c>
      <c r="W24" s="300">
        <f t="shared" si="20"/>
        <v>23444.5</v>
      </c>
      <c r="X24" s="300">
        <f t="shared" si="20"/>
        <v>64807.6</v>
      </c>
      <c r="Y24" s="300">
        <f t="shared" si="20"/>
        <v>31717.019999999997</v>
      </c>
      <c r="Z24" s="300">
        <f t="shared" si="20"/>
        <v>52812.89</v>
      </c>
      <c r="AA24" s="300">
        <f t="shared" si="20"/>
        <v>107564.06000000001</v>
      </c>
      <c r="AB24" s="300">
        <f t="shared" si="20"/>
        <v>29630.08</v>
      </c>
      <c r="AC24" s="300">
        <f t="shared" si="20"/>
        <v>0</v>
      </c>
      <c r="AD24" s="300">
        <f t="shared" si="20"/>
        <v>0</v>
      </c>
      <c r="AE24" s="300">
        <f t="shared" si="20"/>
        <v>0</v>
      </c>
      <c r="AF24" s="300">
        <f t="shared" si="20"/>
        <v>309976.15</v>
      </c>
      <c r="AG24" s="300">
        <f t="shared" si="20"/>
        <v>493349.9136313</v>
      </c>
      <c r="AH24" s="300">
        <f t="shared" si="20"/>
        <v>0</v>
      </c>
      <c r="AI24" s="300">
        <f t="shared" si="20"/>
        <v>0</v>
      </c>
      <c r="AJ24" s="300">
        <f t="shared" si="20"/>
        <v>2412</v>
      </c>
      <c r="AK24" s="300">
        <f t="shared" si="20"/>
        <v>30136.383</v>
      </c>
      <c r="AL24" s="300">
        <f t="shared" si="20"/>
        <v>9728.5712304</v>
      </c>
      <c r="AM24" s="300">
        <f t="shared" si="20"/>
        <v>48335.112637989994</v>
      </c>
      <c r="AN24" s="300">
        <f t="shared" si="20"/>
        <v>3167.0729999999994</v>
      </c>
      <c r="AO24" s="300">
        <f t="shared" si="20"/>
        <v>63631.776399422</v>
      </c>
      <c r="AP24" s="300">
        <f t="shared" si="20"/>
        <v>89733.4830170148</v>
      </c>
      <c r="AQ24" s="300">
        <f t="shared" si="20"/>
        <v>11310.975000000002</v>
      </c>
      <c r="AR24" s="300">
        <f t="shared" si="20"/>
        <v>11310.975000000002</v>
      </c>
      <c r="AS24" s="300">
        <f t="shared" si="20"/>
        <v>8672.955</v>
      </c>
      <c r="AT24" s="300">
        <f t="shared" si="20"/>
        <v>3301.6499999999996</v>
      </c>
      <c r="AU24" s="300">
        <f t="shared" si="20"/>
        <v>67248.624</v>
      </c>
      <c r="AV24" s="300">
        <f t="shared" si="20"/>
        <v>6497</v>
      </c>
      <c r="AW24" s="301">
        <f t="shared" si="20"/>
        <v>375023.88</v>
      </c>
      <c r="AX24" s="301">
        <f t="shared" si="20"/>
        <v>5597.1828000000005</v>
      </c>
      <c r="AY24" s="301">
        <f t="shared" si="20"/>
        <v>7185.0232</v>
      </c>
      <c r="AZ24" s="301">
        <f t="shared" si="20"/>
        <v>0</v>
      </c>
      <c r="BA24" s="301">
        <f t="shared" si="20"/>
        <v>0</v>
      </c>
      <c r="BB24" s="301">
        <f t="shared" si="20"/>
        <v>0</v>
      </c>
      <c r="BC24" s="301">
        <f t="shared" si="20"/>
        <v>740880.6642848267</v>
      </c>
      <c r="BD24" s="301">
        <f t="shared" si="20"/>
        <v>603</v>
      </c>
      <c r="BE24" s="301">
        <f t="shared" si="20"/>
        <v>741483.6642848267</v>
      </c>
      <c r="BF24" s="301">
        <f t="shared" si="20"/>
        <v>-245721.7506535267</v>
      </c>
      <c r="BG24" s="301">
        <f t="shared" si="20"/>
        <v>-32539.89</v>
      </c>
    </row>
    <row r="25" spans="1:59" ht="12.75">
      <c r="A25" s="5" t="s">
        <v>125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30"/>
      <c r="BF25" s="228"/>
      <c r="BG25" s="231"/>
    </row>
    <row r="26" spans="1:60" ht="12.75">
      <c r="A26" s="232" t="s">
        <v>43</v>
      </c>
      <c r="B26" s="203">
        <v>1256.6</v>
      </c>
      <c r="C26" s="172">
        <f>B26*8.55</f>
        <v>10743.93</v>
      </c>
      <c r="D26" s="503">
        <v>30.804</v>
      </c>
      <c r="E26" s="265"/>
      <c r="F26" s="265"/>
      <c r="G26" s="265">
        <v>6659.43</v>
      </c>
      <c r="H26" s="265"/>
      <c r="I26" s="265"/>
      <c r="J26" s="265"/>
      <c r="K26" s="265"/>
      <c r="L26" s="265"/>
      <c r="M26" s="265">
        <v>3234.05</v>
      </c>
      <c r="N26" s="265"/>
      <c r="O26" s="265">
        <v>1121.83</v>
      </c>
      <c r="P26" s="265"/>
      <c r="Q26" s="265"/>
      <c r="R26" s="265"/>
      <c r="S26" s="271"/>
      <c r="T26" s="292"/>
      <c r="U26" s="286">
        <f aca="true" t="shared" si="21" ref="U26:V31">E26+G26+I26+K26+M26+O26+Q26+S26</f>
        <v>11015.31</v>
      </c>
      <c r="V26" s="287">
        <f t="shared" si="21"/>
        <v>0</v>
      </c>
      <c r="W26" s="265">
        <v>0</v>
      </c>
      <c r="X26" s="265">
        <v>4945.78</v>
      </c>
      <c r="Y26" s="265">
        <v>0</v>
      </c>
      <c r="Z26" s="265">
        <v>0</v>
      </c>
      <c r="AA26" s="265">
        <v>2401.91</v>
      </c>
      <c r="AB26" s="265">
        <v>833.18</v>
      </c>
      <c r="AC26" s="265"/>
      <c r="AD26" s="265"/>
      <c r="AE26" s="271"/>
      <c r="AF26" s="272">
        <f aca="true" t="shared" si="22" ref="AF26:AF31">SUM(W26:AE26)</f>
        <v>8180.87</v>
      </c>
      <c r="AG26" s="279">
        <f aca="true" t="shared" si="23" ref="AG26:AG37">D26+V26+AF26</f>
        <v>8211.673999999999</v>
      </c>
      <c r="AH26" s="255">
        <f aca="true" t="shared" si="24" ref="AH26:AI37">AC26</f>
        <v>0</v>
      </c>
      <c r="AI26" s="255">
        <f t="shared" si="24"/>
        <v>0</v>
      </c>
      <c r="AJ26" s="256">
        <f>'[8]Т01'!$J$186+'[8]Т01'!$J$232</f>
        <v>214</v>
      </c>
      <c r="AK26" s="211">
        <f aca="true" t="shared" si="25" ref="AK26:AK31">0.67*B26</f>
        <v>841.922</v>
      </c>
      <c r="AL26" s="211">
        <f aca="true" t="shared" si="26" ref="AL26:AL37">B26*0.2</f>
        <v>251.32</v>
      </c>
      <c r="AM26" s="211">
        <f aca="true" t="shared" si="27" ref="AM26:AM37">B26*1</f>
        <v>1256.6</v>
      </c>
      <c r="AN26" s="211">
        <f aca="true" t="shared" si="28" ref="AN26:AN37">B26*0.21</f>
        <v>263.88599999999997</v>
      </c>
      <c r="AO26" s="211">
        <f aca="true" t="shared" si="29" ref="AO26:AO37">2.02*B26</f>
        <v>2538.332</v>
      </c>
      <c r="AP26" s="211">
        <f aca="true" t="shared" si="30" ref="AP26:AP37">B26*1.03</f>
        <v>1294.298</v>
      </c>
      <c r="AQ26" s="211">
        <f aca="true" t="shared" si="31" ref="AQ26:AQ37">B26*0.75</f>
        <v>942.4499999999999</v>
      </c>
      <c r="AR26" s="211">
        <f aca="true" t="shared" si="32" ref="AR26:AR37">B26*0.75</f>
        <v>942.4499999999999</v>
      </c>
      <c r="AS26" s="288">
        <f>B26*1.15</f>
        <v>1445.0899999999997</v>
      </c>
      <c r="AT26" s="257">
        <f>0.45*319</f>
        <v>143.55</v>
      </c>
      <c r="AU26" s="504">
        <v>3597</v>
      </c>
      <c r="AV26" s="258"/>
      <c r="AW26" s="258"/>
      <c r="AX26" s="258">
        <v>55.106</v>
      </c>
      <c r="AY26" s="258"/>
      <c r="AZ26" s="258"/>
      <c r="BA26" s="243"/>
      <c r="BB26" s="257"/>
      <c r="BC26" s="273">
        <f>SUM(AK26:BB26)</f>
        <v>13572.003999999999</v>
      </c>
      <c r="BD26" s="259">
        <f>'[8]Т01'!$S$186+'[8]Т01'!$S$232</f>
        <v>53.5</v>
      </c>
      <c r="BE26" s="246">
        <f>BD26+BC26</f>
        <v>13625.503999999999</v>
      </c>
      <c r="BF26" s="218">
        <f>AG26+AJ26-BE26</f>
        <v>-5199.83</v>
      </c>
      <c r="BG26" s="218">
        <f>AF26-U26</f>
        <v>-2834.4399999999996</v>
      </c>
      <c r="BH26" s="247"/>
    </row>
    <row r="27" spans="1:59" ht="12.75">
      <c r="A27" s="232" t="s">
        <v>44</v>
      </c>
      <c r="B27" s="203">
        <v>1256.6</v>
      </c>
      <c r="C27" s="172">
        <f>B27*8.55</f>
        <v>10743.93</v>
      </c>
      <c r="D27" s="503">
        <v>30.804</v>
      </c>
      <c r="E27" s="274"/>
      <c r="F27" s="274"/>
      <c r="G27" s="274">
        <v>6680.71</v>
      </c>
      <c r="H27" s="274"/>
      <c r="I27" s="274"/>
      <c r="J27" s="274"/>
      <c r="K27" s="274"/>
      <c r="L27" s="274"/>
      <c r="M27" s="274">
        <v>3244.48</v>
      </c>
      <c r="N27" s="274"/>
      <c r="O27" s="274">
        <v>1125.56</v>
      </c>
      <c r="P27" s="274"/>
      <c r="Q27" s="274"/>
      <c r="R27" s="274"/>
      <c r="S27" s="275"/>
      <c r="T27" s="292"/>
      <c r="U27" s="286">
        <f t="shared" si="21"/>
        <v>11050.75</v>
      </c>
      <c r="V27" s="287">
        <f t="shared" si="21"/>
        <v>0</v>
      </c>
      <c r="W27" s="274">
        <v>0</v>
      </c>
      <c r="X27" s="274">
        <v>8999.12</v>
      </c>
      <c r="Y27" s="274">
        <v>0</v>
      </c>
      <c r="Z27" s="274">
        <v>0</v>
      </c>
      <c r="AA27" s="274">
        <v>2816.11</v>
      </c>
      <c r="AB27" s="274">
        <v>976.8</v>
      </c>
      <c r="AC27" s="274"/>
      <c r="AD27" s="274"/>
      <c r="AE27" s="275"/>
      <c r="AF27" s="272">
        <f t="shared" si="22"/>
        <v>12792.03</v>
      </c>
      <c r="AG27" s="279">
        <f t="shared" si="23"/>
        <v>12822.834</v>
      </c>
      <c r="AH27" s="255">
        <f t="shared" si="24"/>
        <v>0</v>
      </c>
      <c r="AI27" s="255">
        <f t="shared" si="24"/>
        <v>0</v>
      </c>
      <c r="AJ27" s="256">
        <f>'[8]Т01'!$J$186+'[8]Т01'!$J$232</f>
        <v>214</v>
      </c>
      <c r="AK27" s="204">
        <f t="shared" si="25"/>
        <v>841.922</v>
      </c>
      <c r="AL27" s="211">
        <f t="shared" si="26"/>
        <v>251.32</v>
      </c>
      <c r="AM27" s="211">
        <f t="shared" si="27"/>
        <v>1256.6</v>
      </c>
      <c r="AN27" s="211">
        <f t="shared" si="28"/>
        <v>263.88599999999997</v>
      </c>
      <c r="AO27" s="211">
        <f t="shared" si="29"/>
        <v>2538.332</v>
      </c>
      <c r="AP27" s="211">
        <f t="shared" si="30"/>
        <v>1294.298</v>
      </c>
      <c r="AQ27" s="211">
        <f t="shared" si="31"/>
        <v>942.4499999999999</v>
      </c>
      <c r="AR27" s="211">
        <f t="shared" si="32"/>
        <v>942.4499999999999</v>
      </c>
      <c r="AS27" s="288">
        <f>B27*1.15</f>
        <v>1445.0899999999997</v>
      </c>
      <c r="AT27" s="257">
        <f>0.45*319</f>
        <v>143.55</v>
      </c>
      <c r="AU27" s="504"/>
      <c r="AV27" s="258"/>
      <c r="AW27" s="258"/>
      <c r="AX27" s="258">
        <v>55.106</v>
      </c>
      <c r="AY27" s="258"/>
      <c r="AZ27" s="258"/>
      <c r="BA27" s="243"/>
      <c r="BB27" s="257"/>
      <c r="BC27" s="249">
        <f>SUM(AK27:BB27)</f>
        <v>9975.003999999999</v>
      </c>
      <c r="BD27" s="259">
        <f>'[8]Т01'!$S$186+'[8]Т01'!$S$232</f>
        <v>53.5</v>
      </c>
      <c r="BE27" s="246">
        <f aca="true" t="shared" si="33" ref="BE27:BE37">BD27+BC27</f>
        <v>10028.503999999999</v>
      </c>
      <c r="BF27" s="218">
        <f aca="true" t="shared" si="34" ref="BF27:BF37">AG27+AJ27-BE27</f>
        <v>3008.3300000000017</v>
      </c>
      <c r="BG27" s="218">
        <f aca="true" t="shared" si="35" ref="BG27:BG37">AF27-U27</f>
        <v>1741.2800000000007</v>
      </c>
    </row>
    <row r="28" spans="1:59" ht="12.75">
      <c r="A28" s="232" t="s">
        <v>45</v>
      </c>
      <c r="B28" s="203">
        <v>1256.6</v>
      </c>
      <c r="C28" s="172">
        <f>B28*8.55</f>
        <v>10743.93</v>
      </c>
      <c r="D28" s="503">
        <v>30.804</v>
      </c>
      <c r="E28" s="274"/>
      <c r="F28" s="274"/>
      <c r="G28" s="274">
        <v>6659.43</v>
      </c>
      <c r="H28" s="274"/>
      <c r="I28" s="274"/>
      <c r="J28" s="274"/>
      <c r="K28" s="274"/>
      <c r="L28" s="274"/>
      <c r="M28" s="274">
        <v>3234.05</v>
      </c>
      <c r="N28" s="274"/>
      <c r="O28" s="274">
        <v>1121.83</v>
      </c>
      <c r="P28" s="274"/>
      <c r="Q28" s="274"/>
      <c r="R28" s="274"/>
      <c r="S28" s="275"/>
      <c r="T28" s="292"/>
      <c r="U28" s="286">
        <f t="shared" si="21"/>
        <v>11015.31</v>
      </c>
      <c r="V28" s="287">
        <f t="shared" si="21"/>
        <v>0</v>
      </c>
      <c r="W28" s="265">
        <v>0</v>
      </c>
      <c r="X28" s="265">
        <v>5970.04</v>
      </c>
      <c r="Y28" s="265">
        <v>0</v>
      </c>
      <c r="Z28" s="265">
        <v>0</v>
      </c>
      <c r="AA28" s="265">
        <v>2861.83</v>
      </c>
      <c r="AB28" s="265">
        <v>992.85</v>
      </c>
      <c r="AC28" s="265"/>
      <c r="AD28" s="265"/>
      <c r="AE28" s="271"/>
      <c r="AF28" s="272">
        <f t="shared" si="22"/>
        <v>9824.72</v>
      </c>
      <c r="AG28" s="279">
        <f t="shared" si="23"/>
        <v>9855.524</v>
      </c>
      <c r="AH28" s="255">
        <f t="shared" si="24"/>
        <v>0</v>
      </c>
      <c r="AI28" s="255">
        <f t="shared" si="24"/>
        <v>0</v>
      </c>
      <c r="AJ28" s="256">
        <f>'[8]Т01'!$J$186+'[8]Т01'!$J$232</f>
        <v>214</v>
      </c>
      <c r="AK28" s="204">
        <f t="shared" si="25"/>
        <v>841.922</v>
      </c>
      <c r="AL28" s="211">
        <f t="shared" si="26"/>
        <v>251.32</v>
      </c>
      <c r="AM28" s="211">
        <f t="shared" si="27"/>
        <v>1256.6</v>
      </c>
      <c r="AN28" s="211">
        <f t="shared" si="28"/>
        <v>263.88599999999997</v>
      </c>
      <c r="AO28" s="211">
        <f t="shared" si="29"/>
        <v>2538.332</v>
      </c>
      <c r="AP28" s="211">
        <f t="shared" si="30"/>
        <v>1294.298</v>
      </c>
      <c r="AQ28" s="211">
        <f t="shared" si="31"/>
        <v>942.4499999999999</v>
      </c>
      <c r="AR28" s="211">
        <f t="shared" si="32"/>
        <v>942.4499999999999</v>
      </c>
      <c r="AS28" s="288">
        <f>B28*1.15</f>
        <v>1445.0899999999997</v>
      </c>
      <c r="AT28" s="257">
        <f>0.45*319</f>
        <v>143.55</v>
      </c>
      <c r="AU28" s="504"/>
      <c r="AV28" s="258"/>
      <c r="AW28" s="258"/>
      <c r="AX28" s="258">
        <v>55.106</v>
      </c>
      <c r="AY28" s="258"/>
      <c r="AZ28" s="258"/>
      <c r="BA28" s="243"/>
      <c r="BB28" s="257"/>
      <c r="BC28" s="273">
        <f>SUM(AK28:BB28)</f>
        <v>9975.003999999999</v>
      </c>
      <c r="BD28" s="259">
        <f>'[8]Т01'!$S$186+'[8]Т01'!$S$232</f>
        <v>53.5</v>
      </c>
      <c r="BE28" s="246">
        <f t="shared" si="33"/>
        <v>10028.503999999999</v>
      </c>
      <c r="BF28" s="218">
        <f t="shared" si="34"/>
        <v>41.02000000000044</v>
      </c>
      <c r="BG28" s="218">
        <f t="shared" si="35"/>
        <v>-1190.5900000000001</v>
      </c>
    </row>
    <row r="29" spans="1:59" ht="12.75">
      <c r="A29" s="232" t="s">
        <v>46</v>
      </c>
      <c r="B29" s="203">
        <v>1256.6</v>
      </c>
      <c r="C29" s="172">
        <f>B29*8.55</f>
        <v>10743.93</v>
      </c>
      <c r="D29" s="503">
        <v>30.804</v>
      </c>
      <c r="E29" s="274"/>
      <c r="F29" s="274"/>
      <c r="G29" s="274">
        <v>6659.43</v>
      </c>
      <c r="H29" s="274"/>
      <c r="I29" s="274"/>
      <c r="J29" s="274"/>
      <c r="K29" s="274"/>
      <c r="L29" s="274"/>
      <c r="M29" s="274">
        <v>3234.05</v>
      </c>
      <c r="N29" s="274"/>
      <c r="O29" s="274">
        <v>1121.83</v>
      </c>
      <c r="P29" s="274"/>
      <c r="Q29" s="274"/>
      <c r="R29" s="274"/>
      <c r="S29" s="275"/>
      <c r="T29" s="292"/>
      <c r="U29" s="286">
        <f t="shared" si="21"/>
        <v>11015.31</v>
      </c>
      <c r="V29" s="287">
        <f t="shared" si="21"/>
        <v>0</v>
      </c>
      <c r="W29" s="290">
        <v>0</v>
      </c>
      <c r="X29" s="290">
        <v>5909.57</v>
      </c>
      <c r="Y29" s="290">
        <v>0</v>
      </c>
      <c r="Z29" s="290">
        <v>0</v>
      </c>
      <c r="AA29" s="290">
        <v>2776.74</v>
      </c>
      <c r="AB29" s="290">
        <v>963.34</v>
      </c>
      <c r="AC29" s="290"/>
      <c r="AD29" s="290"/>
      <c r="AE29" s="291"/>
      <c r="AF29" s="272">
        <f t="shared" si="22"/>
        <v>9649.65</v>
      </c>
      <c r="AG29" s="279">
        <f t="shared" si="23"/>
        <v>9680.454</v>
      </c>
      <c r="AH29" s="255">
        <f t="shared" si="24"/>
        <v>0</v>
      </c>
      <c r="AI29" s="255">
        <f t="shared" si="24"/>
        <v>0</v>
      </c>
      <c r="AJ29" s="256">
        <f>'[8]Т01'!$J$186+'[8]Т01'!$J$232</f>
        <v>214</v>
      </c>
      <c r="AK29" s="204">
        <f t="shared" si="25"/>
        <v>841.922</v>
      </c>
      <c r="AL29" s="211">
        <f t="shared" si="26"/>
        <v>251.32</v>
      </c>
      <c r="AM29" s="211">
        <f t="shared" si="27"/>
        <v>1256.6</v>
      </c>
      <c r="AN29" s="211">
        <f t="shared" si="28"/>
        <v>263.88599999999997</v>
      </c>
      <c r="AO29" s="211">
        <f t="shared" si="29"/>
        <v>2538.332</v>
      </c>
      <c r="AP29" s="211">
        <f t="shared" si="30"/>
        <v>1294.298</v>
      </c>
      <c r="AQ29" s="211">
        <f t="shared" si="31"/>
        <v>942.4499999999999</v>
      </c>
      <c r="AR29" s="211">
        <f t="shared" si="32"/>
        <v>942.4499999999999</v>
      </c>
      <c r="AS29" s="288"/>
      <c r="AT29" s="257">
        <f>0.45*319</f>
        <v>143.55</v>
      </c>
      <c r="AU29" s="504"/>
      <c r="AV29" s="258"/>
      <c r="AW29" s="258"/>
      <c r="AX29" s="258">
        <v>55.106</v>
      </c>
      <c r="AY29" s="258"/>
      <c r="AZ29" s="258"/>
      <c r="BA29" s="243"/>
      <c r="BB29" s="257"/>
      <c r="BC29" s="273">
        <f>SUM(AK29:BB29)</f>
        <v>8529.913999999999</v>
      </c>
      <c r="BD29" s="259">
        <f>'[8]Т01'!$S$186+'[8]Т01'!$S$232</f>
        <v>53.5</v>
      </c>
      <c r="BE29" s="246">
        <f t="shared" si="33"/>
        <v>8583.413999999999</v>
      </c>
      <c r="BF29" s="218">
        <f t="shared" si="34"/>
        <v>1311.0400000000009</v>
      </c>
      <c r="BG29" s="218">
        <f t="shared" si="35"/>
        <v>-1365.6599999999999</v>
      </c>
    </row>
    <row r="30" spans="1:59" ht="12.75">
      <c r="A30" s="232" t="s">
        <v>47</v>
      </c>
      <c r="B30" s="203">
        <v>1256.6</v>
      </c>
      <c r="C30" s="172">
        <f>B30*8.55</f>
        <v>10743.93</v>
      </c>
      <c r="D30" s="503">
        <v>30.804</v>
      </c>
      <c r="E30" s="274"/>
      <c r="F30" s="274"/>
      <c r="G30" s="274">
        <v>6659.43</v>
      </c>
      <c r="H30" s="274"/>
      <c r="I30" s="274"/>
      <c r="J30" s="274"/>
      <c r="K30" s="274"/>
      <c r="L30" s="274"/>
      <c r="M30" s="274">
        <v>3234.05</v>
      </c>
      <c r="N30" s="274"/>
      <c r="O30" s="274">
        <v>1121.83</v>
      </c>
      <c r="P30" s="274"/>
      <c r="Q30" s="274"/>
      <c r="R30" s="274"/>
      <c r="S30" s="275"/>
      <c r="T30" s="292"/>
      <c r="U30" s="286">
        <f t="shared" si="21"/>
        <v>11015.31</v>
      </c>
      <c r="V30" s="287">
        <f t="shared" si="21"/>
        <v>0</v>
      </c>
      <c r="W30" s="290">
        <v>0</v>
      </c>
      <c r="X30" s="290">
        <v>5621.85</v>
      </c>
      <c r="Y30" s="290">
        <v>0</v>
      </c>
      <c r="Z30" s="290">
        <v>0</v>
      </c>
      <c r="AA30" s="290">
        <v>2848.36</v>
      </c>
      <c r="AB30" s="290">
        <v>988.03</v>
      </c>
      <c r="AC30" s="290"/>
      <c r="AD30" s="290"/>
      <c r="AE30" s="290"/>
      <c r="AF30" s="272">
        <f t="shared" si="22"/>
        <v>9458.240000000002</v>
      </c>
      <c r="AG30" s="279">
        <f t="shared" si="23"/>
        <v>9489.044000000002</v>
      </c>
      <c r="AH30" s="255">
        <f t="shared" si="24"/>
        <v>0</v>
      </c>
      <c r="AI30" s="255">
        <f t="shared" si="24"/>
        <v>0</v>
      </c>
      <c r="AJ30" s="256">
        <f>'[8]Т05'!$J$187+'[8]Т05'!$J$239</f>
        <v>214</v>
      </c>
      <c r="AK30" s="204">
        <f t="shared" si="25"/>
        <v>841.922</v>
      </c>
      <c r="AL30" s="211">
        <f t="shared" si="26"/>
        <v>251.32</v>
      </c>
      <c r="AM30" s="211">
        <f t="shared" si="27"/>
        <v>1256.6</v>
      </c>
      <c r="AN30" s="211">
        <f t="shared" si="28"/>
        <v>263.88599999999997</v>
      </c>
      <c r="AO30" s="211">
        <f t="shared" si="29"/>
        <v>2538.332</v>
      </c>
      <c r="AP30" s="211">
        <f t="shared" si="30"/>
        <v>1294.298</v>
      </c>
      <c r="AQ30" s="211">
        <f t="shared" si="31"/>
        <v>942.4499999999999</v>
      </c>
      <c r="AR30" s="211">
        <f t="shared" si="32"/>
        <v>942.4499999999999</v>
      </c>
      <c r="AS30" s="288"/>
      <c r="AT30" s="257">
        <f>0.45*319</f>
        <v>143.55</v>
      </c>
      <c r="AU30" s="504">
        <v>2424</v>
      </c>
      <c r="AV30" s="258"/>
      <c r="AW30" s="258"/>
      <c r="AX30" s="258">
        <f>250.106</f>
        <v>250.106</v>
      </c>
      <c r="AY30" s="258"/>
      <c r="AZ30" s="258"/>
      <c r="BA30" s="243"/>
      <c r="BB30" s="257"/>
      <c r="BC30" s="273">
        <f>SUM(AK30:BB30)</f>
        <v>11148.913999999999</v>
      </c>
      <c r="BD30" s="259">
        <f>'[8]Т05'!$S$187+'[8]Т05'!$S$239</f>
        <v>53.5</v>
      </c>
      <c r="BE30" s="246">
        <f t="shared" si="33"/>
        <v>11202.413999999999</v>
      </c>
      <c r="BF30" s="218">
        <f t="shared" si="34"/>
        <v>-1499.3699999999972</v>
      </c>
      <c r="BG30" s="218">
        <f t="shared" si="35"/>
        <v>-1557.069999999998</v>
      </c>
    </row>
    <row r="31" spans="1:59" ht="12.75">
      <c r="A31" s="232" t="s">
        <v>48</v>
      </c>
      <c r="B31" s="203">
        <v>1256.6</v>
      </c>
      <c r="C31" s="172">
        <f>B31*8.55</f>
        <v>10743.93</v>
      </c>
      <c r="D31" s="503">
        <v>30.804</v>
      </c>
      <c r="E31" s="274"/>
      <c r="F31" s="274"/>
      <c r="G31" s="274">
        <v>6682.51</v>
      </c>
      <c r="H31" s="274"/>
      <c r="I31" s="274"/>
      <c r="J31" s="274"/>
      <c r="K31" s="274"/>
      <c r="L31" s="274"/>
      <c r="M31" s="274">
        <v>3245.39</v>
      </c>
      <c r="N31" s="274"/>
      <c r="O31" s="274">
        <v>1125.88</v>
      </c>
      <c r="P31" s="274"/>
      <c r="Q31" s="274"/>
      <c r="R31" s="274"/>
      <c r="S31" s="275"/>
      <c r="T31" s="292"/>
      <c r="U31" s="286">
        <f t="shared" si="21"/>
        <v>11053.779999999999</v>
      </c>
      <c r="V31" s="287">
        <f t="shared" si="21"/>
        <v>0</v>
      </c>
      <c r="W31" s="290"/>
      <c r="X31" s="505">
        <v>5270.3</v>
      </c>
      <c r="Y31" s="290"/>
      <c r="Z31" s="290"/>
      <c r="AA31" s="505">
        <v>2633.54</v>
      </c>
      <c r="AB31" s="505">
        <v>913.63</v>
      </c>
      <c r="AC31" s="290"/>
      <c r="AD31" s="505"/>
      <c r="AE31" s="506"/>
      <c r="AF31" s="272">
        <f t="shared" si="22"/>
        <v>8817.47</v>
      </c>
      <c r="AG31" s="279">
        <f t="shared" si="23"/>
        <v>8848.274</v>
      </c>
      <c r="AH31" s="255">
        <f t="shared" si="24"/>
        <v>0</v>
      </c>
      <c r="AI31" s="255">
        <f t="shared" si="24"/>
        <v>0</v>
      </c>
      <c r="AJ31" s="256">
        <f>'[8]Т06'!$J$218+'[8]Т06'!$J$270</f>
        <v>214</v>
      </c>
      <c r="AK31" s="204">
        <f t="shared" si="25"/>
        <v>841.922</v>
      </c>
      <c r="AL31" s="211">
        <f t="shared" si="26"/>
        <v>251.32</v>
      </c>
      <c r="AM31" s="211">
        <f t="shared" si="27"/>
        <v>1256.6</v>
      </c>
      <c r="AN31" s="211">
        <f t="shared" si="28"/>
        <v>263.88599999999997</v>
      </c>
      <c r="AO31" s="211">
        <f t="shared" si="29"/>
        <v>2538.332</v>
      </c>
      <c r="AP31" s="211">
        <f t="shared" si="30"/>
        <v>1294.298</v>
      </c>
      <c r="AQ31" s="211">
        <f t="shared" si="31"/>
        <v>942.4499999999999</v>
      </c>
      <c r="AR31" s="211">
        <f t="shared" si="32"/>
        <v>942.4499999999999</v>
      </c>
      <c r="AS31" s="288"/>
      <c r="AT31" s="257">
        <f>0.45*319</f>
        <v>143.55</v>
      </c>
      <c r="AU31" s="504"/>
      <c r="AV31" s="258"/>
      <c r="AW31" s="258"/>
      <c r="AX31" s="258">
        <f>55.106</f>
        <v>55.106</v>
      </c>
      <c r="AY31" s="258"/>
      <c r="AZ31" s="258"/>
      <c r="BA31" s="243"/>
      <c r="BB31" s="257"/>
      <c r="BC31" s="273">
        <f>SUM(AK31:BB31)</f>
        <v>8529.913999999999</v>
      </c>
      <c r="BD31" s="259">
        <f>'[8]Т06'!$S$218+'[8]Т06'!$S$270</f>
        <v>53.5</v>
      </c>
      <c r="BE31" s="246">
        <f t="shared" si="33"/>
        <v>8583.413999999999</v>
      </c>
      <c r="BF31" s="218">
        <f t="shared" si="34"/>
        <v>478.8600000000006</v>
      </c>
      <c r="BG31" s="218">
        <f t="shared" si="35"/>
        <v>-2236.3099999999995</v>
      </c>
    </row>
    <row r="32" spans="1:59" ht="12.75">
      <c r="A32" s="232" t="s">
        <v>49</v>
      </c>
      <c r="B32" s="203">
        <v>1256.6</v>
      </c>
      <c r="C32" s="172">
        <f>B32*9.51</f>
        <v>11950.266</v>
      </c>
      <c r="D32" s="503">
        <v>41.223000000000006</v>
      </c>
      <c r="E32" s="274"/>
      <c r="F32" s="274"/>
      <c r="G32" s="274">
        <v>12283.49</v>
      </c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5"/>
      <c r="T32" s="292"/>
      <c r="U32" s="286">
        <f aca="true" t="shared" si="36" ref="U32:V37">G32+M32+O32+Q32+S32</f>
        <v>12283.49</v>
      </c>
      <c r="V32" s="507">
        <f t="shared" si="36"/>
        <v>0</v>
      </c>
      <c r="W32" s="290"/>
      <c r="X32" s="265">
        <v>5104.01</v>
      </c>
      <c r="Y32" s="290"/>
      <c r="Z32" s="290"/>
      <c r="AA32" s="265">
        <v>2518.38</v>
      </c>
      <c r="AB32" s="265">
        <v>873.49</v>
      </c>
      <c r="AC32" s="290"/>
      <c r="AD32" s="265"/>
      <c r="AE32" s="271"/>
      <c r="AF32" s="272">
        <f aca="true" t="shared" si="37" ref="AF32:AF37">SUM(X32:AE32)</f>
        <v>8495.880000000001</v>
      </c>
      <c r="AG32" s="279">
        <f t="shared" si="23"/>
        <v>8537.103000000001</v>
      </c>
      <c r="AH32" s="508">
        <v>0</v>
      </c>
      <c r="AI32" s="255">
        <f t="shared" si="24"/>
        <v>0</v>
      </c>
      <c r="AJ32" s="256">
        <f>'[8]Т07'!$J$220+'[8]Т07'!$J$272</f>
        <v>214</v>
      </c>
      <c r="AK32" s="211">
        <f>0.75*B32</f>
        <v>942.4499999999999</v>
      </c>
      <c r="AL32" s="211">
        <f t="shared" si="26"/>
        <v>251.32</v>
      </c>
      <c r="AM32" s="211">
        <f t="shared" si="27"/>
        <v>1256.6</v>
      </c>
      <c r="AN32" s="211">
        <f t="shared" si="28"/>
        <v>263.88599999999997</v>
      </c>
      <c r="AO32" s="211">
        <f t="shared" si="29"/>
        <v>2538.332</v>
      </c>
      <c r="AP32" s="211">
        <f t="shared" si="30"/>
        <v>1294.298</v>
      </c>
      <c r="AQ32" s="211">
        <f t="shared" si="31"/>
        <v>942.4499999999999</v>
      </c>
      <c r="AR32" s="211">
        <f t="shared" si="32"/>
        <v>942.4499999999999</v>
      </c>
      <c r="AS32" s="288"/>
      <c r="AT32" s="257">
        <f>0.45*319</f>
        <v>143.55</v>
      </c>
      <c r="AU32" s="504"/>
      <c r="AV32" s="258"/>
      <c r="AW32" s="258"/>
      <c r="AX32" s="258">
        <f>55.11</f>
        <v>55.11</v>
      </c>
      <c r="AY32" s="258"/>
      <c r="AZ32" s="258"/>
      <c r="BA32" s="243"/>
      <c r="BB32" s="257"/>
      <c r="BC32" s="273">
        <f>SUM(AK32:BB32)</f>
        <v>8630.446</v>
      </c>
      <c r="BD32" s="259">
        <f>'[8]Т07'!$S$220+'[8]Т07'!$S$272</f>
        <v>53.5</v>
      </c>
      <c r="BE32" s="246">
        <f t="shared" si="33"/>
        <v>8683.946</v>
      </c>
      <c r="BF32" s="218">
        <f t="shared" si="34"/>
        <v>67.15700000000106</v>
      </c>
      <c r="BG32" s="218">
        <f t="shared" si="35"/>
        <v>-3787.6099999999988</v>
      </c>
    </row>
    <row r="33" spans="1:59" ht="12.75">
      <c r="A33" s="232" t="s">
        <v>50</v>
      </c>
      <c r="B33" s="203">
        <v>1256.6</v>
      </c>
      <c r="C33" s="172">
        <f>B33*9.51</f>
        <v>11950.266</v>
      </c>
      <c r="D33" s="503"/>
      <c r="E33" s="274"/>
      <c r="F33" s="274"/>
      <c r="G33" s="274">
        <v>12253.03</v>
      </c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5"/>
      <c r="T33" s="292"/>
      <c r="U33" s="286">
        <f t="shared" si="36"/>
        <v>12253.03</v>
      </c>
      <c r="V33" s="507">
        <f t="shared" si="36"/>
        <v>0</v>
      </c>
      <c r="W33" s="290"/>
      <c r="X33" s="265">
        <v>11380.87</v>
      </c>
      <c r="Y33" s="290"/>
      <c r="Z33" s="290"/>
      <c r="AA33" s="265">
        <v>792.1</v>
      </c>
      <c r="AB33" s="265">
        <v>274.84</v>
      </c>
      <c r="AC33" s="290"/>
      <c r="AD33" s="265"/>
      <c r="AE33" s="271"/>
      <c r="AF33" s="272">
        <f t="shared" si="37"/>
        <v>12447.810000000001</v>
      </c>
      <c r="AG33" s="279">
        <f t="shared" si="23"/>
        <v>12447.810000000001</v>
      </c>
      <c r="AH33" s="508">
        <v>0</v>
      </c>
      <c r="AI33" s="255">
        <f t="shared" si="24"/>
        <v>0</v>
      </c>
      <c r="AJ33" s="256">
        <f>'[8]Т08'!$J$220+'[8]Т08'!$J$272</f>
        <v>214</v>
      </c>
      <c r="AK33" s="211">
        <f>0.75*B33</f>
        <v>942.4499999999999</v>
      </c>
      <c r="AL33" s="211">
        <f t="shared" si="26"/>
        <v>251.32</v>
      </c>
      <c r="AM33" s="211">
        <f t="shared" si="27"/>
        <v>1256.6</v>
      </c>
      <c r="AN33" s="211">
        <f t="shared" si="28"/>
        <v>263.88599999999997</v>
      </c>
      <c r="AO33" s="211">
        <f t="shared" si="29"/>
        <v>2538.332</v>
      </c>
      <c r="AP33" s="211">
        <f t="shared" si="30"/>
        <v>1294.298</v>
      </c>
      <c r="AQ33" s="211">
        <f t="shared" si="31"/>
        <v>942.4499999999999</v>
      </c>
      <c r="AR33" s="211">
        <f t="shared" si="32"/>
        <v>942.4499999999999</v>
      </c>
      <c r="AS33" s="288"/>
      <c r="AT33" s="257">
        <f>0.45*319</f>
        <v>143.55</v>
      </c>
      <c r="AU33" s="504"/>
      <c r="AV33" s="258"/>
      <c r="AW33" s="258"/>
      <c r="AX33" s="258">
        <f>55.11</f>
        <v>55.11</v>
      </c>
      <c r="AY33" s="258"/>
      <c r="AZ33" s="258"/>
      <c r="BA33" s="243"/>
      <c r="BB33" s="257"/>
      <c r="BC33" s="273">
        <f>SUM(AK33:BB33)</f>
        <v>8630.446</v>
      </c>
      <c r="BD33" s="259">
        <f>'[8]Т08'!$S$272+'[8]Т08'!$S$220</f>
        <v>53.5</v>
      </c>
      <c r="BE33" s="246">
        <f t="shared" si="33"/>
        <v>8683.946</v>
      </c>
      <c r="BF33" s="218">
        <f t="shared" si="34"/>
        <v>3977.8640000000014</v>
      </c>
      <c r="BG33" s="218">
        <f t="shared" si="35"/>
        <v>194.78000000000065</v>
      </c>
    </row>
    <row r="34" spans="1:59" ht="12.75">
      <c r="A34" s="232" t="s">
        <v>51</v>
      </c>
      <c r="B34" s="203">
        <v>1256.6</v>
      </c>
      <c r="C34" s="172">
        <f>B34*9.51</f>
        <v>11950.266</v>
      </c>
      <c r="D34" s="503"/>
      <c r="E34" s="274"/>
      <c r="F34" s="274"/>
      <c r="G34" s="274">
        <v>12253.03</v>
      </c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5"/>
      <c r="T34" s="292"/>
      <c r="U34" s="286">
        <f t="shared" si="36"/>
        <v>12253.03</v>
      </c>
      <c r="V34" s="507">
        <f t="shared" si="36"/>
        <v>0</v>
      </c>
      <c r="W34" s="290"/>
      <c r="X34" s="265">
        <v>14385.76</v>
      </c>
      <c r="Y34" s="290"/>
      <c r="Z34" s="290"/>
      <c r="AA34" s="265">
        <v>771.94</v>
      </c>
      <c r="AB34" s="265">
        <v>267.55</v>
      </c>
      <c r="AC34" s="290"/>
      <c r="AD34" s="265"/>
      <c r="AE34" s="271"/>
      <c r="AF34" s="272">
        <f t="shared" si="37"/>
        <v>15425.25</v>
      </c>
      <c r="AG34" s="279">
        <f t="shared" si="23"/>
        <v>15425.25</v>
      </c>
      <c r="AH34" s="508">
        <v>0</v>
      </c>
      <c r="AI34" s="255">
        <f t="shared" si="24"/>
        <v>0</v>
      </c>
      <c r="AJ34" s="256">
        <f>'[8]Т09'!$J$220+'[8]Т09'!$J$272</f>
        <v>214</v>
      </c>
      <c r="AK34" s="211">
        <f>0.75*B34</f>
        <v>942.4499999999999</v>
      </c>
      <c r="AL34" s="211">
        <f t="shared" si="26"/>
        <v>251.32</v>
      </c>
      <c r="AM34" s="211">
        <f t="shared" si="27"/>
        <v>1256.6</v>
      </c>
      <c r="AN34" s="211">
        <f t="shared" si="28"/>
        <v>263.88599999999997</v>
      </c>
      <c r="AO34" s="211">
        <f t="shared" si="29"/>
        <v>2538.332</v>
      </c>
      <c r="AP34" s="211">
        <f t="shared" si="30"/>
        <v>1294.298</v>
      </c>
      <c r="AQ34" s="211">
        <f t="shared" si="31"/>
        <v>942.4499999999999</v>
      </c>
      <c r="AR34" s="211">
        <f t="shared" si="32"/>
        <v>942.4499999999999</v>
      </c>
      <c r="AS34" s="288"/>
      <c r="AT34" s="257">
        <f>0.45*319</f>
        <v>143.55</v>
      </c>
      <c r="AU34" s="504">
        <v>2626</v>
      </c>
      <c r="AV34" s="258"/>
      <c r="AW34" s="258">
        <v>375</v>
      </c>
      <c r="AX34" s="258">
        <f>240+55.11+362.8571</f>
        <v>657.9671000000001</v>
      </c>
      <c r="AY34" s="258"/>
      <c r="AZ34" s="258"/>
      <c r="BA34" s="243"/>
      <c r="BB34" s="257"/>
      <c r="BC34" s="273">
        <f>SUM(AK34:BB34)</f>
        <v>12234.3031</v>
      </c>
      <c r="BD34" s="259">
        <f>'[8]Т09'!$S$220+'[8]Т09'!$S$272</f>
        <v>53.5</v>
      </c>
      <c r="BE34" s="246">
        <f t="shared" si="33"/>
        <v>12287.8031</v>
      </c>
      <c r="BF34" s="218">
        <f t="shared" si="34"/>
        <v>3351.446900000001</v>
      </c>
      <c r="BG34" s="218">
        <f t="shared" si="35"/>
        <v>3172.2199999999993</v>
      </c>
    </row>
    <row r="35" spans="1:59" ht="12.75">
      <c r="A35" s="232" t="s">
        <v>39</v>
      </c>
      <c r="B35" s="203">
        <v>1256.6</v>
      </c>
      <c r="C35" s="172">
        <f>B35*9.51</f>
        <v>11950.266</v>
      </c>
      <c r="D35" s="503"/>
      <c r="E35" s="274"/>
      <c r="F35" s="274"/>
      <c r="G35" s="274">
        <v>12253.03</v>
      </c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5"/>
      <c r="T35" s="292"/>
      <c r="U35" s="286">
        <f t="shared" si="36"/>
        <v>12253.03</v>
      </c>
      <c r="V35" s="507">
        <f t="shared" si="36"/>
        <v>0</v>
      </c>
      <c r="W35" s="290"/>
      <c r="X35" s="265">
        <v>10204.85</v>
      </c>
      <c r="Y35" s="290"/>
      <c r="Z35" s="290"/>
      <c r="AA35" s="265">
        <v>146.61</v>
      </c>
      <c r="AB35" s="265">
        <v>50.81</v>
      </c>
      <c r="AC35" s="290"/>
      <c r="AD35" s="265"/>
      <c r="AE35" s="271"/>
      <c r="AF35" s="272">
        <f t="shared" si="37"/>
        <v>10402.27</v>
      </c>
      <c r="AG35" s="279">
        <f t="shared" si="23"/>
        <v>10402.27</v>
      </c>
      <c r="AH35" s="508">
        <v>0</v>
      </c>
      <c r="AI35" s="255">
        <f t="shared" si="24"/>
        <v>0</v>
      </c>
      <c r="AJ35" s="256">
        <f>'[8]Т10'!$J$219+'[8]Т10'!$J$271</f>
        <v>214</v>
      </c>
      <c r="AK35" s="211">
        <f>0.75*B35</f>
        <v>942.4499999999999</v>
      </c>
      <c r="AL35" s="211">
        <f t="shared" si="26"/>
        <v>251.32</v>
      </c>
      <c r="AM35" s="211">
        <f t="shared" si="27"/>
        <v>1256.6</v>
      </c>
      <c r="AN35" s="211">
        <f t="shared" si="28"/>
        <v>263.88599999999997</v>
      </c>
      <c r="AO35" s="211">
        <f t="shared" si="29"/>
        <v>2538.332</v>
      </c>
      <c r="AP35" s="211">
        <f t="shared" si="30"/>
        <v>1294.298</v>
      </c>
      <c r="AQ35" s="211">
        <f t="shared" si="31"/>
        <v>942.4499999999999</v>
      </c>
      <c r="AR35" s="211">
        <f t="shared" si="32"/>
        <v>942.4499999999999</v>
      </c>
      <c r="AS35" s="288">
        <f>B35*1.15</f>
        <v>1445.0899999999997</v>
      </c>
      <c r="AT35" s="257">
        <f>0.45*319</f>
        <v>143.55</v>
      </c>
      <c r="AU35" s="509"/>
      <c r="AV35" s="258"/>
      <c r="AW35" s="258">
        <v>188</v>
      </c>
      <c r="AX35" s="258">
        <v>412.83</v>
      </c>
      <c r="AY35" s="258"/>
      <c r="AZ35" s="258"/>
      <c r="BA35" s="243"/>
      <c r="BB35" s="257"/>
      <c r="BC35" s="273">
        <f>SUM(AK35:BB35)</f>
        <v>10621.256</v>
      </c>
      <c r="BD35" s="259">
        <f>'[8]Т10'!$S$271+'[8]Т10'!$S$219</f>
        <v>53.5</v>
      </c>
      <c r="BE35" s="246">
        <f t="shared" si="33"/>
        <v>10674.756</v>
      </c>
      <c r="BF35" s="218">
        <f t="shared" si="34"/>
        <v>-58.48599999999897</v>
      </c>
      <c r="BG35" s="218">
        <f t="shared" si="35"/>
        <v>-1850.7600000000002</v>
      </c>
    </row>
    <row r="36" spans="1:59" ht="12.75">
      <c r="A36" s="232" t="s">
        <v>40</v>
      </c>
      <c r="B36" s="510">
        <v>1256.6</v>
      </c>
      <c r="C36" s="172">
        <f>B36*9.51</f>
        <v>11950.266</v>
      </c>
      <c r="D36" s="503"/>
      <c r="E36" s="274"/>
      <c r="F36" s="274"/>
      <c r="G36" s="265">
        <v>12255.14</v>
      </c>
      <c r="H36" s="265"/>
      <c r="I36" s="274"/>
      <c r="J36" s="274"/>
      <c r="K36" s="274"/>
      <c r="L36" s="274"/>
      <c r="M36" s="265"/>
      <c r="N36" s="265"/>
      <c r="O36" s="265"/>
      <c r="P36" s="265"/>
      <c r="Q36" s="265"/>
      <c r="R36" s="265"/>
      <c r="S36" s="271"/>
      <c r="T36" s="292"/>
      <c r="U36" s="286">
        <f t="shared" si="36"/>
        <v>12255.14</v>
      </c>
      <c r="V36" s="507">
        <f t="shared" si="36"/>
        <v>0</v>
      </c>
      <c r="W36" s="290"/>
      <c r="X36" s="265">
        <v>11243.3</v>
      </c>
      <c r="Y36" s="290"/>
      <c r="Z36" s="290"/>
      <c r="AA36" s="265">
        <v>0</v>
      </c>
      <c r="AB36" s="265">
        <v>0</v>
      </c>
      <c r="AC36" s="290"/>
      <c r="AD36" s="265"/>
      <c r="AE36" s="271"/>
      <c r="AF36" s="272">
        <f t="shared" si="37"/>
        <v>11243.3</v>
      </c>
      <c r="AG36" s="279">
        <f t="shared" si="23"/>
        <v>11243.3</v>
      </c>
      <c r="AH36" s="508">
        <v>0</v>
      </c>
      <c r="AI36" s="255">
        <f t="shared" si="24"/>
        <v>0</v>
      </c>
      <c r="AJ36" s="256">
        <f>'[8]Т11'!$J$221+'[8]Т11'!$J$273</f>
        <v>214</v>
      </c>
      <c r="AK36" s="211">
        <f>0.75*B36</f>
        <v>942.4499999999999</v>
      </c>
      <c r="AL36" s="211">
        <f t="shared" si="26"/>
        <v>251.32</v>
      </c>
      <c r="AM36" s="211">
        <f t="shared" si="27"/>
        <v>1256.6</v>
      </c>
      <c r="AN36" s="211">
        <f t="shared" si="28"/>
        <v>263.88599999999997</v>
      </c>
      <c r="AO36" s="211">
        <f t="shared" si="29"/>
        <v>2538.332</v>
      </c>
      <c r="AP36" s="211">
        <f t="shared" si="30"/>
        <v>1294.298</v>
      </c>
      <c r="AQ36" s="211">
        <f t="shared" si="31"/>
        <v>942.4499999999999</v>
      </c>
      <c r="AR36" s="211">
        <f t="shared" si="32"/>
        <v>942.4499999999999</v>
      </c>
      <c r="AS36" s="288">
        <f>B36*1.15</f>
        <v>1445.0899999999997</v>
      </c>
      <c r="AT36" s="257">
        <f>0.45*319</f>
        <v>143.55</v>
      </c>
      <c r="AU36" s="504">
        <v>3514</v>
      </c>
      <c r="AV36" s="258"/>
      <c r="AW36" s="258"/>
      <c r="AX36" s="258">
        <f>1435+135.07</f>
        <v>1570.07</v>
      </c>
      <c r="AY36" s="258"/>
      <c r="AZ36" s="258"/>
      <c r="BA36" s="243"/>
      <c r="BB36" s="257"/>
      <c r="BC36" s="273">
        <f>SUM(AK36:BB36)</f>
        <v>15104.496</v>
      </c>
      <c r="BD36" s="259">
        <f>'[8]Т11'!$S$221+'[8]Т11'!$S$273</f>
        <v>53.5</v>
      </c>
      <c r="BE36" s="246">
        <f t="shared" si="33"/>
        <v>15157.996</v>
      </c>
      <c r="BF36" s="218">
        <f t="shared" si="34"/>
        <v>-3700.696</v>
      </c>
      <c r="BG36" s="218">
        <f t="shared" si="35"/>
        <v>-1011.8400000000001</v>
      </c>
    </row>
    <row r="37" spans="1:59" ht="13.5" thickBot="1">
      <c r="A37" s="232" t="s">
        <v>41</v>
      </c>
      <c r="B37" s="510">
        <v>1256.6</v>
      </c>
      <c r="C37" s="172">
        <f>B37*9.51</f>
        <v>11950.266</v>
      </c>
      <c r="D37" s="503"/>
      <c r="E37" s="265"/>
      <c r="F37" s="265"/>
      <c r="G37" s="265">
        <v>12255.68</v>
      </c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71"/>
      <c r="T37" s="292"/>
      <c r="U37" s="286">
        <f t="shared" si="36"/>
        <v>12255.68</v>
      </c>
      <c r="V37" s="507">
        <f t="shared" si="36"/>
        <v>0</v>
      </c>
      <c r="W37" s="290"/>
      <c r="X37" s="265">
        <v>21271.29</v>
      </c>
      <c r="Y37" s="265"/>
      <c r="Z37" s="265"/>
      <c r="AA37" s="265">
        <v>1014.03</v>
      </c>
      <c r="AB37" s="265">
        <v>351.52</v>
      </c>
      <c r="AC37" s="265"/>
      <c r="AD37" s="265"/>
      <c r="AE37" s="271"/>
      <c r="AF37" s="272">
        <f t="shared" si="37"/>
        <v>22636.84</v>
      </c>
      <c r="AG37" s="279">
        <f t="shared" si="23"/>
        <v>22636.84</v>
      </c>
      <c r="AH37" s="508">
        <v>0</v>
      </c>
      <c r="AI37" s="255">
        <f t="shared" si="24"/>
        <v>0</v>
      </c>
      <c r="AJ37" s="256">
        <f>'[8]Т12'!$J$224+'[8]Т12'!$J$276</f>
        <v>214</v>
      </c>
      <c r="AK37" s="211">
        <f>0.75*B37</f>
        <v>942.4499999999999</v>
      </c>
      <c r="AL37" s="211">
        <f t="shared" si="26"/>
        <v>251.32</v>
      </c>
      <c r="AM37" s="211">
        <f t="shared" si="27"/>
        <v>1256.6</v>
      </c>
      <c r="AN37" s="211">
        <f t="shared" si="28"/>
        <v>263.88599999999997</v>
      </c>
      <c r="AO37" s="211">
        <f t="shared" si="29"/>
        <v>2538.332</v>
      </c>
      <c r="AP37" s="211">
        <f t="shared" si="30"/>
        <v>1294.298</v>
      </c>
      <c r="AQ37" s="211">
        <f t="shared" si="31"/>
        <v>942.4499999999999</v>
      </c>
      <c r="AR37" s="211">
        <f t="shared" si="32"/>
        <v>942.4499999999999</v>
      </c>
      <c r="AS37" s="288">
        <f>B37*1.15</f>
        <v>1445.0899999999997</v>
      </c>
      <c r="AT37" s="257">
        <f>0.45*319</f>
        <v>143.55</v>
      </c>
      <c r="AU37" s="504"/>
      <c r="AV37" s="258">
        <v>1692</v>
      </c>
      <c r="AW37" s="258"/>
      <c r="AX37" s="258">
        <f>77.58</f>
        <v>77.58</v>
      </c>
      <c r="AY37" s="258"/>
      <c r="AZ37" s="258"/>
      <c r="BA37" s="243"/>
      <c r="BB37" s="257"/>
      <c r="BC37" s="273">
        <f>SUM(AK37:BB37)</f>
        <v>11790.006</v>
      </c>
      <c r="BD37" s="259">
        <f>'[8]Т12'!$S$224+'[8]Т12'!$S$276</f>
        <v>53.5</v>
      </c>
      <c r="BE37" s="246">
        <f t="shared" si="33"/>
        <v>11843.506</v>
      </c>
      <c r="BF37" s="218">
        <f t="shared" si="34"/>
        <v>11007.334</v>
      </c>
      <c r="BG37" s="218">
        <f t="shared" si="35"/>
        <v>10381.16</v>
      </c>
    </row>
    <row r="38" spans="1:59" s="23" customFormat="1" ht="13.5" thickBot="1">
      <c r="A38" s="293" t="s">
        <v>3</v>
      </c>
      <c r="B38" s="294"/>
      <c r="C38" s="295">
        <f aca="true" t="shared" si="38" ref="C38:AX38">SUM(C26:C37)</f>
        <v>136165.176</v>
      </c>
      <c r="D38" s="295">
        <f t="shared" si="38"/>
        <v>226.047</v>
      </c>
      <c r="E38" s="295">
        <f t="shared" si="38"/>
        <v>0</v>
      </c>
      <c r="F38" s="295">
        <f t="shared" si="38"/>
        <v>0</v>
      </c>
      <c r="G38" s="295">
        <f t="shared" si="38"/>
        <v>113554.34</v>
      </c>
      <c r="H38" s="295">
        <f t="shared" si="38"/>
        <v>0</v>
      </c>
      <c r="I38" s="295">
        <f t="shared" si="38"/>
        <v>0</v>
      </c>
      <c r="J38" s="295">
        <f t="shared" si="38"/>
        <v>0</v>
      </c>
      <c r="K38" s="295">
        <f t="shared" si="38"/>
        <v>0</v>
      </c>
      <c r="L38" s="295">
        <f t="shared" si="38"/>
        <v>0</v>
      </c>
      <c r="M38" s="295">
        <f t="shared" si="38"/>
        <v>19426.07</v>
      </c>
      <c r="N38" s="295">
        <f t="shared" si="38"/>
        <v>0</v>
      </c>
      <c r="O38" s="295">
        <f t="shared" si="38"/>
        <v>6738.759999999999</v>
      </c>
      <c r="P38" s="295">
        <f t="shared" si="38"/>
        <v>0</v>
      </c>
      <c r="Q38" s="295">
        <f t="shared" si="38"/>
        <v>0</v>
      </c>
      <c r="R38" s="295">
        <f t="shared" si="38"/>
        <v>0</v>
      </c>
      <c r="S38" s="295">
        <f t="shared" si="38"/>
        <v>0</v>
      </c>
      <c r="T38" s="295">
        <f t="shared" si="38"/>
        <v>0</v>
      </c>
      <c r="U38" s="295">
        <f t="shared" si="38"/>
        <v>139719.16999999998</v>
      </c>
      <c r="V38" s="295">
        <f t="shared" si="38"/>
        <v>0</v>
      </c>
      <c r="W38" s="295">
        <f t="shared" si="38"/>
        <v>0</v>
      </c>
      <c r="X38" s="295">
        <f t="shared" si="38"/>
        <v>110306.74000000002</v>
      </c>
      <c r="Y38" s="295">
        <f t="shared" si="38"/>
        <v>0</v>
      </c>
      <c r="Z38" s="295">
        <f t="shared" si="38"/>
        <v>0</v>
      </c>
      <c r="AA38" s="295">
        <f t="shared" si="38"/>
        <v>21581.55</v>
      </c>
      <c r="AB38" s="295">
        <f t="shared" si="38"/>
        <v>7486.040000000001</v>
      </c>
      <c r="AC38" s="295">
        <f t="shared" si="38"/>
        <v>0</v>
      </c>
      <c r="AD38" s="295">
        <f t="shared" si="38"/>
        <v>0</v>
      </c>
      <c r="AE38" s="295">
        <f t="shared" si="38"/>
        <v>0</v>
      </c>
      <c r="AF38" s="295">
        <f t="shared" si="38"/>
        <v>139374.33000000002</v>
      </c>
      <c r="AG38" s="295">
        <f t="shared" si="38"/>
        <v>139600.377</v>
      </c>
      <c r="AH38" s="295">
        <f t="shared" si="38"/>
        <v>0</v>
      </c>
      <c r="AI38" s="295">
        <f t="shared" si="38"/>
        <v>0</v>
      </c>
      <c r="AJ38" s="295">
        <f t="shared" si="38"/>
        <v>2568</v>
      </c>
      <c r="AK38" s="295">
        <f t="shared" si="38"/>
        <v>10706.232000000002</v>
      </c>
      <c r="AL38" s="295">
        <f t="shared" si="38"/>
        <v>3015.84</v>
      </c>
      <c r="AM38" s="295">
        <f t="shared" si="38"/>
        <v>15079.200000000003</v>
      </c>
      <c r="AN38" s="295">
        <f t="shared" si="38"/>
        <v>3166.6319999999996</v>
      </c>
      <c r="AO38" s="295">
        <f t="shared" si="38"/>
        <v>30459.983999999993</v>
      </c>
      <c r="AP38" s="295">
        <f t="shared" si="38"/>
        <v>15531.576000000003</v>
      </c>
      <c r="AQ38" s="295">
        <f t="shared" si="38"/>
        <v>11309.400000000001</v>
      </c>
      <c r="AR38" s="295">
        <f t="shared" si="38"/>
        <v>11309.400000000001</v>
      </c>
      <c r="AS38" s="295">
        <f t="shared" si="38"/>
        <v>8670.539999999999</v>
      </c>
      <c r="AT38" s="295">
        <f t="shared" si="38"/>
        <v>1722.5999999999997</v>
      </c>
      <c r="AU38" s="295">
        <f t="shared" si="38"/>
        <v>12161</v>
      </c>
      <c r="AV38" s="295">
        <f t="shared" si="38"/>
        <v>1692</v>
      </c>
      <c r="AW38" s="295">
        <f t="shared" si="38"/>
        <v>563</v>
      </c>
      <c r="AX38" s="295">
        <f t="shared" si="38"/>
        <v>3354.3031</v>
      </c>
      <c r="AY38" s="295">
        <f>SUM(BA26:BA37)</f>
        <v>0</v>
      </c>
      <c r="AZ38" s="295">
        <f>SUM(BC26:BC37)</f>
        <v>128741.70709999997</v>
      </c>
      <c r="BA38" s="295">
        <f>SUM(BA26:BA37)</f>
        <v>0</v>
      </c>
      <c r="BB38" s="295">
        <f>SUM(BB26:BB37)</f>
        <v>0</v>
      </c>
      <c r="BC38" s="295">
        <f>SUM(BC26:BC37)</f>
        <v>128741.70709999997</v>
      </c>
      <c r="BD38" s="295">
        <f>SUM(BD26:BD37)</f>
        <v>642</v>
      </c>
      <c r="BE38" s="295">
        <f>SUM(BE26:BE37)</f>
        <v>129383.70709999997</v>
      </c>
      <c r="BF38" s="295">
        <f>SUM(BF26:BF37)</f>
        <v>12784.669900000012</v>
      </c>
      <c r="BG38" s="295">
        <f>SUM(BG26:BG37)</f>
        <v>-344.8399999999947</v>
      </c>
    </row>
    <row r="39" spans="1:59" s="23" customFormat="1" ht="13.5" thickBot="1">
      <c r="A39" s="296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8"/>
      <c r="BF39" s="297"/>
      <c r="BG39" s="299"/>
    </row>
    <row r="40" spans="1:59" s="23" customFormat="1" ht="13.5" thickBot="1">
      <c r="A40" s="26" t="s">
        <v>52</v>
      </c>
      <c r="B40" s="297"/>
      <c r="C40" s="300">
        <f aca="true" t="shared" si="39" ref="C40:L40">C38+C24</f>
        <v>558243.221</v>
      </c>
      <c r="D40" s="300">
        <f t="shared" si="39"/>
        <v>133927.38063130004</v>
      </c>
      <c r="E40" s="300">
        <f t="shared" si="39"/>
        <v>24389.350000000002</v>
      </c>
      <c r="F40" s="300">
        <f t="shared" si="39"/>
        <v>6427.469999999999</v>
      </c>
      <c r="G40" s="300">
        <f t="shared" si="39"/>
        <v>192926.87</v>
      </c>
      <c r="H40" s="300">
        <f t="shared" si="39"/>
        <v>0</v>
      </c>
      <c r="I40" s="300">
        <f t="shared" si="39"/>
        <v>48001.80999999999</v>
      </c>
      <c r="J40" s="300">
        <f t="shared" si="39"/>
        <v>7463.199999999999</v>
      </c>
      <c r="K40" s="300">
        <f t="shared" si="39"/>
        <v>54944.19</v>
      </c>
      <c r="L40" s="300">
        <f t="shared" si="39"/>
        <v>12721.57</v>
      </c>
      <c r="M40" s="300" t="e">
        <f>#REF!</f>
        <v>#REF!</v>
      </c>
      <c r="N40" s="300">
        <f aca="true" t="shared" si="40" ref="N40:BG40">N38+N24</f>
        <v>18366.22</v>
      </c>
      <c r="O40" s="300">
        <f t="shared" si="40"/>
        <v>39683.22</v>
      </c>
      <c r="P40" s="300">
        <f t="shared" si="40"/>
        <v>4515.9</v>
      </c>
      <c r="Q40" s="300">
        <f t="shared" si="40"/>
        <v>0</v>
      </c>
      <c r="R40" s="300">
        <f t="shared" si="40"/>
        <v>0</v>
      </c>
      <c r="S40" s="300">
        <f t="shared" si="40"/>
        <v>0</v>
      </c>
      <c r="T40" s="300">
        <f t="shared" si="40"/>
        <v>0</v>
      </c>
      <c r="U40" s="300">
        <f t="shared" si="40"/>
        <v>482235.21</v>
      </c>
      <c r="V40" s="300">
        <f t="shared" si="40"/>
        <v>49672.43</v>
      </c>
      <c r="W40" s="300">
        <f t="shared" si="40"/>
        <v>23444.5</v>
      </c>
      <c r="X40" s="300">
        <f t="shared" si="40"/>
        <v>175114.34000000003</v>
      </c>
      <c r="Y40" s="300">
        <f t="shared" si="40"/>
        <v>31717.019999999997</v>
      </c>
      <c r="Z40" s="300">
        <f t="shared" si="40"/>
        <v>52812.89</v>
      </c>
      <c r="AA40" s="300">
        <f t="shared" si="40"/>
        <v>129145.61000000002</v>
      </c>
      <c r="AB40" s="300">
        <f t="shared" si="40"/>
        <v>37116.12</v>
      </c>
      <c r="AC40" s="300">
        <f t="shared" si="40"/>
        <v>0</v>
      </c>
      <c r="AD40" s="300">
        <f t="shared" si="40"/>
        <v>0</v>
      </c>
      <c r="AE40" s="300">
        <f t="shared" si="40"/>
        <v>0</v>
      </c>
      <c r="AF40" s="300">
        <f t="shared" si="40"/>
        <v>449350.48000000004</v>
      </c>
      <c r="AG40" s="300">
        <f t="shared" si="40"/>
        <v>632950.2906313</v>
      </c>
      <c r="AH40" s="300">
        <f t="shared" si="40"/>
        <v>0</v>
      </c>
      <c r="AI40" s="300">
        <f t="shared" si="40"/>
        <v>0</v>
      </c>
      <c r="AJ40" s="300">
        <f t="shared" si="40"/>
        <v>4980</v>
      </c>
      <c r="AK40" s="300">
        <f t="shared" si="40"/>
        <v>40842.615000000005</v>
      </c>
      <c r="AL40" s="300">
        <f t="shared" si="40"/>
        <v>12744.411230400001</v>
      </c>
      <c r="AM40" s="300">
        <f t="shared" si="40"/>
        <v>63414.31263799</v>
      </c>
      <c r="AN40" s="300">
        <f t="shared" si="40"/>
        <v>6333.704999999999</v>
      </c>
      <c r="AO40" s="300">
        <f t="shared" si="40"/>
        <v>94091.760399422</v>
      </c>
      <c r="AP40" s="300">
        <f t="shared" si="40"/>
        <v>105265.0590170148</v>
      </c>
      <c r="AQ40" s="300">
        <f t="shared" si="40"/>
        <v>22620.375000000004</v>
      </c>
      <c r="AR40" s="300">
        <f t="shared" si="40"/>
        <v>22620.375000000004</v>
      </c>
      <c r="AS40" s="300">
        <f t="shared" si="40"/>
        <v>17343.495</v>
      </c>
      <c r="AT40" s="300">
        <f t="shared" si="40"/>
        <v>5024.249999999999</v>
      </c>
      <c r="AU40" s="300">
        <f t="shared" si="40"/>
        <v>79409.624</v>
      </c>
      <c r="AV40" s="300">
        <f t="shared" si="40"/>
        <v>8189</v>
      </c>
      <c r="AW40" s="301">
        <f t="shared" si="40"/>
        <v>375586.88</v>
      </c>
      <c r="AX40" s="301">
        <f t="shared" si="40"/>
        <v>8951.4859</v>
      </c>
      <c r="AY40" s="301">
        <f t="shared" si="40"/>
        <v>7185.0232</v>
      </c>
      <c r="AZ40" s="301">
        <f t="shared" si="40"/>
        <v>128741.70709999997</v>
      </c>
      <c r="BA40" s="301">
        <f t="shared" si="40"/>
        <v>0</v>
      </c>
      <c r="BB40" s="301">
        <f t="shared" si="40"/>
        <v>0</v>
      </c>
      <c r="BC40" s="301">
        <f t="shared" si="40"/>
        <v>869622.3713848267</v>
      </c>
      <c r="BD40" s="301">
        <f t="shared" si="40"/>
        <v>1245</v>
      </c>
      <c r="BE40" s="301">
        <f t="shared" si="40"/>
        <v>870867.3713848267</v>
      </c>
      <c r="BF40" s="301">
        <f t="shared" si="40"/>
        <v>-232937.08075352668</v>
      </c>
      <c r="BG40" s="301">
        <f t="shared" si="40"/>
        <v>-32884.729999999996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10.00390625" style="221" customWidth="1"/>
    <col min="2" max="2" width="10.625" style="221" customWidth="1"/>
    <col min="3" max="3" width="11.875" style="221" customWidth="1"/>
    <col min="4" max="4" width="10.125" style="221" customWidth="1"/>
    <col min="5" max="5" width="11.625" style="221" customWidth="1"/>
    <col min="6" max="6" width="9.875" style="221" customWidth="1"/>
    <col min="7" max="7" width="11.875" style="221" customWidth="1"/>
    <col min="8" max="9" width="11.375" style="221" customWidth="1"/>
    <col min="10" max="10" width="10.00390625" style="221" customWidth="1"/>
    <col min="11" max="11" width="9.875" style="221" customWidth="1"/>
    <col min="12" max="12" width="11.875" style="221" customWidth="1"/>
    <col min="13" max="13" width="10.125" style="221" customWidth="1"/>
    <col min="14" max="14" width="11.375" style="221" customWidth="1"/>
    <col min="15" max="15" width="12.625" style="221" customWidth="1"/>
    <col min="16" max="16" width="10.375" style="221" customWidth="1"/>
    <col min="17" max="17" width="10.75390625" style="221" customWidth="1"/>
    <col min="18" max="16384" width="9.125" style="221" customWidth="1"/>
  </cols>
  <sheetData>
    <row r="1" spans="2:9" ht="20.25" customHeight="1">
      <c r="B1" s="500" t="s">
        <v>53</v>
      </c>
      <c r="C1" s="500"/>
      <c r="D1" s="500"/>
      <c r="E1" s="500"/>
      <c r="F1" s="500"/>
      <c r="G1" s="500"/>
      <c r="H1" s="500"/>
      <c r="I1" s="28"/>
    </row>
    <row r="2" spans="2:12" ht="21" customHeight="1">
      <c r="B2" s="500" t="s">
        <v>54</v>
      </c>
      <c r="C2" s="500"/>
      <c r="D2" s="500"/>
      <c r="E2" s="500"/>
      <c r="F2" s="500"/>
      <c r="G2" s="500"/>
      <c r="H2" s="500"/>
      <c r="I2" s="28"/>
      <c r="K2" s="220"/>
      <c r="L2" s="220"/>
    </row>
    <row r="5" spans="1:14" ht="12.75">
      <c r="A5" s="404" t="s">
        <v>124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1:14" ht="12.75">
      <c r="A6" s="501" t="s">
        <v>127</v>
      </c>
      <c r="B6" s="501"/>
      <c r="C6" s="501"/>
      <c r="D6" s="501"/>
      <c r="E6" s="501"/>
      <c r="F6" s="501"/>
      <c r="G6" s="501"/>
      <c r="H6" s="121"/>
      <c r="I6" s="121"/>
      <c r="J6" s="121"/>
      <c r="K6" s="121"/>
      <c r="L6" s="121"/>
      <c r="M6" s="121"/>
      <c r="N6" s="121"/>
    </row>
    <row r="7" spans="1:15" ht="13.5" thickBot="1">
      <c r="A7" s="502" t="s">
        <v>55</v>
      </c>
      <c r="B7" s="502"/>
      <c r="C7" s="502"/>
      <c r="D7" s="502"/>
      <c r="E7" s="502">
        <v>9.51</v>
      </c>
      <c r="F7" s="502"/>
      <c r="I7" s="302"/>
      <c r="J7" s="302"/>
      <c r="K7" s="302"/>
      <c r="L7" s="302"/>
      <c r="M7" s="302"/>
      <c r="N7" s="302"/>
      <c r="O7" s="302"/>
    </row>
    <row r="8" spans="1:17" ht="12.75" customHeight="1">
      <c r="A8" s="405" t="s">
        <v>56</v>
      </c>
      <c r="B8" s="408" t="s">
        <v>0</v>
      </c>
      <c r="C8" s="411" t="s">
        <v>129</v>
      </c>
      <c r="D8" s="414" t="s">
        <v>2</v>
      </c>
      <c r="E8" s="417" t="s">
        <v>58</v>
      </c>
      <c r="F8" s="352"/>
      <c r="G8" s="496" t="s">
        <v>118</v>
      </c>
      <c r="H8" s="497"/>
      <c r="I8" s="303"/>
      <c r="J8" s="485" t="s">
        <v>8</v>
      </c>
      <c r="K8" s="486"/>
      <c r="L8" s="486"/>
      <c r="M8" s="486"/>
      <c r="N8" s="486"/>
      <c r="O8" s="487"/>
      <c r="P8" s="490" t="s">
        <v>59</v>
      </c>
      <c r="Q8" s="490" t="s">
        <v>10</v>
      </c>
    </row>
    <row r="9" spans="1:17" ht="12.75">
      <c r="A9" s="406"/>
      <c r="B9" s="409"/>
      <c r="C9" s="412"/>
      <c r="D9" s="415"/>
      <c r="E9" s="418"/>
      <c r="F9" s="419"/>
      <c r="G9" s="498"/>
      <c r="H9" s="499"/>
      <c r="I9" s="304"/>
      <c r="J9" s="488"/>
      <c r="K9" s="489"/>
      <c r="L9" s="489"/>
      <c r="M9" s="489"/>
      <c r="N9" s="489"/>
      <c r="O9" s="330"/>
      <c r="P9" s="491"/>
      <c r="Q9" s="491"/>
    </row>
    <row r="10" spans="1:17" ht="26.25" customHeight="1">
      <c r="A10" s="406"/>
      <c r="B10" s="409"/>
      <c r="C10" s="412"/>
      <c r="D10" s="415"/>
      <c r="E10" s="423" t="s">
        <v>60</v>
      </c>
      <c r="F10" s="378"/>
      <c r="G10" s="305" t="s">
        <v>61</v>
      </c>
      <c r="H10" s="493" t="s">
        <v>5</v>
      </c>
      <c r="I10" s="494" t="s">
        <v>119</v>
      </c>
      <c r="J10" s="426" t="s">
        <v>62</v>
      </c>
      <c r="K10" s="396" t="s">
        <v>120</v>
      </c>
      <c r="L10" s="396" t="s">
        <v>63</v>
      </c>
      <c r="M10" s="396" t="s">
        <v>35</v>
      </c>
      <c r="N10" s="397" t="s">
        <v>121</v>
      </c>
      <c r="O10" s="478" t="s">
        <v>37</v>
      </c>
      <c r="P10" s="491"/>
      <c r="Q10" s="491"/>
    </row>
    <row r="11" spans="1:17" ht="66.75" customHeight="1" thickBot="1">
      <c r="A11" s="407"/>
      <c r="B11" s="410"/>
      <c r="C11" s="413"/>
      <c r="D11" s="416"/>
      <c r="E11" s="33" t="s">
        <v>65</v>
      </c>
      <c r="F11" s="34" t="s">
        <v>19</v>
      </c>
      <c r="G11" s="202" t="s">
        <v>122</v>
      </c>
      <c r="H11" s="478"/>
      <c r="I11" s="495"/>
      <c r="J11" s="427"/>
      <c r="K11" s="397"/>
      <c r="L11" s="397"/>
      <c r="M11" s="397"/>
      <c r="N11" s="477"/>
      <c r="O11" s="479"/>
      <c r="P11" s="492"/>
      <c r="Q11" s="492"/>
    </row>
    <row r="12" spans="1:17" ht="13.5" thickBot="1">
      <c r="A12" s="36">
        <v>1</v>
      </c>
      <c r="B12" s="37">
        <v>2</v>
      </c>
      <c r="C12" s="36">
        <v>3</v>
      </c>
      <c r="D12" s="37">
        <v>4</v>
      </c>
      <c r="E12" s="36">
        <v>5</v>
      </c>
      <c r="F12" s="37">
        <v>6</v>
      </c>
      <c r="G12" s="36">
        <v>7</v>
      </c>
      <c r="H12" s="37">
        <v>8</v>
      </c>
      <c r="I12" s="36">
        <v>9</v>
      </c>
      <c r="J12" s="37">
        <v>10</v>
      </c>
      <c r="K12" s="36">
        <v>11</v>
      </c>
      <c r="L12" s="37">
        <v>12</v>
      </c>
      <c r="M12" s="36">
        <v>13</v>
      </c>
      <c r="N12" s="37">
        <v>14</v>
      </c>
      <c r="O12" s="36">
        <v>15</v>
      </c>
      <c r="P12" s="37">
        <v>16</v>
      </c>
      <c r="Q12" s="36">
        <v>17</v>
      </c>
    </row>
    <row r="13" spans="1:17" ht="13.5" hidden="1" thickBot="1">
      <c r="A13" s="480" t="s">
        <v>95</v>
      </c>
      <c r="B13" s="481"/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306"/>
      <c r="P13" s="307"/>
      <c r="Q13" s="307"/>
    </row>
    <row r="14" spans="1:19" s="23" customFormat="1" ht="13.5" hidden="1" thickBot="1">
      <c r="A14" s="68" t="s">
        <v>52</v>
      </c>
      <c r="B14" s="69"/>
      <c r="C14" s="70">
        <f>'2012 полн'!C8</f>
        <v>293132.93000000005</v>
      </c>
      <c r="D14" s="70">
        <f>'2012 полн'!D8</f>
        <v>132988.35363130004</v>
      </c>
      <c r="E14" s="70">
        <f>'2012 полн'!U8</f>
        <v>211224.61</v>
      </c>
      <c r="F14" s="70">
        <f>'2012 полн'!V8</f>
        <v>49672.43</v>
      </c>
      <c r="G14" s="70">
        <f>'2012 полн'!AF8</f>
        <v>190628.51</v>
      </c>
      <c r="H14" s="70">
        <f>'2012 полн'!AG8</f>
        <v>373289.2936313</v>
      </c>
      <c r="I14" s="70">
        <f>'2012 полн'!AJ8</f>
        <v>300</v>
      </c>
      <c r="J14" s="70">
        <f>'2012 полн'!AK8</f>
        <v>20031.912</v>
      </c>
      <c r="K14" s="70">
        <f>'2012 полн'!AL8</f>
        <v>6712.3112304000015</v>
      </c>
      <c r="L14" s="70">
        <f>'2012 полн'!AM8+'2012 полн'!AO8+'2012 полн'!AP8+'2012 полн'!AT8+'2012 полн'!AX8+'2012 полн'!AY8</f>
        <v>151790.1530544268</v>
      </c>
      <c r="M14" s="70">
        <f>'2012 полн'!AU8+'2012 полн'!AV8+'2012 полн'!AW8</f>
        <v>441781.504</v>
      </c>
      <c r="N14" s="70">
        <f>'2012 полн'!BD8</f>
        <v>75</v>
      </c>
      <c r="O14" s="70">
        <f>'2012 полн'!BE8</f>
        <v>620390.8802848267</v>
      </c>
      <c r="P14" s="70">
        <f>'2012 полн'!BF8</f>
        <v>-246801.5866535267</v>
      </c>
      <c r="Q14" s="70">
        <f>'2012 полн'!BG8</f>
        <v>-20596.100000000002</v>
      </c>
      <c r="R14" s="73"/>
      <c r="S14" s="60"/>
    </row>
    <row r="15" spans="1:19" ht="12.75" hidden="1">
      <c r="A15" s="8" t="s">
        <v>117</v>
      </c>
      <c r="B15" s="308"/>
      <c r="C15" s="61"/>
      <c r="D15" s="62"/>
      <c r="E15" s="309"/>
      <c r="F15" s="310"/>
      <c r="G15" s="311"/>
      <c r="H15" s="310"/>
      <c r="I15" s="312"/>
      <c r="J15" s="311"/>
      <c r="K15" s="313"/>
      <c r="L15" s="313"/>
      <c r="M15" s="314"/>
      <c r="N15" s="315"/>
      <c r="O15" s="316"/>
      <c r="P15" s="317"/>
      <c r="Q15" s="317"/>
      <c r="R15" s="220"/>
      <c r="S15" s="220"/>
    </row>
    <row r="16" spans="1:19" ht="12.75" hidden="1">
      <c r="A16" s="232" t="s">
        <v>43</v>
      </c>
      <c r="B16" s="318">
        <f>'2012 полн'!B10</f>
        <v>1257.3</v>
      </c>
      <c r="C16" s="45">
        <f>'2012 полн'!C10</f>
        <v>10749.915</v>
      </c>
      <c r="D16" s="46">
        <f>'2012 полн'!D10</f>
        <v>62.016</v>
      </c>
      <c r="E16" s="313">
        <f>'2012 полн'!U10</f>
        <v>10991.960000000001</v>
      </c>
      <c r="F16" s="313">
        <f>'2012 полн'!V10</f>
        <v>0</v>
      </c>
      <c r="G16" s="319">
        <f>'2012 полн'!AF10</f>
        <v>4338.469999999999</v>
      </c>
      <c r="H16" s="319">
        <f>'2012 полн'!AG10</f>
        <v>4400.485999999999</v>
      </c>
      <c r="I16" s="319">
        <f>'2012 полн'!AJ10</f>
        <v>100</v>
      </c>
      <c r="J16" s="319">
        <f>'2012 полн'!AK10</f>
        <v>842.3910000000001</v>
      </c>
      <c r="K16" s="319">
        <f>'2012 полн'!AL10</f>
        <v>251.46</v>
      </c>
      <c r="L16" s="313">
        <f>'2012 полн'!AM10+'2012 полн'!AN10+'2012 полн'!AO10+'2012 полн'!AP10+'2012 полн'!AQ10+'2012 полн'!AR10+'2012 полн'!AS10+'2012 полн'!AT10+'2012 полн'!AX10</f>
        <v>8687.943000000001</v>
      </c>
      <c r="M16" s="314">
        <f>'2012 полн'!AU10+'2012 полн'!AV10+'2012 полн'!AW10</f>
        <v>1630</v>
      </c>
      <c r="N16" s="320">
        <f>'2012 полн'!BD10</f>
        <v>25</v>
      </c>
      <c r="O16" s="316">
        <f>'2012 полн'!BE10</f>
        <v>11436.794000000002</v>
      </c>
      <c r="P16" s="317">
        <f>'2012 полн'!BF10</f>
        <v>-6936.308000000003</v>
      </c>
      <c r="Q16" s="317">
        <f>'2012 полн'!BG10</f>
        <v>-6653.490000000002</v>
      </c>
      <c r="R16" s="220"/>
      <c r="S16" s="220"/>
    </row>
    <row r="17" spans="1:19" ht="12.75" hidden="1">
      <c r="A17" s="232" t="s">
        <v>44</v>
      </c>
      <c r="B17" s="318">
        <f>'2012 полн'!B11</f>
        <v>1257.3</v>
      </c>
      <c r="C17" s="45">
        <f>'2012 полн'!C11</f>
        <v>10749.915</v>
      </c>
      <c r="D17" s="46">
        <f>'2012 полн'!D11</f>
        <v>62.016</v>
      </c>
      <c r="E17" s="313">
        <f>'2012 полн'!U11</f>
        <v>10801.859999999999</v>
      </c>
      <c r="F17" s="313">
        <f>'2012 полн'!V11</f>
        <v>0</v>
      </c>
      <c r="G17" s="319">
        <f>'2012 полн'!AF11</f>
        <v>11041.07</v>
      </c>
      <c r="H17" s="319">
        <f>'2012 полн'!AG11</f>
        <v>11103.086</v>
      </c>
      <c r="I17" s="319">
        <f>'2012 полн'!AJ11</f>
        <v>100</v>
      </c>
      <c r="J17" s="319">
        <f>'2012 полн'!AK11</f>
        <v>842.3910000000001</v>
      </c>
      <c r="K17" s="319">
        <f>'2012 полн'!AL11</f>
        <v>251.46</v>
      </c>
      <c r="L17" s="313">
        <f>'2012 полн'!AM11+'2012 полн'!AN11+'2012 полн'!AO11+'2012 полн'!AP11+'2012 полн'!AQ11+'2012 полн'!AR11+'2012 полн'!AS11+'2012 полн'!AT11+'2012 полн'!AX11</f>
        <v>8854.053</v>
      </c>
      <c r="M17" s="314">
        <f>'2012 полн'!AU11+'2012 полн'!AV11+'2012 полн'!AW11</f>
        <v>0</v>
      </c>
      <c r="N17" s="320">
        <f>'2012 полн'!BD11</f>
        <v>25</v>
      </c>
      <c r="O17" s="316">
        <f>'2012 полн'!BE11</f>
        <v>9972.904</v>
      </c>
      <c r="P17" s="317">
        <f>'2012 полн'!BF11</f>
        <v>1230.1819999999989</v>
      </c>
      <c r="Q17" s="317">
        <f>'2012 полн'!BG11</f>
        <v>239.21000000000095</v>
      </c>
      <c r="R17" s="220"/>
      <c r="S17" s="220"/>
    </row>
    <row r="18" spans="1:19" ht="12.75" hidden="1">
      <c r="A18" s="232" t="s">
        <v>45</v>
      </c>
      <c r="B18" s="318">
        <f>'2012 полн'!B12</f>
        <v>1257.3</v>
      </c>
      <c r="C18" s="45">
        <f>'2012 полн'!C12</f>
        <v>10749.915</v>
      </c>
      <c r="D18" s="46">
        <f>'2012 полн'!D12</f>
        <v>62.016</v>
      </c>
      <c r="E18" s="313">
        <f>'2012 полн'!U12</f>
        <v>10895.37</v>
      </c>
      <c r="F18" s="313">
        <f>'2012 полн'!V12</f>
        <v>0</v>
      </c>
      <c r="G18" s="319">
        <f>'2012 полн'!AF12</f>
        <v>11265.07</v>
      </c>
      <c r="H18" s="319">
        <f>'2012 полн'!AG12</f>
        <v>11327.086</v>
      </c>
      <c r="I18" s="319">
        <f>'2012 полн'!AJ12</f>
        <v>100</v>
      </c>
      <c r="J18" s="319">
        <f>'2012 полн'!AK12</f>
        <v>842.3910000000001</v>
      </c>
      <c r="K18" s="319">
        <f>'2012 полн'!AL12</f>
        <v>251.46</v>
      </c>
      <c r="L18" s="313">
        <f>'2012 полн'!AM12+'2012 полн'!AN12+'2012 полн'!AO12+'2012 полн'!AP12+'2012 полн'!AQ12+'2012 полн'!AR12+'2012 полн'!AS12+'2012 полн'!AT12+'2012 полн'!AX12</f>
        <v>8831.493</v>
      </c>
      <c r="M18" s="314">
        <f>'2012 полн'!AU12+'2012 полн'!AV12+'2012 полн'!AW12</f>
        <v>4867</v>
      </c>
      <c r="N18" s="320">
        <f>'2012 полн'!BD12</f>
        <v>25</v>
      </c>
      <c r="O18" s="316">
        <f>'2012 полн'!BE12</f>
        <v>14817.344000000001</v>
      </c>
      <c r="P18" s="317">
        <f>'2012 полн'!BF12</f>
        <v>-3390.2580000000016</v>
      </c>
      <c r="Q18" s="317">
        <f>'2012 полн'!BG12</f>
        <v>369.6999999999989</v>
      </c>
      <c r="R18" s="220"/>
      <c r="S18" s="220"/>
    </row>
    <row r="19" spans="1:19" ht="12.75" hidden="1">
      <c r="A19" s="232" t="s">
        <v>46</v>
      </c>
      <c r="B19" s="318">
        <f>'2012 полн'!B13</f>
        <v>1256.6</v>
      </c>
      <c r="C19" s="45">
        <f>'2012 полн'!C13</f>
        <v>10743.93</v>
      </c>
      <c r="D19" s="46">
        <f>'2012 полн'!D13</f>
        <v>62.016</v>
      </c>
      <c r="E19" s="313">
        <f>'2012 полн'!U13</f>
        <v>10889.39</v>
      </c>
      <c r="F19" s="313">
        <f>'2012 полн'!V13</f>
        <v>0</v>
      </c>
      <c r="G19" s="319">
        <f>'2012 полн'!AF13</f>
        <v>9671.16</v>
      </c>
      <c r="H19" s="319">
        <f>'2012 полн'!AG13</f>
        <v>9733.176</v>
      </c>
      <c r="I19" s="319">
        <f>'2012 полн'!AJ13</f>
        <v>100</v>
      </c>
      <c r="J19" s="319">
        <f>'2012 полн'!AK13</f>
        <v>841.922</v>
      </c>
      <c r="K19" s="319">
        <f>'2012 полн'!AL13</f>
        <v>251.32</v>
      </c>
      <c r="L19" s="313">
        <f>'2012 полн'!AM13+'2012 полн'!AN13+'2012 полн'!AO13+'2012 полн'!AP13+'2012 полн'!AQ13+'2012 полн'!AR13+'2012 полн'!AS13+'2012 полн'!AT13+'2012 полн'!AX13</f>
        <v>8246.565999999999</v>
      </c>
      <c r="M19" s="314">
        <f>'2012 полн'!AU13+'2012 полн'!AV13+'2012 полн'!AW13</f>
        <v>0</v>
      </c>
      <c r="N19" s="320">
        <f>'2012 полн'!BD13</f>
        <v>25</v>
      </c>
      <c r="O19" s="316">
        <f>'2012 полн'!BE13</f>
        <v>9364.807999999999</v>
      </c>
      <c r="P19" s="317">
        <f>'2012 полн'!BF13</f>
        <v>468.3680000000004</v>
      </c>
      <c r="Q19" s="317">
        <f>'2012 полн'!BG13</f>
        <v>-1218.2299999999996</v>
      </c>
      <c r="R19" s="220"/>
      <c r="S19" s="220"/>
    </row>
    <row r="20" spans="1:19" ht="12.75" hidden="1">
      <c r="A20" s="232" t="s">
        <v>47</v>
      </c>
      <c r="B20" s="318">
        <f>'2012 полн'!B14</f>
        <v>1256.6</v>
      </c>
      <c r="C20" s="45">
        <f>'2012 полн'!C14</f>
        <v>10743.93</v>
      </c>
      <c r="D20" s="46">
        <f>'2012 полн'!D14</f>
        <v>62.016</v>
      </c>
      <c r="E20" s="313">
        <f>'2012 полн'!U14</f>
        <v>10889.39</v>
      </c>
      <c r="F20" s="313">
        <f>'2012 полн'!V14</f>
        <v>0</v>
      </c>
      <c r="G20" s="319">
        <f>'2012 полн'!AF14</f>
        <v>14872.370000000003</v>
      </c>
      <c r="H20" s="319">
        <f>'2012 полн'!AG14</f>
        <v>14934.386000000002</v>
      </c>
      <c r="I20" s="319">
        <f>'2012 полн'!AJ14</f>
        <v>214</v>
      </c>
      <c r="J20" s="319">
        <f>'2012 полн'!AK14</f>
        <v>841.922</v>
      </c>
      <c r="K20" s="319">
        <f>'2012 полн'!AL14</f>
        <v>251.32</v>
      </c>
      <c r="L20" s="313">
        <f>'2012 полн'!AM14+'2012 полн'!AN14+'2012 полн'!AO14+'2012 полн'!AP14+'2012 полн'!AQ14+'2012 полн'!AR14+'2012 полн'!AS14+'2012 полн'!AT14+'2012 полн'!AX14</f>
        <v>9495.565999999999</v>
      </c>
      <c r="M20" s="314">
        <f>'2012 полн'!AU14+'2012 полн'!AV14+'2012 полн'!AW14</f>
        <v>491</v>
      </c>
      <c r="N20" s="320">
        <f>'2012 полн'!BD14</f>
        <v>53.5</v>
      </c>
      <c r="O20" s="316">
        <f>'2012 полн'!BE14</f>
        <v>11133.307999999999</v>
      </c>
      <c r="P20" s="317">
        <f>'2012 полн'!BF14</f>
        <v>4015.078000000003</v>
      </c>
      <c r="Q20" s="317">
        <f>'2012 полн'!BG14</f>
        <v>3982.980000000003</v>
      </c>
      <c r="R20" s="220"/>
      <c r="S20" s="220"/>
    </row>
    <row r="21" spans="1:19" ht="12.75" hidden="1">
      <c r="A21" s="232" t="s">
        <v>48</v>
      </c>
      <c r="B21" s="318">
        <f>'2012 полн'!B15</f>
        <v>1256.6</v>
      </c>
      <c r="C21" s="45">
        <f>'2012 полн'!C15</f>
        <v>10743.93</v>
      </c>
      <c r="D21" s="46">
        <f>'2012 полн'!D15</f>
        <v>62.016</v>
      </c>
      <c r="E21" s="313">
        <f>'2012 полн'!U15</f>
        <v>10889.39</v>
      </c>
      <c r="F21" s="313">
        <f>'2012 полн'!V15</f>
        <v>0</v>
      </c>
      <c r="G21" s="319">
        <f>'2012 полн'!AF15</f>
        <v>9832.409999999998</v>
      </c>
      <c r="H21" s="319">
        <f>'2012 полн'!AG15</f>
        <v>9894.425999999998</v>
      </c>
      <c r="I21" s="319">
        <f>'2012 полн'!AJ15</f>
        <v>214</v>
      </c>
      <c r="J21" s="319">
        <f>'2012 полн'!AK15</f>
        <v>841.922</v>
      </c>
      <c r="K21" s="319">
        <f>'2012 полн'!AL15</f>
        <v>251.32</v>
      </c>
      <c r="L21" s="313">
        <f>'2012 полн'!AM15+'2012 полн'!AN15+'2012 полн'!AO15+'2012 полн'!AP15+'2012 полн'!AQ15+'2012 полн'!AR15+'2012 полн'!AS15+'2012 полн'!AT15+'2012 полн'!AX15</f>
        <v>7381.566</v>
      </c>
      <c r="M21" s="314">
        <f>'2012 полн'!AU15+'2012 полн'!AV15+'2012 полн'!AW15</f>
        <v>0</v>
      </c>
      <c r="N21" s="320">
        <f>'2012 полн'!BD15</f>
        <v>53.5</v>
      </c>
      <c r="O21" s="316">
        <f>'2012 полн'!BE15</f>
        <v>8528.307999999999</v>
      </c>
      <c r="P21" s="317">
        <f>'2012 полн'!BF15</f>
        <v>1580.1179999999986</v>
      </c>
      <c r="Q21" s="317">
        <f>'2012 полн'!BG15</f>
        <v>-1056.9800000000014</v>
      </c>
      <c r="R21" s="220"/>
      <c r="S21" s="220"/>
    </row>
    <row r="22" spans="1:17" ht="12.75" hidden="1">
      <c r="A22" s="232" t="s">
        <v>49</v>
      </c>
      <c r="B22" s="318">
        <f>'2012 полн'!B16</f>
        <v>1256.6</v>
      </c>
      <c r="C22" s="45">
        <f>'2012 полн'!C16</f>
        <v>10743.93</v>
      </c>
      <c r="D22" s="46">
        <f>'2012 полн'!D16</f>
        <v>62.016</v>
      </c>
      <c r="E22" s="313">
        <f>'2012 полн'!U16</f>
        <v>10889.39</v>
      </c>
      <c r="F22" s="313">
        <f>'2012 полн'!V16</f>
        <v>0</v>
      </c>
      <c r="G22" s="319">
        <f>'2012 полн'!AF16</f>
        <v>9562.06</v>
      </c>
      <c r="H22" s="319">
        <f>'2012 полн'!AG16</f>
        <v>9624.076</v>
      </c>
      <c r="I22" s="319">
        <f>'2012 полн'!AJ16</f>
        <v>214</v>
      </c>
      <c r="J22" s="319">
        <f>'2012 полн'!AK16</f>
        <v>841.922</v>
      </c>
      <c r="K22" s="319">
        <f>'2012 полн'!AL16</f>
        <v>251.32</v>
      </c>
      <c r="L22" s="313">
        <f>'2012 полн'!AM16+'2012 полн'!AN16+'2012 полн'!AO16+'2012 полн'!AP16+'2012 полн'!AQ16+'2012 полн'!AR16+'2012 полн'!AS16+'2012 полн'!AT16+'2012 полн'!AX16</f>
        <v>7502.4259999999995</v>
      </c>
      <c r="M22" s="314">
        <f>'2012 полн'!AU16+'2012 полн'!AV16+'2012 полн'!AW16</f>
        <v>0</v>
      </c>
      <c r="N22" s="320">
        <f>'2012 полн'!BD16</f>
        <v>53.5</v>
      </c>
      <c r="O22" s="316">
        <f>'2012 полн'!BE16</f>
        <v>8649.168</v>
      </c>
      <c r="P22" s="317">
        <f>'2012 полн'!BF16</f>
        <v>1188.9079999999994</v>
      </c>
      <c r="Q22" s="317">
        <f>'2012 полн'!BG16</f>
        <v>-1327.33</v>
      </c>
    </row>
    <row r="23" spans="1:17" ht="12.75" hidden="1">
      <c r="A23" s="232" t="s">
        <v>50</v>
      </c>
      <c r="B23" s="318">
        <f>'2012 полн'!B17</f>
        <v>1256.6</v>
      </c>
      <c r="C23" s="45">
        <f>'2012 полн'!C17</f>
        <v>10743.93</v>
      </c>
      <c r="D23" s="46">
        <f>'2012 полн'!D17</f>
        <v>62.016</v>
      </c>
      <c r="E23" s="313">
        <f>'2012 полн'!U17</f>
        <v>10889.39</v>
      </c>
      <c r="F23" s="313">
        <f>'2012 полн'!V17</f>
        <v>0</v>
      </c>
      <c r="G23" s="319">
        <f>'2012 полн'!AF17</f>
        <v>9169.84</v>
      </c>
      <c r="H23" s="319">
        <f>'2012 полн'!AG17</f>
        <v>9231.856</v>
      </c>
      <c r="I23" s="319">
        <f>'2012 полн'!AJ17</f>
        <v>214</v>
      </c>
      <c r="J23" s="319">
        <f>'2012 полн'!AK17</f>
        <v>841.922</v>
      </c>
      <c r="K23" s="319">
        <f>'2012 полн'!AL17</f>
        <v>251.32</v>
      </c>
      <c r="L23" s="313">
        <f>'2012 полн'!AM17+'2012 полн'!AN17+'2012 полн'!AO17+'2012 полн'!AP17+'2012 полн'!AQ17+'2012 полн'!AR17+'2012 полн'!AS17+'2012 полн'!AT17+'2012 полн'!AX17</f>
        <v>7381.566</v>
      </c>
      <c r="M23" s="314">
        <f>'2012 полн'!AU17+'2012 полн'!AV17+'2012 полн'!AW17</f>
        <v>0</v>
      </c>
      <c r="N23" s="320">
        <f>'2012 полн'!BD17</f>
        <v>53.5</v>
      </c>
      <c r="O23" s="316">
        <f>'2012 полн'!BE17</f>
        <v>8528.307999999999</v>
      </c>
      <c r="P23" s="317">
        <f>'2012 полн'!BF17</f>
        <v>917.5480000000007</v>
      </c>
      <c r="Q23" s="317">
        <f>'2012 полн'!BG17</f>
        <v>-1719.5499999999993</v>
      </c>
    </row>
    <row r="24" spans="1:17" ht="12.75" hidden="1">
      <c r="A24" s="232" t="s">
        <v>51</v>
      </c>
      <c r="B24" s="318">
        <f>'2012 полн'!B18</f>
        <v>1256.6</v>
      </c>
      <c r="C24" s="45">
        <f>'2012 полн'!C18</f>
        <v>10743.93</v>
      </c>
      <c r="D24" s="46">
        <f>'2012 полн'!D18</f>
        <v>62.016</v>
      </c>
      <c r="E24" s="313">
        <f>'2012 полн'!U18</f>
        <v>11046.66</v>
      </c>
      <c r="F24" s="313">
        <f>'2012 полн'!V18</f>
        <v>0</v>
      </c>
      <c r="G24" s="319">
        <f>'2012 полн'!AF18</f>
        <v>9187.47</v>
      </c>
      <c r="H24" s="319">
        <f>'2012 полн'!AG18</f>
        <v>9249.485999999999</v>
      </c>
      <c r="I24" s="319">
        <f>'2012 полн'!AJ18</f>
        <v>214</v>
      </c>
      <c r="J24" s="319">
        <f>'2012 полн'!AK18</f>
        <v>841.922</v>
      </c>
      <c r="K24" s="319">
        <f>'2012 полн'!AL18</f>
        <v>251.32</v>
      </c>
      <c r="L24" s="313">
        <f>'2012 полн'!AM18+'2012 полн'!AN18+'2012 полн'!AO18+'2012 полн'!AP18+'2012 полн'!AQ18+'2012 полн'!AR18+'2012 полн'!AS18+'2012 полн'!AT18+'2012 полн'!AX18</f>
        <v>7594.906</v>
      </c>
      <c r="M24" s="314">
        <f>'2012 полн'!AU18+'2012 полн'!AV18+'2012 полн'!AW18</f>
        <v>0</v>
      </c>
      <c r="N24" s="320">
        <f>'2012 полн'!BD18</f>
        <v>53.5</v>
      </c>
      <c r="O24" s="316">
        <f>'2012 полн'!BE18</f>
        <v>8741.648</v>
      </c>
      <c r="P24" s="317">
        <f>'2012 полн'!BF18</f>
        <v>721.8379999999997</v>
      </c>
      <c r="Q24" s="317">
        <f>'2012 полн'!BG18</f>
        <v>-1859.1900000000005</v>
      </c>
    </row>
    <row r="25" spans="1:17" ht="12.75" hidden="1">
      <c r="A25" s="232" t="s">
        <v>39</v>
      </c>
      <c r="B25" s="318">
        <f>'2012 полн'!B19</f>
        <v>1256.6</v>
      </c>
      <c r="C25" s="45">
        <f>'2012 полн'!C19</f>
        <v>10743.93</v>
      </c>
      <c r="D25" s="46">
        <f>'2012 полн'!D19</f>
        <v>62.016</v>
      </c>
      <c r="E25" s="313">
        <f>'2012 полн'!U19</f>
        <v>11046.66</v>
      </c>
      <c r="F25" s="313">
        <f>'2012 полн'!V19</f>
        <v>0</v>
      </c>
      <c r="G25" s="319">
        <f>'2012 полн'!AF19</f>
        <v>9951.65</v>
      </c>
      <c r="H25" s="319">
        <f>'2012 полн'!AG19</f>
        <v>10013.666</v>
      </c>
      <c r="I25" s="319">
        <f>'2012 полн'!AJ19</f>
        <v>214</v>
      </c>
      <c r="J25" s="319">
        <f>'2012 полн'!AK19</f>
        <v>841.922</v>
      </c>
      <c r="K25" s="319">
        <f>'2012 полн'!AL19</f>
        <v>251.32</v>
      </c>
      <c r="L25" s="313">
        <f>'2012 полн'!AM19+'2012 полн'!AN19+'2012 полн'!AO19+'2012 полн'!AP19+'2012 полн'!AQ19+'2012 полн'!AR19+'2012 полн'!AS19+'2012 полн'!AT19+'2012 полн'!AX19</f>
        <v>8826.655999999999</v>
      </c>
      <c r="M25" s="314">
        <f>'2012 полн'!AU19+'2012 полн'!AV19+'2012 полн'!AW19</f>
        <v>0</v>
      </c>
      <c r="N25" s="320">
        <f>'2012 полн'!BD19</f>
        <v>53.5</v>
      </c>
      <c r="O25" s="316">
        <f>'2012 полн'!BE19</f>
        <v>9973.398</v>
      </c>
      <c r="P25" s="317">
        <f>'2012 полн'!BF19</f>
        <v>254.26800000000003</v>
      </c>
      <c r="Q25" s="317">
        <f>'2012 полн'!BG19</f>
        <v>-1095.0100000000002</v>
      </c>
    </row>
    <row r="26" spans="1:17" ht="12.75" hidden="1">
      <c r="A26" s="232" t="s">
        <v>40</v>
      </c>
      <c r="B26" s="318">
        <f>'2012 полн'!B20</f>
        <v>1256.6</v>
      </c>
      <c r="C26" s="45">
        <f>'2012 полн'!C20</f>
        <v>10743.93</v>
      </c>
      <c r="D26" s="46">
        <f>'2012 полн'!D20</f>
        <v>62.016</v>
      </c>
      <c r="E26" s="313">
        <f>'2012 полн'!U20</f>
        <v>11046.66</v>
      </c>
      <c r="F26" s="313">
        <f>'2012 полн'!V20</f>
        <v>0</v>
      </c>
      <c r="G26" s="319">
        <f>'2012 полн'!AF20</f>
        <v>9963.11</v>
      </c>
      <c r="H26" s="319">
        <f>'2012 полн'!AG20</f>
        <v>10025.126</v>
      </c>
      <c r="I26" s="319">
        <f>'2012 полн'!AJ20</f>
        <v>214</v>
      </c>
      <c r="J26" s="319">
        <f>'2012 полн'!AK20</f>
        <v>841.922</v>
      </c>
      <c r="K26" s="319">
        <f>'2012 полн'!AL20</f>
        <v>251.32</v>
      </c>
      <c r="L26" s="313">
        <f>'2012 полн'!AM20+'2012 полн'!AN20+'2012 полн'!AO20+'2012 полн'!AP20+'2012 полн'!AQ20+'2012 полн'!AR20+'2012 полн'!AS20+'2012 полн'!AT20+'2012 полн'!AX20</f>
        <v>8826.655999999999</v>
      </c>
      <c r="M26" s="314">
        <f>'2012 полн'!AU20+'2012 полн'!AV20+'2012 полн'!AW20</f>
        <v>0</v>
      </c>
      <c r="N26" s="320">
        <f>'2012 полн'!BD20</f>
        <v>53.5</v>
      </c>
      <c r="O26" s="316">
        <f>'2012 полн'!BE20</f>
        <v>9973.398</v>
      </c>
      <c r="P26" s="317">
        <f>'2012 полн'!BF20</f>
        <v>265.728000000001</v>
      </c>
      <c r="Q26" s="317">
        <f>'2012 полн'!BG20</f>
        <v>-1083.5499999999993</v>
      </c>
    </row>
    <row r="27" spans="1:17" ht="13.5" hidden="1" thickBot="1">
      <c r="A27" s="321" t="s">
        <v>41</v>
      </c>
      <c r="B27" s="318">
        <f>'2012 полн'!B21</f>
        <v>1256.6</v>
      </c>
      <c r="C27" s="45">
        <f>'2012 полн'!C21</f>
        <v>10743.93</v>
      </c>
      <c r="D27" s="46">
        <f>'2012 полн'!D21</f>
        <v>30.804</v>
      </c>
      <c r="E27" s="313">
        <f>'2012 полн'!U21</f>
        <v>11015.31</v>
      </c>
      <c r="F27" s="313">
        <f>'2012 полн'!V21</f>
        <v>0</v>
      </c>
      <c r="G27" s="319">
        <f>'2012 полн'!AF21</f>
        <v>10492.960000000001</v>
      </c>
      <c r="H27" s="319">
        <f>'2012 полн'!AG21</f>
        <v>10523.764000000001</v>
      </c>
      <c r="I27" s="319">
        <f>'2012 полн'!AJ21</f>
        <v>214</v>
      </c>
      <c r="J27" s="319">
        <f>'2012 полн'!AK21</f>
        <v>841.922</v>
      </c>
      <c r="K27" s="319">
        <f>'2012 полн'!AL21</f>
        <v>251.32</v>
      </c>
      <c r="L27" s="313">
        <f>'2012 полн'!AM21+'2012 полн'!AN21+'2012 полн'!AO21+'2012 полн'!AP21+'2012 полн'!AQ21+'2012 полн'!AR21+'2012 полн'!AS21+'2012 полн'!AT21+'2012 полн'!AX21</f>
        <v>8826.655999999999</v>
      </c>
      <c r="M27" s="314">
        <f>'2012 полн'!AU21+'2012 полн'!AV21+'2012 полн'!AW21</f>
        <v>0</v>
      </c>
      <c r="N27" s="320">
        <f>'2012 полн'!BD21</f>
        <v>53.5</v>
      </c>
      <c r="O27" s="316">
        <f>'2012 полн'!BE21</f>
        <v>9973.398</v>
      </c>
      <c r="P27" s="317">
        <f>'2012 полн'!BF21</f>
        <v>764.3660000000018</v>
      </c>
      <c r="Q27" s="317">
        <f>'2012 полн'!BG21</f>
        <v>-522.3499999999985</v>
      </c>
    </row>
    <row r="28" spans="1:19" s="23" customFormat="1" ht="13.5" hidden="1" thickBot="1">
      <c r="A28" s="52" t="s">
        <v>3</v>
      </c>
      <c r="B28" s="53"/>
      <c r="C28" s="58">
        <f aca="true" t="shared" si="0" ref="C28:Q28">SUM(C16:C27)</f>
        <v>128945.11499999996</v>
      </c>
      <c r="D28" s="58">
        <f t="shared" si="0"/>
        <v>712.9799999999999</v>
      </c>
      <c r="E28" s="58">
        <f t="shared" si="0"/>
        <v>131291.43000000002</v>
      </c>
      <c r="F28" s="58">
        <f t="shared" si="0"/>
        <v>0</v>
      </c>
      <c r="G28" s="319">
        <f>'2012 полн'!AF22</f>
        <v>119347.64</v>
      </c>
      <c r="H28" s="58">
        <f t="shared" si="0"/>
        <v>120060.62</v>
      </c>
      <c r="I28" s="58">
        <f t="shared" si="0"/>
        <v>2112</v>
      </c>
      <c r="J28" s="58">
        <f t="shared" si="0"/>
        <v>10104.471000000003</v>
      </c>
      <c r="K28" s="58">
        <f t="shared" si="0"/>
        <v>3016.26</v>
      </c>
      <c r="L28" s="58">
        <f t="shared" si="0"/>
        <v>100456.05300000001</v>
      </c>
      <c r="M28" s="58">
        <f t="shared" si="0"/>
        <v>6988</v>
      </c>
      <c r="N28" s="58">
        <f t="shared" si="0"/>
        <v>528</v>
      </c>
      <c r="O28" s="58">
        <f t="shared" si="0"/>
        <v>121092.784</v>
      </c>
      <c r="P28" s="58">
        <f t="shared" si="0"/>
        <v>1079.8359999999993</v>
      </c>
      <c r="Q28" s="58">
        <f t="shared" si="0"/>
        <v>-11943.789999999997</v>
      </c>
      <c r="R28" s="60"/>
      <c r="S28" s="60"/>
    </row>
    <row r="29" spans="1:17" ht="13.5" thickBot="1">
      <c r="A29" s="480" t="s">
        <v>66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306"/>
      <c r="P29" s="307"/>
      <c r="Q29" s="307"/>
    </row>
    <row r="30" spans="1:19" s="23" customFormat="1" ht="13.5" thickBot="1">
      <c r="A30" s="68" t="s">
        <v>52</v>
      </c>
      <c r="B30" s="69"/>
      <c r="C30" s="70">
        <f aca="true" t="shared" si="1" ref="C30:Q30">C28+C14</f>
        <v>422078.04500000004</v>
      </c>
      <c r="D30" s="70">
        <f t="shared" si="1"/>
        <v>133701.33363130005</v>
      </c>
      <c r="E30" s="70">
        <f t="shared" si="1"/>
        <v>342516.04000000004</v>
      </c>
      <c r="F30" s="70">
        <f t="shared" si="1"/>
        <v>49672.43</v>
      </c>
      <c r="G30" s="70">
        <f t="shared" si="1"/>
        <v>309976.15</v>
      </c>
      <c r="H30" s="70">
        <f t="shared" si="1"/>
        <v>493349.9136313</v>
      </c>
      <c r="I30" s="70">
        <f t="shared" si="1"/>
        <v>2412</v>
      </c>
      <c r="J30" s="70">
        <f t="shared" si="1"/>
        <v>30136.383</v>
      </c>
      <c r="K30" s="70">
        <f t="shared" si="1"/>
        <v>9728.5712304</v>
      </c>
      <c r="L30" s="70">
        <f t="shared" si="1"/>
        <v>252246.20605442682</v>
      </c>
      <c r="M30" s="70">
        <f t="shared" si="1"/>
        <v>448769.504</v>
      </c>
      <c r="N30" s="70">
        <f t="shared" si="1"/>
        <v>603</v>
      </c>
      <c r="O30" s="70">
        <f t="shared" si="1"/>
        <v>741483.6642848267</v>
      </c>
      <c r="P30" s="70">
        <f t="shared" si="1"/>
        <v>-245721.7506535267</v>
      </c>
      <c r="Q30" s="70">
        <f t="shared" si="1"/>
        <v>-32539.89</v>
      </c>
      <c r="R30" s="73"/>
      <c r="S30" s="60"/>
    </row>
    <row r="31" spans="1:19" ht="12.75">
      <c r="A31" s="8" t="s">
        <v>125</v>
      </c>
      <c r="B31" s="308"/>
      <c r="C31" s="61"/>
      <c r="D31" s="62"/>
      <c r="E31" s="309"/>
      <c r="F31" s="310"/>
      <c r="G31" s="311"/>
      <c r="H31" s="310"/>
      <c r="I31" s="312"/>
      <c r="J31" s="311"/>
      <c r="K31" s="313"/>
      <c r="L31" s="313"/>
      <c r="M31" s="314"/>
      <c r="N31" s="315"/>
      <c r="O31" s="316"/>
      <c r="P31" s="317"/>
      <c r="Q31" s="317"/>
      <c r="R31" s="220"/>
      <c r="S31" s="220"/>
    </row>
    <row r="32" spans="1:19" ht="12.75">
      <c r="A32" s="232" t="s">
        <v>43</v>
      </c>
      <c r="B32" s="318">
        <f>'2012 полн'!B26</f>
        <v>1256.6</v>
      </c>
      <c r="C32" s="45">
        <f>'2012 полн'!C26</f>
        <v>10743.93</v>
      </c>
      <c r="D32" s="46">
        <f>'2012 полн'!D26</f>
        <v>30.804</v>
      </c>
      <c r="E32" s="313">
        <f>'2012 полн'!U26</f>
        <v>11015.31</v>
      </c>
      <c r="F32" s="313">
        <f>'2012 полн'!V26</f>
        <v>0</v>
      </c>
      <c r="G32" s="319">
        <f>'2012 полн'!AF26</f>
        <v>8180.87</v>
      </c>
      <c r="H32" s="319">
        <f>'2012 полн'!AG26</f>
        <v>8211.673999999999</v>
      </c>
      <c r="I32" s="319">
        <f>'2012 полн'!AJ26</f>
        <v>214</v>
      </c>
      <c r="J32" s="319">
        <f>'2012 полн'!AK26</f>
        <v>841.922</v>
      </c>
      <c r="K32" s="319">
        <f>'2012 полн'!AL26</f>
        <v>251.32</v>
      </c>
      <c r="L32" s="313">
        <f>'2012 полн'!AM26+'2012 полн'!AN26+'2012 полн'!AO26+'2012 полн'!AP26+'2012 полн'!AQ26+'2012 полн'!AR26+'2012 полн'!AS26+'2012 полн'!AT26</f>
        <v>8826.655999999999</v>
      </c>
      <c r="M32" s="314">
        <f>'2012 полн'!AU26+'2012 полн'!AV26+'2012 полн'!AW26+'2012 полн'!AX26</f>
        <v>3652.106</v>
      </c>
      <c r="N32" s="320">
        <f>'2012 полн'!BD26</f>
        <v>53.5</v>
      </c>
      <c r="O32" s="316">
        <f>'2012 полн'!BE26</f>
        <v>13625.503999999999</v>
      </c>
      <c r="P32" s="317">
        <f>'2012 полн'!BF26</f>
        <v>-5199.83</v>
      </c>
      <c r="Q32" s="317">
        <f>'2012 полн'!BG26</f>
        <v>-2834.4399999999996</v>
      </c>
      <c r="R32" s="220"/>
      <c r="S32" s="220"/>
    </row>
    <row r="33" spans="1:19" ht="12.75">
      <c r="A33" s="232" t="s">
        <v>44</v>
      </c>
      <c r="B33" s="318">
        <f>'2012 полн'!B27</f>
        <v>1256.6</v>
      </c>
      <c r="C33" s="45">
        <f>'2012 полн'!C27</f>
        <v>10743.93</v>
      </c>
      <c r="D33" s="46">
        <f>'2012 полн'!D27</f>
        <v>30.804</v>
      </c>
      <c r="E33" s="313">
        <f>'2012 полн'!U27</f>
        <v>11050.75</v>
      </c>
      <c r="F33" s="313">
        <f>'2012 полн'!V27</f>
        <v>0</v>
      </c>
      <c r="G33" s="319">
        <f>'2012 полн'!AF27</f>
        <v>12792.03</v>
      </c>
      <c r="H33" s="319">
        <f>'2012 полн'!AG27</f>
        <v>12822.834</v>
      </c>
      <c r="I33" s="319">
        <f>'2012 полн'!AJ27</f>
        <v>214</v>
      </c>
      <c r="J33" s="319">
        <f>'2012 полн'!AK27</f>
        <v>841.922</v>
      </c>
      <c r="K33" s="319">
        <f>'2012 полн'!AL27</f>
        <v>251.32</v>
      </c>
      <c r="L33" s="313">
        <f>'2012 полн'!AM27+'2012 полн'!AN27+'2012 полн'!AO27+'2012 полн'!AP27+'2012 полн'!AQ27+'2012 полн'!AR27+'2012 полн'!AS27+'2012 полн'!AT27</f>
        <v>8826.655999999999</v>
      </c>
      <c r="M33" s="314">
        <f>'2012 полн'!AU27+'2012 полн'!AV27+'2012 полн'!AW27+'2012 полн'!AX27</f>
        <v>55.106</v>
      </c>
      <c r="N33" s="320">
        <f>'2012 полн'!BD27</f>
        <v>53.5</v>
      </c>
      <c r="O33" s="316">
        <f>'2012 полн'!BE27</f>
        <v>10028.503999999999</v>
      </c>
      <c r="P33" s="317">
        <f>'2012 полн'!BF27</f>
        <v>3008.3300000000017</v>
      </c>
      <c r="Q33" s="317">
        <f>'2012 полн'!BG27</f>
        <v>1741.2800000000007</v>
      </c>
      <c r="R33" s="220"/>
      <c r="S33" s="220"/>
    </row>
    <row r="34" spans="1:19" ht="12.75">
      <c r="A34" s="232" t="s">
        <v>45</v>
      </c>
      <c r="B34" s="318">
        <f>'2012 полн'!B28</f>
        <v>1256.6</v>
      </c>
      <c r="C34" s="45">
        <f>'2012 полн'!C28</f>
        <v>10743.93</v>
      </c>
      <c r="D34" s="46">
        <f>'2012 полн'!D28</f>
        <v>30.804</v>
      </c>
      <c r="E34" s="313">
        <f>'2012 полн'!U28</f>
        <v>11015.31</v>
      </c>
      <c r="F34" s="313">
        <f>'2012 полн'!V28</f>
        <v>0</v>
      </c>
      <c r="G34" s="319">
        <f>'2012 полн'!AF28</f>
        <v>9824.72</v>
      </c>
      <c r="H34" s="319">
        <f>'2012 полн'!AG28</f>
        <v>9855.524</v>
      </c>
      <c r="I34" s="319">
        <f>'2012 полн'!AJ28</f>
        <v>214</v>
      </c>
      <c r="J34" s="319">
        <f>'2012 полн'!AK28</f>
        <v>841.922</v>
      </c>
      <c r="K34" s="319">
        <f>'2012 полн'!AL28</f>
        <v>251.32</v>
      </c>
      <c r="L34" s="313">
        <f>'2012 полн'!AM28+'2012 полн'!AN28+'2012 полн'!AO28+'2012 полн'!AP28+'2012 полн'!AQ28+'2012 полн'!AR28+'2012 полн'!AS28+'2012 полн'!AT28</f>
        <v>8826.655999999999</v>
      </c>
      <c r="M34" s="314">
        <f>'2012 полн'!AU28+'2012 полн'!AV28+'2012 полн'!AW28+'2012 полн'!AX28</f>
        <v>55.106</v>
      </c>
      <c r="N34" s="320">
        <f>'2012 полн'!BD28</f>
        <v>53.5</v>
      </c>
      <c r="O34" s="316">
        <f>'2012 полн'!BE28</f>
        <v>10028.503999999999</v>
      </c>
      <c r="P34" s="317">
        <f>'2012 полн'!BF28</f>
        <v>41.02000000000044</v>
      </c>
      <c r="Q34" s="317">
        <f>'2012 полн'!BG28</f>
        <v>-1190.5900000000001</v>
      </c>
      <c r="R34" s="220"/>
      <c r="S34" s="220"/>
    </row>
    <row r="35" spans="1:19" ht="12.75">
      <c r="A35" s="232" t="s">
        <v>46</v>
      </c>
      <c r="B35" s="318">
        <f>'2012 полн'!B29</f>
        <v>1256.6</v>
      </c>
      <c r="C35" s="45">
        <f>'2012 полн'!C29</f>
        <v>10743.93</v>
      </c>
      <c r="D35" s="46">
        <f>'2012 полн'!D29</f>
        <v>30.804</v>
      </c>
      <c r="E35" s="313">
        <f>'2012 полн'!U29</f>
        <v>11015.31</v>
      </c>
      <c r="F35" s="313">
        <f>'2012 полн'!V29</f>
        <v>0</v>
      </c>
      <c r="G35" s="319">
        <f>'2012 полн'!AF29</f>
        <v>9649.65</v>
      </c>
      <c r="H35" s="319">
        <f>'2012 полн'!AG29</f>
        <v>9680.454</v>
      </c>
      <c r="I35" s="319">
        <f>'2012 полн'!AJ29</f>
        <v>214</v>
      </c>
      <c r="J35" s="319">
        <f>'2012 полн'!AK29</f>
        <v>841.922</v>
      </c>
      <c r="K35" s="319">
        <f>'2012 полн'!AL29</f>
        <v>251.32</v>
      </c>
      <c r="L35" s="313">
        <f>'2012 полн'!AM29+'2012 полн'!AN29+'2012 полн'!AO29+'2012 полн'!AP29+'2012 полн'!AQ29+'2012 полн'!AR29+'2012 полн'!AS29+'2012 полн'!AT29</f>
        <v>7381.566</v>
      </c>
      <c r="M35" s="314">
        <f>'2012 полн'!AU29+'2012 полн'!AV29+'2012 полн'!AW29+'2012 полн'!AX29</f>
        <v>55.106</v>
      </c>
      <c r="N35" s="320">
        <f>'2012 полн'!BD29</f>
        <v>53.5</v>
      </c>
      <c r="O35" s="316">
        <f>'2012 полн'!BE29</f>
        <v>8583.413999999999</v>
      </c>
      <c r="P35" s="317">
        <f>'2012 полн'!BF29</f>
        <v>1311.0400000000009</v>
      </c>
      <c r="Q35" s="317">
        <f>'2012 полн'!BG29</f>
        <v>-1365.6599999999999</v>
      </c>
      <c r="R35" s="220"/>
      <c r="S35" s="220"/>
    </row>
    <row r="36" spans="1:19" ht="12.75">
      <c r="A36" s="232" t="s">
        <v>47</v>
      </c>
      <c r="B36" s="318">
        <f>'2012 полн'!B30</f>
        <v>1256.6</v>
      </c>
      <c r="C36" s="45">
        <f>'2012 полн'!C30</f>
        <v>10743.93</v>
      </c>
      <c r="D36" s="46">
        <f>'2012 полн'!D30</f>
        <v>30.804</v>
      </c>
      <c r="E36" s="313">
        <f>'2012 полн'!U30</f>
        <v>11015.31</v>
      </c>
      <c r="F36" s="313">
        <f>'2012 полн'!V30</f>
        <v>0</v>
      </c>
      <c r="G36" s="319">
        <f>'2012 полн'!AF30</f>
        <v>9458.240000000002</v>
      </c>
      <c r="H36" s="319">
        <f>'2012 полн'!AG30</f>
        <v>9489.044000000002</v>
      </c>
      <c r="I36" s="319">
        <f>'2012 полн'!AJ30</f>
        <v>214</v>
      </c>
      <c r="J36" s="319">
        <f>'2012 полн'!AK30</f>
        <v>841.922</v>
      </c>
      <c r="K36" s="319">
        <f>'2012 полн'!AL30</f>
        <v>251.32</v>
      </c>
      <c r="L36" s="313">
        <f>'2012 полн'!AM30+'2012 полн'!AN30+'2012 полн'!AO30+'2012 полн'!AP30+'2012 полн'!AQ30+'2012 полн'!AR30+'2012 полн'!AS30+'2012 полн'!AT30</f>
        <v>7381.566</v>
      </c>
      <c r="M36" s="314">
        <f>'2012 полн'!AU30+'2012 полн'!AV30+'2012 полн'!AW30+'2012 полн'!AX30</f>
        <v>2674.1059999999998</v>
      </c>
      <c r="N36" s="320">
        <f>'2012 полн'!BD30</f>
        <v>53.5</v>
      </c>
      <c r="O36" s="316">
        <f>'2012 полн'!BE30</f>
        <v>11202.413999999999</v>
      </c>
      <c r="P36" s="317">
        <f>'2012 полн'!BF30</f>
        <v>-1499.3699999999972</v>
      </c>
      <c r="Q36" s="317">
        <f>'2012 полн'!BG30</f>
        <v>-1557.069999999998</v>
      </c>
      <c r="R36" s="220"/>
      <c r="S36" s="220"/>
    </row>
    <row r="37" spans="1:19" ht="12.75">
      <c r="A37" s="232" t="s">
        <v>48</v>
      </c>
      <c r="B37" s="318">
        <f>'2012 полн'!B31</f>
        <v>1256.6</v>
      </c>
      <c r="C37" s="45">
        <f>'2012 полн'!C31</f>
        <v>10743.93</v>
      </c>
      <c r="D37" s="46">
        <f>'2012 полн'!D31</f>
        <v>30.804</v>
      </c>
      <c r="E37" s="313">
        <f>'2012 полн'!U31</f>
        <v>11053.779999999999</v>
      </c>
      <c r="F37" s="313">
        <f>'2012 полн'!V31</f>
        <v>0</v>
      </c>
      <c r="G37" s="319">
        <f>'2012 полн'!AF31</f>
        <v>8817.47</v>
      </c>
      <c r="H37" s="319">
        <f>'2012 полн'!AG31</f>
        <v>8848.274</v>
      </c>
      <c r="I37" s="319">
        <f>'2012 полн'!AJ31</f>
        <v>214</v>
      </c>
      <c r="J37" s="319">
        <f>'2012 полн'!AK31</f>
        <v>841.922</v>
      </c>
      <c r="K37" s="319">
        <f>'2012 полн'!AL31</f>
        <v>251.32</v>
      </c>
      <c r="L37" s="313">
        <f>'2012 полн'!AM31+'2012 полн'!AN31+'2012 полн'!AO31+'2012 полн'!AP31+'2012 полн'!AQ31+'2012 полн'!AR31+'2012 полн'!AS31+'2012 полн'!AT31</f>
        <v>7381.566</v>
      </c>
      <c r="M37" s="314">
        <f>'2012 полн'!AU31+'2012 полн'!AV31+'2012 полн'!AW31+'2012 полн'!AX31</f>
        <v>55.106</v>
      </c>
      <c r="N37" s="320">
        <f>'2012 полн'!BD31</f>
        <v>53.5</v>
      </c>
      <c r="O37" s="316">
        <f>'2012 полн'!BE31</f>
        <v>8583.413999999999</v>
      </c>
      <c r="P37" s="317">
        <f>'2012 полн'!BF31</f>
        <v>478.8600000000006</v>
      </c>
      <c r="Q37" s="317">
        <f>'2012 полн'!BG31</f>
        <v>-2236.3099999999995</v>
      </c>
      <c r="R37" s="220"/>
      <c r="S37" s="220"/>
    </row>
    <row r="38" spans="1:17" ht="12.75">
      <c r="A38" s="232" t="s">
        <v>49</v>
      </c>
      <c r="B38" s="318">
        <f>'2012 полн'!B32</f>
        <v>1256.6</v>
      </c>
      <c r="C38" s="45">
        <f>'2012 полн'!C32</f>
        <v>11950.266</v>
      </c>
      <c r="D38" s="46">
        <f>'2012 полн'!D32</f>
        <v>41.223000000000006</v>
      </c>
      <c r="E38" s="313">
        <f>'2012 полн'!U32</f>
        <v>12283.49</v>
      </c>
      <c r="F38" s="313">
        <f>'2012 полн'!V32</f>
        <v>0</v>
      </c>
      <c r="G38" s="319">
        <f>'2012 полн'!AF32</f>
        <v>8495.880000000001</v>
      </c>
      <c r="H38" s="319">
        <f>'2012 полн'!AG32</f>
        <v>8537.103000000001</v>
      </c>
      <c r="I38" s="319">
        <f>'2012 полн'!AJ32</f>
        <v>214</v>
      </c>
      <c r="J38" s="319">
        <f>'2012 полн'!AK32</f>
        <v>942.4499999999999</v>
      </c>
      <c r="K38" s="319">
        <f>'2012 полн'!AL32</f>
        <v>251.32</v>
      </c>
      <c r="L38" s="313">
        <f>'2012 полн'!AM32+'2012 полн'!AN32+'2012 полн'!AO32+'2012 полн'!AP32+'2012 полн'!AQ32+'2012 полн'!AR32+'2012 полн'!AS32+'2012 полн'!AT32</f>
        <v>7381.566</v>
      </c>
      <c r="M38" s="314">
        <f>'2012 полн'!AU32+'2012 полн'!AV32+'2012 полн'!AW32+'2012 полн'!AX32</f>
        <v>55.11</v>
      </c>
      <c r="N38" s="320">
        <f>'2012 полн'!BD32</f>
        <v>53.5</v>
      </c>
      <c r="O38" s="316">
        <f>'2012 полн'!BE32</f>
        <v>8683.946</v>
      </c>
      <c r="P38" s="317">
        <f>'2012 полн'!BF32</f>
        <v>67.15700000000106</v>
      </c>
      <c r="Q38" s="317">
        <f>'2012 полн'!BG32</f>
        <v>-3787.6099999999988</v>
      </c>
    </row>
    <row r="39" spans="1:17" ht="12.75">
      <c r="A39" s="232" t="s">
        <v>50</v>
      </c>
      <c r="B39" s="318">
        <f>'2012 полн'!B33</f>
        <v>1256.6</v>
      </c>
      <c r="C39" s="45">
        <f>'2012 полн'!C33</f>
        <v>11950.266</v>
      </c>
      <c r="D39" s="46">
        <f>'2012 полн'!D33</f>
        <v>0</v>
      </c>
      <c r="E39" s="313">
        <f>'2012 полн'!U33</f>
        <v>12253.03</v>
      </c>
      <c r="F39" s="313">
        <f>'2012 полн'!V33</f>
        <v>0</v>
      </c>
      <c r="G39" s="319">
        <f>'2012 полн'!AF33</f>
        <v>12447.810000000001</v>
      </c>
      <c r="H39" s="319">
        <f>'2012 полн'!AG33</f>
        <v>12447.810000000001</v>
      </c>
      <c r="I39" s="319">
        <f>'2012 полн'!AJ33</f>
        <v>214</v>
      </c>
      <c r="J39" s="319">
        <f>'2012 полн'!AK33</f>
        <v>942.4499999999999</v>
      </c>
      <c r="K39" s="319">
        <f>'2012 полн'!AL33</f>
        <v>251.32</v>
      </c>
      <c r="L39" s="313">
        <f>'2012 полн'!AM33+'2012 полн'!AN33+'2012 полн'!AO33+'2012 полн'!AP33+'2012 полн'!AQ33+'2012 полн'!AR33+'2012 полн'!AS33+'2012 полн'!AT33</f>
        <v>7381.566</v>
      </c>
      <c r="M39" s="314">
        <f>'2012 полн'!AU33+'2012 полн'!AV33+'2012 полн'!AW33+'2012 полн'!AX33</f>
        <v>55.11</v>
      </c>
      <c r="N39" s="320">
        <f>'2012 полн'!BD33</f>
        <v>53.5</v>
      </c>
      <c r="O39" s="316">
        <f>'2012 полн'!BE33</f>
        <v>8683.946</v>
      </c>
      <c r="P39" s="317">
        <f>'2012 полн'!BF33</f>
        <v>3977.8640000000014</v>
      </c>
      <c r="Q39" s="317">
        <f>'2012 полн'!BG33</f>
        <v>194.78000000000065</v>
      </c>
    </row>
    <row r="40" spans="1:17" ht="12.75">
      <c r="A40" s="232" t="s">
        <v>51</v>
      </c>
      <c r="B40" s="318">
        <f>'2012 полн'!B34</f>
        <v>1256.6</v>
      </c>
      <c r="C40" s="45">
        <f>'2012 полн'!C34</f>
        <v>11950.266</v>
      </c>
      <c r="D40" s="46">
        <f>'2012 полн'!D34</f>
        <v>0</v>
      </c>
      <c r="E40" s="313">
        <f>'2012 полн'!U34</f>
        <v>12253.03</v>
      </c>
      <c r="F40" s="313">
        <f>'2012 полн'!V34</f>
        <v>0</v>
      </c>
      <c r="G40" s="319">
        <f>'2012 полн'!AF34</f>
        <v>15425.25</v>
      </c>
      <c r="H40" s="319">
        <f>'2012 полн'!AG34</f>
        <v>15425.25</v>
      </c>
      <c r="I40" s="319">
        <f>'2012 полн'!AJ34</f>
        <v>214</v>
      </c>
      <c r="J40" s="319">
        <f>'2012 полн'!AK34</f>
        <v>942.4499999999999</v>
      </c>
      <c r="K40" s="319">
        <f>'2012 полн'!AL34</f>
        <v>251.32</v>
      </c>
      <c r="L40" s="313">
        <f>'2012 полн'!AM34+'2012 полн'!AN34+'2012 полн'!AO34+'2012 полн'!AP34+'2012 полн'!AQ34+'2012 полн'!AR34+'2012 полн'!AS34+'2012 полн'!AT34</f>
        <v>7381.566</v>
      </c>
      <c r="M40" s="314">
        <f>'2012 полн'!AU34+'2012 полн'!AV34+'2012 полн'!AW34+'2012 полн'!AX34</f>
        <v>3658.9671</v>
      </c>
      <c r="N40" s="320">
        <f>'2012 полн'!BD34</f>
        <v>53.5</v>
      </c>
      <c r="O40" s="316">
        <f>'2012 полн'!BE34</f>
        <v>12287.8031</v>
      </c>
      <c r="P40" s="317">
        <f>'2012 полн'!BF34</f>
        <v>3351.446900000001</v>
      </c>
      <c r="Q40" s="317">
        <f>'2012 полн'!BG34</f>
        <v>3172.2199999999993</v>
      </c>
    </row>
    <row r="41" spans="1:17" ht="12.75">
      <c r="A41" s="232" t="s">
        <v>39</v>
      </c>
      <c r="B41" s="318">
        <f>'2012 полн'!B35</f>
        <v>1256.6</v>
      </c>
      <c r="C41" s="45">
        <f>'2012 полн'!C35</f>
        <v>11950.266</v>
      </c>
      <c r="D41" s="46">
        <f>'2012 полн'!D35</f>
        <v>0</v>
      </c>
      <c r="E41" s="313">
        <f>'2012 полн'!U35</f>
        <v>12253.03</v>
      </c>
      <c r="F41" s="313">
        <f>'2012 полн'!V35</f>
        <v>0</v>
      </c>
      <c r="G41" s="319">
        <f>'2012 полн'!AF35</f>
        <v>10402.27</v>
      </c>
      <c r="H41" s="319">
        <f>'2012 полн'!AG35</f>
        <v>10402.27</v>
      </c>
      <c r="I41" s="319">
        <f>'2012 полн'!AJ35</f>
        <v>214</v>
      </c>
      <c r="J41" s="319">
        <f>'2012 полн'!AK35</f>
        <v>942.4499999999999</v>
      </c>
      <c r="K41" s="319">
        <f>'2012 полн'!AL35</f>
        <v>251.32</v>
      </c>
      <c r="L41" s="313">
        <f>'2012 полн'!AM35+'2012 полн'!AN35+'2012 полн'!AO35+'2012 полн'!AP35+'2012 полн'!AQ35+'2012 полн'!AR35+'2012 полн'!AS35+'2012 полн'!AT35</f>
        <v>8826.655999999999</v>
      </c>
      <c r="M41" s="314">
        <f>'2012 полн'!AU35+'2012 полн'!AV35+'2012 полн'!AW35+'2012 полн'!AX35</f>
        <v>600.8299999999999</v>
      </c>
      <c r="N41" s="320">
        <f>'2012 полн'!BD35</f>
        <v>53.5</v>
      </c>
      <c r="O41" s="316">
        <f>'2012 полн'!BE35</f>
        <v>10674.756</v>
      </c>
      <c r="P41" s="317">
        <f>'2012 полн'!BF35</f>
        <v>-58.48599999999897</v>
      </c>
      <c r="Q41" s="317">
        <f>'2012 полн'!BG35</f>
        <v>-1850.7600000000002</v>
      </c>
    </row>
    <row r="42" spans="1:17" ht="12.75">
      <c r="A42" s="232" t="s">
        <v>40</v>
      </c>
      <c r="B42" s="318">
        <f>'2012 полн'!B36</f>
        <v>1256.6</v>
      </c>
      <c r="C42" s="45">
        <f>'2012 полн'!C36</f>
        <v>11950.266</v>
      </c>
      <c r="D42" s="46">
        <f>'2012 полн'!D36</f>
        <v>0</v>
      </c>
      <c r="E42" s="313">
        <f>'2012 полн'!U36</f>
        <v>12255.14</v>
      </c>
      <c r="F42" s="313">
        <f>'2012 полн'!V36</f>
        <v>0</v>
      </c>
      <c r="G42" s="319">
        <f>'2012 полн'!AF36</f>
        <v>11243.3</v>
      </c>
      <c r="H42" s="319">
        <f>'2012 полн'!AG36</f>
        <v>11243.3</v>
      </c>
      <c r="I42" s="319">
        <f>'2012 полн'!AJ36</f>
        <v>214</v>
      </c>
      <c r="J42" s="319">
        <f>'2012 полн'!AK36</f>
        <v>942.4499999999999</v>
      </c>
      <c r="K42" s="319">
        <f>'2012 полн'!AL36</f>
        <v>251.32</v>
      </c>
      <c r="L42" s="313">
        <f>'2012 полн'!AM36+'2012 полн'!AN36+'2012 полн'!AO36+'2012 полн'!AP36+'2012 полн'!AQ36+'2012 полн'!AR36+'2012 полн'!AS36+'2012 полн'!AT36</f>
        <v>8826.655999999999</v>
      </c>
      <c r="M42" s="314">
        <f>'2012 полн'!AU36+'2012 полн'!AV36+'2012 полн'!AW36+'2012 полн'!AX36</f>
        <v>5084.07</v>
      </c>
      <c r="N42" s="320">
        <f>'2012 полн'!BD36</f>
        <v>53.5</v>
      </c>
      <c r="O42" s="316">
        <f>'2012 полн'!BE36</f>
        <v>15157.996</v>
      </c>
      <c r="P42" s="317">
        <f>'2012 полн'!BF36</f>
        <v>-3700.696</v>
      </c>
      <c r="Q42" s="317">
        <f>'2012 полн'!BG36</f>
        <v>-1011.8400000000001</v>
      </c>
    </row>
    <row r="43" spans="1:17" ht="13.5" thickBot="1">
      <c r="A43" s="321" t="s">
        <v>41</v>
      </c>
      <c r="B43" s="318">
        <f>'2012 полн'!B37</f>
        <v>1256.6</v>
      </c>
      <c r="C43" s="45">
        <f>'2012 полн'!C37</f>
        <v>11950.266</v>
      </c>
      <c r="D43" s="46">
        <f>'2012 полн'!D37</f>
        <v>0</v>
      </c>
      <c r="E43" s="313">
        <f>'2012 полн'!U37</f>
        <v>12255.68</v>
      </c>
      <c r="F43" s="313">
        <f>'2012 полн'!V37</f>
        <v>0</v>
      </c>
      <c r="G43" s="319">
        <f>'2012 полн'!AF37</f>
        <v>22636.84</v>
      </c>
      <c r="H43" s="319">
        <f>'2012 полн'!AG37</f>
        <v>22636.84</v>
      </c>
      <c r="I43" s="319">
        <f>'2012 полн'!AJ37</f>
        <v>214</v>
      </c>
      <c r="J43" s="319">
        <f>'2012 полн'!AK37</f>
        <v>942.4499999999999</v>
      </c>
      <c r="K43" s="319">
        <f>'2012 полн'!AL37</f>
        <v>251.32</v>
      </c>
      <c r="L43" s="313">
        <f>'2012 полн'!AM37+'2012 полн'!AN37+'2012 полн'!AO37+'2012 полн'!AP37+'2012 полн'!AQ37+'2012 полн'!AR37+'2012 полн'!AS37+'2012 полн'!AT37</f>
        <v>8826.655999999999</v>
      </c>
      <c r="M43" s="314">
        <f>'2012 полн'!AU37+'2012 полн'!AV37+'2012 полн'!AW37+'2012 полн'!AX37</f>
        <v>1769.58</v>
      </c>
      <c r="N43" s="320">
        <f>'2012 полн'!BD37</f>
        <v>53.5</v>
      </c>
      <c r="O43" s="316">
        <f>'2012 полн'!BE37</f>
        <v>11843.506</v>
      </c>
      <c r="P43" s="317">
        <f>'2012 полн'!BF37</f>
        <v>11007.334</v>
      </c>
      <c r="Q43" s="317">
        <f>'2012 полн'!BG37</f>
        <v>10381.16</v>
      </c>
    </row>
    <row r="44" spans="1:19" s="23" customFormat="1" ht="13.5" thickBot="1">
      <c r="A44" s="52" t="s">
        <v>3</v>
      </c>
      <c r="B44" s="53"/>
      <c r="C44" s="58">
        <f>SUM(C32:C43)</f>
        <v>136165.176</v>
      </c>
      <c r="D44" s="58">
        <f>SUM(D32:D43)</f>
        <v>226.047</v>
      </c>
      <c r="E44" s="58">
        <f>SUM(E32:E43)</f>
        <v>139719.16999999998</v>
      </c>
      <c r="F44" s="58">
        <f>SUM(F32:F43)</f>
        <v>0</v>
      </c>
      <c r="G44" s="319">
        <f>'2012 полн'!AF54</f>
        <v>0</v>
      </c>
      <c r="H44" s="58">
        <f aca="true" t="shared" si="2" ref="H44:V44">SUM(H32:H43)</f>
        <v>139600.377</v>
      </c>
      <c r="I44" s="58">
        <f t="shared" si="2"/>
        <v>2568</v>
      </c>
      <c r="J44" s="58">
        <f t="shared" si="2"/>
        <v>10706.232000000002</v>
      </c>
      <c r="K44" s="58">
        <f t="shared" si="2"/>
        <v>3015.84</v>
      </c>
      <c r="L44" s="58">
        <f t="shared" si="2"/>
        <v>97249.33200000001</v>
      </c>
      <c r="M44" s="58">
        <f t="shared" si="2"/>
        <v>17770.303099999997</v>
      </c>
      <c r="N44" s="58">
        <f t="shared" si="2"/>
        <v>642</v>
      </c>
      <c r="O44" s="58">
        <f t="shared" si="2"/>
        <v>129383.70709999997</v>
      </c>
      <c r="P44" s="58">
        <f t="shared" si="2"/>
        <v>12784.669900000012</v>
      </c>
      <c r="Q44" s="58">
        <f t="shared" si="2"/>
        <v>-344.8399999999947</v>
      </c>
      <c r="R44" s="60"/>
      <c r="S44" s="60"/>
    </row>
    <row r="45" spans="1:17" ht="13.5" thickBot="1">
      <c r="A45" s="480" t="s">
        <v>66</v>
      </c>
      <c r="B45" s="481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306"/>
      <c r="P45" s="307"/>
      <c r="Q45" s="307"/>
    </row>
    <row r="46" spans="1:19" s="23" customFormat="1" ht="13.5" thickBot="1">
      <c r="A46" s="68" t="s">
        <v>52</v>
      </c>
      <c r="B46" s="69"/>
      <c r="C46" s="70">
        <f aca="true" t="shared" si="3" ref="C46:Q46">C44+C30</f>
        <v>558243.221</v>
      </c>
      <c r="D46" s="70">
        <f t="shared" si="3"/>
        <v>133927.38063130004</v>
      </c>
      <c r="E46" s="70">
        <f t="shared" si="3"/>
        <v>482235.21</v>
      </c>
      <c r="F46" s="70">
        <f t="shared" si="3"/>
        <v>49672.43</v>
      </c>
      <c r="G46" s="70">
        <f t="shared" si="3"/>
        <v>309976.15</v>
      </c>
      <c r="H46" s="70">
        <f t="shared" si="3"/>
        <v>632950.2906313</v>
      </c>
      <c r="I46" s="70">
        <f t="shared" si="3"/>
        <v>4980</v>
      </c>
      <c r="J46" s="70">
        <f t="shared" si="3"/>
        <v>40842.615000000005</v>
      </c>
      <c r="K46" s="70">
        <f t="shared" si="3"/>
        <v>12744.411230400001</v>
      </c>
      <c r="L46" s="70">
        <f t="shared" si="3"/>
        <v>349495.53805442684</v>
      </c>
      <c r="M46" s="70">
        <f t="shared" si="3"/>
        <v>466539.80710000003</v>
      </c>
      <c r="N46" s="70">
        <f t="shared" si="3"/>
        <v>1245</v>
      </c>
      <c r="O46" s="70">
        <f t="shared" si="3"/>
        <v>870867.3713848267</v>
      </c>
      <c r="P46" s="70">
        <f t="shared" si="3"/>
        <v>-232937.08075352668</v>
      </c>
      <c r="Q46" s="70">
        <f t="shared" si="3"/>
        <v>-32884.729999999996</v>
      </c>
      <c r="R46" s="73"/>
      <c r="S46" s="60"/>
    </row>
    <row r="48" spans="1:18" ht="12.75">
      <c r="A48" s="23" t="s">
        <v>67</v>
      </c>
      <c r="D48" s="322" t="s">
        <v>128</v>
      </c>
      <c r="Q48" s="220"/>
      <c r="R48" s="220"/>
    </row>
    <row r="49" spans="1:18" ht="12.75">
      <c r="A49" s="229" t="s">
        <v>68</v>
      </c>
      <c r="B49" s="229" t="s">
        <v>69</v>
      </c>
      <c r="C49" s="482" t="s">
        <v>70</v>
      </c>
      <c r="D49" s="482"/>
      <c r="Q49" s="220"/>
      <c r="R49" s="220"/>
    </row>
    <row r="50" spans="1:18" ht="12.75">
      <c r="A50" s="323">
        <v>139106.92</v>
      </c>
      <c r="B50" s="323">
        <v>99368.74</v>
      </c>
      <c r="C50" s="483">
        <f>A50-B50</f>
        <v>39738.18000000001</v>
      </c>
      <c r="D50" s="484"/>
      <c r="Q50" s="220"/>
      <c r="R50" s="220"/>
    </row>
    <row r="51" spans="1:18" ht="12.75">
      <c r="A51" s="74"/>
      <c r="Q51" s="220"/>
      <c r="R51" s="220"/>
    </row>
    <row r="52" spans="1:18" ht="12.75">
      <c r="A52" s="221" t="s">
        <v>71</v>
      </c>
      <c r="G52" s="221" t="s">
        <v>72</v>
      </c>
      <c r="Q52" s="220"/>
      <c r="R52" s="220"/>
    </row>
    <row r="53" ht="12.75">
      <c r="A53" s="220"/>
    </row>
    <row r="54" ht="12.75">
      <c r="A54" s="322" t="s">
        <v>123</v>
      </c>
    </row>
    <row r="55" ht="12.75">
      <c r="A55" s="221" t="s">
        <v>73</v>
      </c>
    </row>
  </sheetData>
  <sheetProtection/>
  <mergeCells count="29">
    <mergeCell ref="A45:N45"/>
    <mergeCell ref="E8:F9"/>
    <mergeCell ref="G8:H9"/>
    <mergeCell ref="B1:H1"/>
    <mergeCell ref="B2:H2"/>
    <mergeCell ref="A5:N5"/>
    <mergeCell ref="A6:G6"/>
    <mergeCell ref="A7:D7"/>
    <mergeCell ref="E7:F7"/>
    <mergeCell ref="J8:O9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N10:N11"/>
    <mergeCell ref="O10:O11"/>
    <mergeCell ref="A13:N13"/>
    <mergeCell ref="A29:N29"/>
    <mergeCell ref="C49:D49"/>
    <mergeCell ref="C50:D50"/>
    <mergeCell ref="A8:A11"/>
    <mergeCell ref="B8:B11"/>
    <mergeCell ref="C8:C11"/>
    <mergeCell ref="D8:D11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2010-07-05T11:30:55Z</cp:lastPrinted>
  <dcterms:created xsi:type="dcterms:W3CDTF">2010-04-03T04:08:20Z</dcterms:created>
  <dcterms:modified xsi:type="dcterms:W3CDTF">2013-05-13T03:58:28Z</dcterms:modified>
  <cp:category/>
  <cp:version/>
  <cp:contentType/>
  <cp:contentStatus/>
</cp:coreProperties>
</file>