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/>
  <calcPr fullCalcOnLoad="1" refMode="R1C1"/>
</workbook>
</file>

<file path=xl/sharedStrings.xml><?xml version="1.0" encoding="utf-8"?>
<sst xmlns="http://schemas.openxmlformats.org/spreadsheetml/2006/main" count="336" uniqueCount="131">
  <si>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</si>
  <si>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</si>
  <si>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</si>
  <si>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</si>
  <si>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</si>
  <si>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</si>
  <si>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</si>
  <si>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</si>
  <si>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</si>
  <si>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</si>
  <si>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</si>
  <si>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</si>
  <si>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</si>
  <si>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</si>
  <si>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</si>
  <si>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</si>
  <si>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</si>
  <si>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</si>
  <si>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</si>
  <si>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</si>
  <si>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</si>
  <si>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</si>
  <si>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</si>
  <si>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</si>
  <si>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</si>
  <si>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</si>
  <si>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</si>
  <si>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</si>
  <si>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</si>
  <si>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</si>
  <si>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</si>
  <si>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</si>
  <si>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</si>
  <si>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</si>
  <si>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</si>
  <si>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</si>
  <si>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</si>
  <si>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</si>
  <si>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</si>
  <si>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</si>
  <si>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</si>
  <si>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</si>
  <si>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</si>
  <si>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</si>
  <si>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</si>
  <si>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</si>
  <si>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</si>
  <si>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</si>
  <si>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</si>
  <si>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</si>
  <si>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</si>
  <si>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</si>
  <si>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</si>
  <si>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</si>
  <si>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</si>
  <si>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</si>
  <si>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</si>
  <si>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</si>
  <si>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</si>
  <si>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</si>
  <si>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</si>
  <si>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</si>
  <si>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</si>
  <si>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</si>
  <si>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</si>
  <si>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</si>
  <si>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</si>
  <si>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</si>
  <si>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</si>
  <si>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</si>
  <si>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</si>
  <si>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</si>
  <si>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</si>
  <si>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</si>
  <si>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</si>
  <si>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</si>
  <si>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Доходы по нежил.помещениям</t>
  </si>
  <si>
    <t>Лицевой счет по адресу г. Таштагол, ул. Ленина, д. 72</t>
  </si>
  <si>
    <t>Выписка по лицевому счету по адресу г. Таштагол, ул. Ленина, д. 72</t>
  </si>
  <si>
    <t>Расходы по нежил. помещениям</t>
  </si>
  <si>
    <t>Исп. Ю.С. Дмитриева</t>
  </si>
  <si>
    <t>на 01.01.2011 г.</t>
  </si>
  <si>
    <t>Адрес</t>
  </si>
  <si>
    <t>Собрано всего по жил.услугам</t>
  </si>
  <si>
    <t>для счетов-фактур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</si>
  <si>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</si>
  <si>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</si>
  <si>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</si>
  <si>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</si>
  <si>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</si>
  <si>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</si>
  <si>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</si>
  <si>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</si>
  <si>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</si>
  <si>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</si>
  <si>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на начало отчетного периода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</si>
  <si>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</si>
  <si>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</si>
  <si>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</si>
  <si>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</si>
  <si>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</si>
  <si>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</si>
  <si>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</si>
  <si>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</si>
  <si>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</si>
  <si>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</si>
  <si>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</si>
  <si>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</si>
  <si>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</si>
  <si>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</si>
  <si>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</si>
  <si>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</si>
  <si>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</si>
  <si>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</si>
  <si>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</si>
  <si>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</si>
  <si>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</si>
  <si>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</si>
  <si>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Собрано квартплаты от населения</t>
  </si>
  <si>
    <t>Доходы по нежилым помещениям</t>
  </si>
  <si>
    <t>Услуга начисления</t>
  </si>
  <si>
    <t>Расходы по нежилым помещениям</t>
  </si>
  <si>
    <t>Собрано по содержанию и тек.рем.</t>
  </si>
  <si>
    <t>Исп. В.В. Колмогорова</t>
  </si>
  <si>
    <t>Выписка по лицевому счету по адресу г. Таштагол ул. Ленина, д. 72</t>
  </si>
  <si>
    <t>*по состоянию на 01.11.2012 г.</t>
  </si>
  <si>
    <t>Тариф по содержанию и тек.ремонту 100 % (9,51руб.*площадь)</t>
  </si>
  <si>
    <t>тариф на содержание и тек. ремонт с 01.07.12</t>
  </si>
  <si>
    <t>2012 год</t>
  </si>
  <si>
    <t>Лицевой счет по адресу г. Таштагол, ул. Ленина, д.72</t>
  </si>
  <si>
    <t>на 01.01.2013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</si>
</sst>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textRotation="90" wrapText="1"/>
    </xf>
    <xf numFmtId="0" fontId="1" fillId="0" borderId="21" xfId="0" applyFont="1" applyFill="1" applyBorder="1" applyAlignment="1">
      <alignment horizontal="center" textRotation="90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2" fillId="0" borderId="31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4" fontId="1" fillId="0" borderId="24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0" xfId="0" applyNumberFormat="1" applyFont="1" applyFill="1" applyBorder="1" applyAlignment="1">
      <alignment wrapText="1"/>
    </xf>
    <xf numFmtId="4" fontId="2" fillId="0" borderId="3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wrapText="1"/>
    </xf>
    <xf numFmtId="4" fontId="7" fillId="0" borderId="32" xfId="34" applyNumberFormat="1" applyFont="1" applyFill="1" applyBorder="1" applyAlignment="1">
      <alignment horizontal="right" vertical="center" wrapText="1"/>
      <protection/>
    </xf>
    <xf numFmtId="4" fontId="7" fillId="0" borderId="34" xfId="34" applyNumberFormat="1" applyFont="1" applyFill="1" applyBorder="1" applyAlignment="1">
      <alignment horizontal="right" vertical="center" wrapText="1"/>
      <protection/>
    </xf>
    <xf numFmtId="4" fontId="1" fillId="33" borderId="11" xfId="0" applyNumberFormat="1" applyFont="1" applyFill="1" applyBorder="1" applyAlignment="1">
      <alignment horizontal="right" wrapText="1"/>
    </xf>
    <xf numFmtId="4" fontId="7" fillId="0" borderId="35" xfId="34" applyNumberFormat="1" applyFont="1" applyFill="1" applyBorder="1" applyAlignment="1">
      <alignment horizontal="right" vertical="center" wrapText="1"/>
      <protection/>
    </xf>
    <xf numFmtId="4" fontId="7" fillId="0" borderId="33" xfId="34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right" wrapText="1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 wrapText="1"/>
    </xf>
    <xf numFmtId="4" fontId="1" fillId="0" borderId="41" xfId="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 horizontal="center" vertical="center" wrapText="1"/>
    </xf>
    <xf numFmtId="4" fontId="1" fillId="33" borderId="29" xfId="0" applyNumberFormat="1" applyFont="1" applyFill="1" applyBorder="1" applyAlignment="1">
      <alignment horizontal="right"/>
    </xf>
    <xf numFmtId="4" fontId="1" fillId="33" borderId="36" xfId="0" applyNumberFormat="1" applyFont="1" applyFill="1" applyBorder="1" applyAlignment="1">
      <alignment horizontal="right" wrapText="1"/>
    </xf>
    <xf numFmtId="4" fontId="1" fillId="33" borderId="26" xfId="0" applyNumberFormat="1" applyFont="1" applyFill="1" applyBorder="1" applyAlignment="1">
      <alignment horizontal="right"/>
    </xf>
    <xf numFmtId="4" fontId="1" fillId="33" borderId="24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 vertical="center" wrapText="1"/>
    </xf>
    <xf numFmtId="4" fontId="1" fillId="33" borderId="28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7" fillId="33" borderId="32" xfId="34" applyNumberFormat="1" applyFont="1" applyFill="1" applyBorder="1" applyAlignment="1">
      <alignment horizontal="right" vertical="center" wrapText="1"/>
      <protection/>
    </xf>
    <xf numFmtId="4" fontId="1" fillId="33" borderId="25" xfId="0" applyNumberFormat="1" applyFont="1" applyFill="1" applyBorder="1" applyAlignment="1">
      <alignment horizontal="right"/>
    </xf>
    <xf numFmtId="4" fontId="1" fillId="33" borderId="32" xfId="0" applyNumberFormat="1" applyFont="1" applyFill="1" applyBorder="1" applyAlignment="1">
      <alignment horizontal="right" wrapText="1"/>
    </xf>
    <xf numFmtId="4" fontId="1" fillId="33" borderId="34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 vertical="center" wrapText="1"/>
    </xf>
    <xf numFmtId="4" fontId="1" fillId="33" borderId="34" xfId="0" applyNumberFormat="1" applyFont="1" applyFill="1" applyBorder="1" applyAlignment="1">
      <alignment horizontal="right" wrapText="1"/>
    </xf>
    <xf numFmtId="4" fontId="1" fillId="33" borderId="32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0" fontId="1" fillId="0" borderId="42" xfId="0" applyFont="1" applyFill="1" applyBorder="1" applyAlignment="1">
      <alignment horizontal="center" vertical="center" wrapText="1"/>
    </xf>
    <xf numFmtId="4" fontId="0" fillId="0" borderId="43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0" fillId="36" borderId="27" xfId="0" applyNumberFormat="1" applyFont="1" applyFill="1" applyBorder="1" applyAlignment="1">
      <alignment horizontal="right"/>
    </xf>
    <xf numFmtId="4" fontId="0" fillId="36" borderId="11" xfId="0" applyNumberFormat="1" applyFont="1" applyFill="1" applyBorder="1" applyAlignment="1">
      <alignment horizontal="right"/>
    </xf>
    <xf numFmtId="4" fontId="1" fillId="35" borderId="24" xfId="0" applyNumberFormat="1" applyFont="1" applyFill="1" applyBorder="1" applyAlignment="1">
      <alignment wrapText="1"/>
    </xf>
    <xf numFmtId="4" fontId="1" fillId="33" borderId="24" xfId="0" applyNumberFormat="1" applyFont="1" applyFill="1" applyBorder="1" applyAlignment="1">
      <alignment wrapText="1"/>
    </xf>
    <xf numFmtId="4" fontId="1" fillId="0" borderId="34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6" borderId="47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36" borderId="10" xfId="0" applyNumberFormat="1" applyFont="1" applyFill="1" applyBorder="1" applyAlignment="1">
      <alignment horizontal="right"/>
    </xf>
    <xf numFmtId="4" fontId="0" fillId="0" borderId="48" xfId="0" applyNumberFormat="1" applyFont="1" applyFill="1" applyBorder="1" applyAlignment="1">
      <alignment horizontal="right"/>
    </xf>
    <xf numFmtId="0" fontId="0" fillId="0" borderId="49" xfId="0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horizontal="right"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46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28" xfId="34" applyNumberFormat="1" applyFont="1" applyFill="1" applyBorder="1" applyAlignment="1">
      <alignment horizontal="center" vertical="center" wrapText="1"/>
      <protection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37" borderId="15" xfId="0" applyNumberFormat="1" applyFont="1" applyFill="1" applyBorder="1" applyAlignment="1">
      <alignment horizontal="center"/>
    </xf>
    <xf numFmtId="4" fontId="0" fillId="34" borderId="27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38" borderId="27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0" fillId="33" borderId="2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2" fillId="0" borderId="2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4" borderId="29" xfId="0" applyNumberFormat="1" applyFont="1" applyFill="1" applyBorder="1" applyAlignment="1">
      <alignment/>
    </xf>
    <xf numFmtId="4" fontId="0" fillId="34" borderId="2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8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11" fillId="0" borderId="27" xfId="0" applyNumberFormat="1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1" fillId="33" borderId="50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right"/>
    </xf>
    <xf numFmtId="4" fontId="1" fillId="0" borderId="51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27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52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2" fillId="34" borderId="27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11" fillId="33" borderId="11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11" fillId="38" borderId="27" xfId="0" applyNumberFormat="1" applyFont="1" applyFill="1" applyBorder="1" applyAlignment="1">
      <alignment/>
    </xf>
    <xf numFmtId="4" fontId="0" fillId="38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4" fontId="0" fillId="0" borderId="53" xfId="0" applyNumberFormat="1" applyFont="1" applyFill="1" applyBorder="1" applyAlignment="1">
      <alignment horizontal="center"/>
    </xf>
    <xf numFmtId="4" fontId="11" fillId="35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49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8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8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54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37" borderId="29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37" borderId="29" xfId="0" applyFont="1" applyFill="1" applyBorder="1" applyAlignment="1">
      <alignment horizontal="center"/>
    </xf>
    <xf numFmtId="0" fontId="2" fillId="0" borderId="28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6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37" borderId="29" xfId="0" applyFont="1" applyFill="1" applyBorder="1" applyAlignment="1">
      <alignment/>
    </xf>
    <xf numFmtId="0" fontId="12" fillId="0" borderId="28" xfId="0" applyFont="1" applyBorder="1" applyAlignment="1">
      <alignment wrapText="1"/>
    </xf>
    <xf numFmtId="2" fontId="11" fillId="34" borderId="13" xfId="0" applyNumberFormat="1" applyFont="1" applyFill="1" applyBorder="1" applyAlignment="1">
      <alignment horizontal="center"/>
    </xf>
    <xf numFmtId="0" fontId="2" fillId="0" borderId="49" xfId="0" applyFont="1" applyBorder="1" applyAlignment="1">
      <alignment wrapText="1"/>
    </xf>
    <xf numFmtId="0" fontId="2" fillId="37" borderId="15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1" fillId="33" borderId="11" xfId="0" applyFont="1" applyFill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7" borderId="15" xfId="0" applyFont="1" applyFill="1" applyBorder="1" applyAlignment="1">
      <alignment wrapText="1"/>
    </xf>
    <xf numFmtId="4" fontId="11" fillId="0" borderId="13" xfId="0" applyNumberFormat="1" applyFont="1" applyFill="1" applyBorder="1" applyAlignment="1">
      <alignment/>
    </xf>
    <xf numFmtId="4" fontId="2" fillId="34" borderId="43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7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5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4" fontId="1" fillId="0" borderId="56" xfId="0" applyNumberFormat="1" applyFont="1" applyFill="1" applyBorder="1" applyAlignment="1">
      <alignment/>
    </xf>
    <xf numFmtId="4" fontId="1" fillId="0" borderId="5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50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53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27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/>
    </xf>
    <xf numFmtId="0" fontId="0" fillId="0" borderId="0" xfId="0" applyFill="1" applyAlignment="1">
      <alignment/>
    </xf>
    <xf numFmtId="164" fontId="2" fillId="33" borderId="11" xfId="0" applyNumberFormat="1" applyFont="1" applyFill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4" fontId="2" fillId="37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right" wrapText="1"/>
    </xf>
    <xf numFmtId="4" fontId="1" fillId="0" borderId="5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0" fontId="1" fillId="36" borderId="50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2" fontId="1" fillId="38" borderId="50" xfId="0" applyNumberFormat="1" applyFont="1" applyFill="1" applyBorder="1" applyAlignment="1">
      <alignment horizontal="center" vertical="center" wrapText="1"/>
    </xf>
    <xf numFmtId="2" fontId="1" fillId="38" borderId="44" xfId="0" applyNumberFormat="1" applyFont="1" applyFill="1" applyBorder="1" applyAlignment="1">
      <alignment horizontal="center" vertical="center" wrapText="1"/>
    </xf>
    <xf numFmtId="2" fontId="1" fillId="38" borderId="45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textRotation="90"/>
    </xf>
    <xf numFmtId="0" fontId="1" fillId="0" borderId="44" xfId="0" applyFont="1" applyFill="1" applyBorder="1" applyAlignment="1">
      <alignment horizontal="center" textRotation="90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9" fillId="0" borderId="50" xfId="0" applyNumberFormat="1" applyFont="1" applyFill="1" applyBorder="1" applyAlignment="1">
      <alignment horizontal="center" vertical="center" wrapText="1"/>
    </xf>
    <xf numFmtId="2" fontId="9" fillId="0" borderId="45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34" borderId="50" xfId="0" applyNumberFormat="1" applyFont="1" applyFill="1" applyBorder="1" applyAlignment="1">
      <alignment horizontal="center" vertical="center" wrapText="1"/>
    </xf>
    <xf numFmtId="4" fontId="1" fillId="34" borderId="44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1" fillId="0" borderId="40" xfId="0" applyFont="1" applyFill="1" applyBorder="1" applyAlignment="1">
      <alignment horizontal="center" textRotation="90"/>
    </xf>
    <xf numFmtId="0" fontId="1" fillId="0" borderId="46" xfId="0" applyFont="1" applyFill="1" applyBorder="1" applyAlignment="1">
      <alignment horizontal="center" textRotation="90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0" fontId="1" fillId="37" borderId="50" xfId="0" applyFont="1" applyFill="1" applyBorder="1" applyAlignment="1">
      <alignment horizontal="center" textRotation="90"/>
    </xf>
    <xf numFmtId="0" fontId="1" fillId="37" borderId="44" xfId="0" applyFont="1" applyFill="1" applyBorder="1" applyAlignment="1">
      <alignment horizontal="center" textRotation="90"/>
    </xf>
    <xf numFmtId="2" fontId="8" fillId="34" borderId="50" xfId="0" applyNumberFormat="1" applyFont="1" applyFill="1" applyBorder="1" applyAlignment="1">
      <alignment horizontal="center" vertical="center" wrapText="1"/>
    </xf>
    <xf numFmtId="2" fontId="8" fillId="34" borderId="44" xfId="0" applyNumberFormat="1" applyFont="1" applyFill="1" applyBorder="1" applyAlignment="1">
      <alignment horizontal="center" vertical="center" wrapText="1"/>
    </xf>
    <xf numFmtId="2" fontId="8" fillId="34" borderId="45" xfId="0" applyNumberFormat="1" applyFont="1" applyFill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5" borderId="20" xfId="0" applyNumberFormat="1" applyFont="1" applyFill="1" applyBorder="1" applyAlignment="1">
      <alignment horizontal="center" vertical="center" wrapText="1"/>
    </xf>
    <xf numFmtId="2" fontId="1" fillId="35" borderId="56" xfId="0" applyNumberFormat="1" applyFont="1" applyFill="1" applyBorder="1" applyAlignment="1">
      <alignment horizontal="center" vertical="center" wrapText="1"/>
    </xf>
    <xf numFmtId="2" fontId="1" fillId="35" borderId="50" xfId="0" applyNumberFormat="1" applyFont="1" applyFill="1" applyBorder="1" applyAlignment="1">
      <alignment horizontal="center" vertical="center" wrapText="1"/>
    </xf>
    <xf numFmtId="2" fontId="1" fillId="35" borderId="4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3" fontId="0" fillId="0" borderId="27" xfId="60" applyFont="1" applyFill="1" applyBorder="1" applyAlignment="1">
      <alignment horizontal="center"/>
    </xf>
    <xf numFmtId="43" fontId="0" fillId="0" borderId="28" xfId="60" applyFont="1" applyFill="1" applyBorder="1" applyAlignment="1">
      <alignment horizontal="center"/>
    </xf>
    <xf numFmtId="2" fontId="1" fillId="33" borderId="50" xfId="0" applyNumberFormat="1" applyFont="1" applyFill="1" applyBorder="1" applyAlignment="1">
      <alignment horizontal="center" textRotation="90" wrapText="1"/>
    </xf>
    <xf numFmtId="2" fontId="1" fillId="33" borderId="44" xfId="0" applyNumberFormat="1" applyFont="1" applyFill="1" applyBorder="1" applyAlignment="1">
      <alignment horizontal="center" textRotation="90" wrapText="1"/>
    </xf>
    <xf numFmtId="2" fontId="1" fillId="33" borderId="45" xfId="0" applyNumberFormat="1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67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horizontal="center" vertical="center" textRotation="90" wrapText="1"/>
    </xf>
    <xf numFmtId="2" fontId="1" fillId="33" borderId="31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21" xfId="0" applyNumberFormat="1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2" fontId="8" fillId="0" borderId="50" xfId="0" applyNumberFormat="1" applyFont="1" applyFill="1" applyBorder="1" applyAlignment="1">
      <alignment horizontal="center" vertical="center" wrapText="1"/>
    </xf>
    <xf numFmtId="2" fontId="8" fillId="0" borderId="44" xfId="0" applyNumberFormat="1" applyFont="1" applyFill="1" applyBorder="1" applyAlignment="1">
      <alignment horizontal="center" vertical="center" wrapText="1"/>
    </xf>
    <xf numFmtId="2" fontId="8" fillId="0" borderId="4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62" xfId="0" applyFont="1" applyFill="1" applyBorder="1" applyAlignment="1">
      <alignment horizontal="center" vertical="center" wrapText="1"/>
    </xf>
    <xf numFmtId="0" fontId="1" fillId="36" borderId="60" xfId="0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textRotation="90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textRotation="90"/>
    </xf>
    <xf numFmtId="2" fontId="1" fillId="0" borderId="74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72" xfId="0" applyNumberFormat="1" applyFont="1" applyFill="1" applyBorder="1" applyAlignment="1">
      <alignment horizontal="center" vertical="center" wrapText="1"/>
    </xf>
    <xf numFmtId="2" fontId="1" fillId="34" borderId="66" xfId="0" applyNumberFormat="1" applyFont="1" applyFill="1" applyBorder="1" applyAlignment="1">
      <alignment horizontal="center" vertical="center" wrapText="1"/>
    </xf>
    <xf numFmtId="2" fontId="1" fillId="34" borderId="75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76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7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37" xfId="0" applyNumberFormat="1" applyFont="1" applyFill="1" applyBorder="1" applyAlignment="1">
      <alignment horizontal="center" vertical="center" textRotation="90" wrapText="1"/>
    </xf>
    <xf numFmtId="2" fontId="1" fillId="0" borderId="45" xfId="0" applyNumberFormat="1" applyFont="1" applyFill="1" applyBorder="1" applyAlignment="1">
      <alignment horizontal="center" vertical="center" textRotation="90" wrapText="1"/>
    </xf>
    <xf numFmtId="2" fontId="1" fillId="0" borderId="56" xfId="0" applyNumberFormat="1" applyFont="1" applyFill="1" applyBorder="1" applyAlignment="1">
      <alignment horizontal="center" vertical="center" textRotation="90" wrapText="1"/>
    </xf>
    <xf numFmtId="2" fontId="1" fillId="0" borderId="58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164" fontId="2" fillId="33" borderId="11" xfId="0" applyNumberFormat="1" applyFont="1" applyFill="1" applyBorder="1" applyAlignment="1">
      <alignment horizontal="right"/>
    </xf>
    <xf numFmtId="4" fontId="0" fillId="39" borderId="15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1;&#1077;&#1085;&#1080;&#1085;&#1072;,%2084%20&#1089;%202011%20&#1075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1;&#1077;&#1085;&#1080;&#1085;&#1072;,%2074%20&#1089;%202011%20&#1075;.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5">
        <row r="41">
          <cell r="F41">
            <v>489.96668000000005</v>
          </cell>
          <cell r="O41">
            <v>222.00530404</v>
          </cell>
        </row>
      </sheetData>
      <sheetData sheetId="6">
        <row r="42">
          <cell r="O42">
            <v>231.53833996000003</v>
          </cell>
        </row>
        <row r="88">
          <cell r="O88">
            <v>356.6521066200001</v>
          </cell>
        </row>
      </sheetData>
      <sheetData sheetId="7">
        <row r="42">
          <cell r="O42">
            <v>231.43313658800002</v>
          </cell>
        </row>
        <row r="89">
          <cell r="O89">
            <v>356.490055686</v>
          </cell>
        </row>
      </sheetData>
      <sheetData sheetId="8">
        <row r="42">
          <cell r="O42">
            <v>231.3981337052</v>
          </cell>
        </row>
        <row r="89">
          <cell r="O89">
            <v>356.4361386894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  <sheetDataSet>
      <sheetData sheetId="1">
        <row r="44">
          <cell r="AD4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Z44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42">
          <cell r="J42">
            <v>489.708</v>
          </cell>
        </row>
        <row r="91">
          <cell r="J91">
            <v>891.726</v>
          </cell>
        </row>
        <row r="157">
          <cell r="J157">
            <v>100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42">
          <cell r="J42">
            <v>489.708</v>
          </cell>
          <cell r="S42">
            <v>352.786</v>
          </cell>
        </row>
        <row r="89">
          <cell r="J89">
            <v>891.726</v>
          </cell>
          <cell r="S89">
            <v>543.417</v>
          </cell>
        </row>
        <row r="163">
          <cell r="J163">
            <v>100</v>
          </cell>
          <cell r="S163">
            <v>25</v>
          </cell>
        </row>
      </sheetData>
      <sheetData sheetId="10">
        <row r="42">
          <cell r="J42">
            <v>489.708</v>
          </cell>
          <cell r="S42">
            <v>352.786</v>
          </cell>
        </row>
        <row r="89">
          <cell r="J89">
            <v>891.726</v>
          </cell>
          <cell r="S89">
            <v>543.417</v>
          </cell>
        </row>
        <row r="163">
          <cell r="J163">
            <v>100</v>
          </cell>
          <cell r="S163">
            <v>25</v>
          </cell>
        </row>
      </sheetData>
      <sheetData sheetId="11">
        <row r="42">
          <cell r="J42">
            <v>489.708</v>
          </cell>
          <cell r="S42">
            <v>352.786</v>
          </cell>
        </row>
        <row r="89">
          <cell r="J89">
            <v>891.726</v>
          </cell>
          <cell r="S89">
            <v>543.417</v>
          </cell>
        </row>
        <row r="187">
          <cell r="J187">
            <v>100</v>
          </cell>
          <cell r="S187">
            <v>25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2">
        <row r="22">
          <cell r="AF22">
            <v>119347.64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42">
          <cell r="I42">
            <v>489.708</v>
          </cell>
          <cell r="R42">
            <v>352.786</v>
          </cell>
        </row>
        <row r="90">
          <cell r="I90">
            <v>891.726</v>
          </cell>
          <cell r="R90">
            <v>543.417</v>
          </cell>
        </row>
        <row r="153">
          <cell r="I153">
            <v>100</v>
          </cell>
          <cell r="R153">
            <v>25</v>
          </cell>
        </row>
      </sheetData>
      <sheetData sheetId="1">
        <row r="42">
          <cell r="J42">
            <v>489.708</v>
          </cell>
          <cell r="S42">
            <v>352.786</v>
          </cell>
        </row>
        <row r="90">
          <cell r="J90">
            <v>891.726</v>
          </cell>
          <cell r="S90">
            <v>543.417</v>
          </cell>
        </row>
        <row r="154">
          <cell r="S154">
            <v>25</v>
          </cell>
        </row>
        <row r="155">
          <cell r="J155">
            <v>100</v>
          </cell>
        </row>
      </sheetData>
      <sheetData sheetId="2">
        <row r="42">
          <cell r="J42">
            <v>489.708</v>
          </cell>
          <cell r="S42">
            <v>352.786</v>
          </cell>
        </row>
        <row r="90">
          <cell r="J90">
            <v>891.726</v>
          </cell>
          <cell r="S90">
            <v>543.417</v>
          </cell>
        </row>
        <row r="155">
          <cell r="J155">
            <v>100</v>
          </cell>
          <cell r="S155">
            <v>25</v>
          </cell>
        </row>
      </sheetData>
      <sheetData sheetId="3">
        <row r="42">
          <cell r="S42">
            <v>352.786</v>
          </cell>
        </row>
        <row r="91">
          <cell r="S91">
            <v>543.417</v>
          </cell>
        </row>
        <row r="157">
          <cell r="S157">
            <v>25</v>
          </cell>
        </row>
      </sheetData>
      <sheetData sheetId="4">
        <row r="42">
          <cell r="J42">
            <v>489.708</v>
          </cell>
          <cell r="S42">
            <v>352.786</v>
          </cell>
        </row>
        <row r="89">
          <cell r="J89">
            <v>891.726</v>
          </cell>
          <cell r="S89">
            <v>543.417</v>
          </cell>
        </row>
        <row r="155">
          <cell r="J155">
            <v>100</v>
          </cell>
          <cell r="S155">
            <v>25</v>
          </cell>
        </row>
      </sheetData>
      <sheetData sheetId="5">
        <row r="42">
          <cell r="J42">
            <v>489.708</v>
          </cell>
          <cell r="S42">
            <v>352.786</v>
          </cell>
        </row>
        <row r="89">
          <cell r="J89">
            <v>891.726</v>
          </cell>
          <cell r="S89">
            <v>543.417</v>
          </cell>
        </row>
        <row r="155">
          <cell r="J155">
            <v>100</v>
          </cell>
          <cell r="S155">
            <v>25</v>
          </cell>
        </row>
      </sheetData>
      <sheetData sheetId="6">
        <row r="42">
          <cell r="J42">
            <v>489.708</v>
          </cell>
          <cell r="S42">
            <v>352.786</v>
          </cell>
        </row>
        <row r="89">
          <cell r="J89">
            <v>891.726</v>
          </cell>
          <cell r="S89">
            <v>543.417</v>
          </cell>
        </row>
        <row r="159">
          <cell r="J159">
            <v>100</v>
          </cell>
          <cell r="S159">
            <v>25</v>
          </cell>
        </row>
      </sheetData>
      <sheetData sheetId="7">
        <row r="42">
          <cell r="J42">
            <v>489.708</v>
          </cell>
          <cell r="S42">
            <v>352.786</v>
          </cell>
        </row>
        <row r="89">
          <cell r="J89">
            <v>891.726</v>
          </cell>
          <cell r="S89">
            <v>543.417</v>
          </cell>
        </row>
        <row r="163">
          <cell r="J163">
            <v>100</v>
          </cell>
          <cell r="S163">
            <v>25</v>
          </cell>
        </row>
      </sheetData>
      <sheetData sheetId="8">
        <row r="42">
          <cell r="J42">
            <v>489.708</v>
          </cell>
        </row>
        <row r="89">
          <cell r="J89">
            <v>891.726</v>
          </cell>
        </row>
        <row r="163">
          <cell r="J163">
            <v>100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</sheetNames>
    <sheetDataSet>
      <sheetData sheetId="0">
        <row r="24">
          <cell r="J24">
            <v>626.63</v>
          </cell>
          <cell r="S24">
            <v>352.786</v>
          </cell>
        </row>
        <row r="63">
          <cell r="J63">
            <v>1102.6350000000002</v>
          </cell>
          <cell r="S63">
            <v>543.417</v>
          </cell>
        </row>
        <row r="185">
          <cell r="J185">
            <v>100</v>
          </cell>
          <cell r="S185">
            <v>25</v>
          </cell>
        </row>
      </sheetData>
      <sheetData sheetId="1">
        <row r="62">
          <cell r="J62">
            <v>1102.6350000000002</v>
          </cell>
          <cell r="S62">
            <v>543.417</v>
          </cell>
        </row>
        <row r="184">
          <cell r="J184">
            <v>100</v>
          </cell>
          <cell r="S184">
            <v>25</v>
          </cell>
        </row>
      </sheetData>
      <sheetData sheetId="4">
        <row r="61">
          <cell r="J61">
            <v>1102.6350000000002</v>
          </cell>
          <cell r="S61">
            <v>543.417</v>
          </cell>
        </row>
        <row r="186">
          <cell r="J186">
            <v>100</v>
          </cell>
          <cell r="S186">
            <v>25</v>
          </cell>
        </row>
      </sheetData>
      <sheetData sheetId="5">
        <row r="61">
          <cell r="J61">
            <v>1102.6350000000002</v>
          </cell>
          <cell r="S61">
            <v>543.417</v>
          </cell>
        </row>
        <row r="217">
          <cell r="J217">
            <v>100</v>
          </cell>
          <cell r="S217">
            <v>25</v>
          </cell>
        </row>
      </sheetData>
      <sheetData sheetId="6">
        <row r="61">
          <cell r="J61">
            <v>1102.6350000000002</v>
          </cell>
          <cell r="S61">
            <v>543.417</v>
          </cell>
        </row>
        <row r="219">
          <cell r="J219">
            <v>100</v>
          </cell>
          <cell r="S219">
            <v>25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7">
        <row r="61">
          <cell r="J61">
            <v>1102.6350000000002</v>
          </cell>
          <cell r="S61">
            <v>543.417</v>
          </cell>
        </row>
        <row r="219">
          <cell r="J219">
            <v>100</v>
          </cell>
          <cell r="S219">
            <v>25</v>
          </cell>
        </row>
      </sheetData>
      <sheetData sheetId="8">
        <row r="61">
          <cell r="J61">
            <v>1102.6350000000002</v>
          </cell>
          <cell r="S61">
            <v>543.417</v>
          </cell>
        </row>
        <row r="219">
          <cell r="J219">
            <v>100</v>
          </cell>
          <cell r="S219">
            <v>25</v>
          </cell>
        </row>
      </sheetData>
      <sheetData sheetId="9">
        <row r="61">
          <cell r="J61">
            <v>1102.6350000000002</v>
          </cell>
          <cell r="S61">
            <v>543.417</v>
          </cell>
        </row>
        <row r="218">
          <cell r="J218">
            <v>100</v>
          </cell>
          <cell r="S218">
            <v>25</v>
          </cell>
        </row>
      </sheetData>
      <sheetData sheetId="10">
        <row r="61">
          <cell r="J61">
            <v>1102.6350000000002</v>
          </cell>
          <cell r="S61">
            <v>543.417</v>
          </cell>
        </row>
        <row r="220">
          <cell r="J220">
            <v>100</v>
          </cell>
          <cell r="S220">
            <v>25</v>
          </cell>
        </row>
      </sheetData>
      <sheetData sheetId="11">
        <row r="61">
          <cell r="J61">
            <v>1102.6350000000002</v>
          </cell>
          <cell r="S61">
            <v>543.417</v>
          </cell>
        </row>
        <row r="223">
          <cell r="J223">
            <v>100</v>
          </cell>
          <cell r="S223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42">
          <cell r="I42">
            <v>489.96668000000005</v>
          </cell>
        </row>
        <row r="88">
          <cell r="I88">
            <v>892.51666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3">
          <cell r="I43">
            <v>489.96668000000005</v>
          </cell>
        </row>
        <row r="96">
          <cell r="I96">
            <v>892.51666</v>
          </cell>
        </row>
      </sheetData>
      <sheetData sheetId="1">
        <row r="43">
          <cell r="I43">
            <v>489.96668000000005</v>
          </cell>
          <cell r="O43">
            <v>233.53452000000001</v>
          </cell>
        </row>
        <row r="96">
          <cell r="I96">
            <v>892.51666</v>
          </cell>
          <cell r="O96">
            <v>359.72694</v>
          </cell>
        </row>
      </sheetData>
      <sheetData sheetId="2">
        <row r="43">
          <cell r="I43">
            <v>489.96668000000005</v>
          </cell>
          <cell r="O43">
            <v>233.53452000000001</v>
          </cell>
        </row>
        <row r="97">
          <cell r="I97">
            <v>892.51666</v>
          </cell>
          <cell r="O97">
            <v>359.72694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3">
          <cell r="O43">
            <v>233.19851599999998</v>
          </cell>
        </row>
        <row r="96">
          <cell r="O96">
            <v>359.22850200000005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41">
          <cell r="I41">
            <v>489.96668000000005</v>
          </cell>
        </row>
        <row r="94">
          <cell r="I94">
            <v>892.51666</v>
          </cell>
        </row>
      </sheetData>
      <sheetData sheetId="2">
        <row r="42">
          <cell r="M42">
            <v>233.25799999999998</v>
          </cell>
        </row>
        <row r="95">
          <cell r="M95">
            <v>359.30100000000004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42">
          <cell r="I42">
            <v>489.96668000000005</v>
          </cell>
          <cell r="M42">
            <v>233.25799999999998</v>
          </cell>
        </row>
        <row r="95">
          <cell r="I95">
            <v>892.51666</v>
          </cell>
          <cell r="M95">
            <v>359.30100000000004</v>
          </cell>
        </row>
      </sheetData>
      <sheetData sheetId="5">
        <row r="42">
          <cell r="M42">
            <v>233.25799999999998</v>
          </cell>
        </row>
        <row r="93">
          <cell r="M93">
            <v>359.30100000000004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42">
          <cell r="I42">
            <v>489.96668000000005</v>
          </cell>
        </row>
        <row r="92">
          <cell r="I92">
            <v>892.53666</v>
          </cell>
        </row>
      </sheetData>
      <sheetData sheetId="8">
        <row r="42">
          <cell r="I42">
            <v>489.96668000000005</v>
          </cell>
        </row>
        <row r="92">
          <cell r="I92">
            <v>892.53666</v>
          </cell>
        </row>
      </sheetData>
      <sheetData sheetId="9">
        <row r="42">
          <cell r="I42">
            <v>489.96668000000005</v>
          </cell>
          <cell r="M42">
            <v>233.25799999999998</v>
          </cell>
        </row>
        <row r="92">
          <cell r="I92">
            <v>892.53666</v>
          </cell>
          <cell r="M92">
            <v>359.30100000000004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9">
        <row r="42">
          <cell r="I42">
            <v>489.96668000000005</v>
          </cell>
          <cell r="M42">
            <v>233.25799999999998</v>
          </cell>
        </row>
        <row r="92">
          <cell r="I92">
            <v>892.53666</v>
          </cell>
          <cell r="M92">
            <v>359.30100000000004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O1">
      <selection activeCell="A8" sqref="A8:IV43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5" width="9.125" style="2" customWidth="1"/>
    <col min="26" max="26" width="8.125" style="2" customWidth="1"/>
    <col min="27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1.37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3" width="10.125" style="2" bestFit="1" customWidth="1"/>
    <col min="44" max="44" width="9.25390625" style="2" bestFit="1" customWidth="1"/>
    <col min="45" max="45" width="10.625" style="2" customWidth="1"/>
    <col min="46" max="46" width="9.25390625" style="2" bestFit="1" customWidth="1"/>
    <col min="47" max="48" width="10.125" style="2" bestFit="1" customWidth="1"/>
    <col min="49" max="50" width="10.375" style="2" customWidth="1"/>
    <col min="51" max="51" width="10.75390625" style="2" customWidth="1"/>
    <col min="52" max="52" width="14.00390625" style="2" customWidth="1"/>
    <col min="53" max="53" width="9.125" style="2" customWidth="1"/>
    <col min="54" max="54" width="10.00390625" style="2" customWidth="1"/>
    <col min="55" max="55" width="9.125" style="2" customWidth="1"/>
    <col min="56" max="56" width="10.625" style="2" customWidth="1"/>
    <col min="57" max="58" width="10.125" style="2" customWidth="1"/>
    <col min="59" max="16384" width="9.125" style="2" customWidth="1"/>
  </cols>
  <sheetData>
    <row r="1" spans="1:18" ht="12.75">
      <c r="A1" s="359" t="s">
        <v>77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352" t="s">
        <v>82</v>
      </c>
      <c r="B3" s="361" t="s">
        <v>0</v>
      </c>
      <c r="C3" s="363" t="s">
        <v>1</v>
      </c>
      <c r="D3" s="365" t="s">
        <v>2</v>
      </c>
      <c r="E3" s="352" t="s">
        <v>11</v>
      </c>
      <c r="F3" s="367"/>
      <c r="G3" s="352" t="s">
        <v>12</v>
      </c>
      <c r="H3" s="353"/>
      <c r="I3" s="352" t="s">
        <v>13</v>
      </c>
      <c r="J3" s="353"/>
      <c r="K3" s="352" t="s">
        <v>14</v>
      </c>
      <c r="L3" s="353"/>
      <c r="M3" s="356" t="s">
        <v>15</v>
      </c>
      <c r="N3" s="353"/>
      <c r="O3" s="352" t="s">
        <v>16</v>
      </c>
      <c r="P3" s="353"/>
      <c r="Q3" s="352" t="s">
        <v>17</v>
      </c>
      <c r="R3" s="353"/>
      <c r="S3" s="352" t="s">
        <v>3</v>
      </c>
      <c r="T3" s="356"/>
      <c r="U3" s="386" t="s">
        <v>4</v>
      </c>
      <c r="V3" s="387"/>
      <c r="W3" s="387"/>
      <c r="X3" s="387"/>
      <c r="Y3" s="387"/>
      <c r="Z3" s="387"/>
      <c r="AA3" s="387"/>
      <c r="AB3" s="387"/>
      <c r="AC3" s="382" t="s">
        <v>83</v>
      </c>
      <c r="AD3" s="374" t="s">
        <v>6</v>
      </c>
      <c r="AE3" s="374" t="s">
        <v>7</v>
      </c>
      <c r="AF3" s="379" t="s">
        <v>76</v>
      </c>
      <c r="AG3" s="334" t="s">
        <v>8</v>
      </c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6"/>
      <c r="BC3" s="325" t="s">
        <v>84</v>
      </c>
      <c r="BD3" s="326"/>
      <c r="BE3" s="327" t="s">
        <v>9</v>
      </c>
      <c r="BF3" s="327" t="s">
        <v>10</v>
      </c>
    </row>
    <row r="4" spans="1:58" ht="36" customHeight="1" thickBot="1">
      <c r="A4" s="360"/>
      <c r="B4" s="362"/>
      <c r="C4" s="364"/>
      <c r="D4" s="366"/>
      <c r="E4" s="368"/>
      <c r="F4" s="369"/>
      <c r="G4" s="354"/>
      <c r="H4" s="355"/>
      <c r="I4" s="354"/>
      <c r="J4" s="355"/>
      <c r="K4" s="354"/>
      <c r="L4" s="355"/>
      <c r="M4" s="357"/>
      <c r="N4" s="358"/>
      <c r="O4" s="354"/>
      <c r="P4" s="355"/>
      <c r="Q4" s="354"/>
      <c r="R4" s="355"/>
      <c r="S4" s="354"/>
      <c r="T4" s="385"/>
      <c r="U4" s="388"/>
      <c r="V4" s="389"/>
      <c r="W4" s="389"/>
      <c r="X4" s="389"/>
      <c r="Y4" s="389"/>
      <c r="Z4" s="389"/>
      <c r="AA4" s="389"/>
      <c r="AB4" s="389"/>
      <c r="AC4" s="383"/>
      <c r="AD4" s="375"/>
      <c r="AE4" s="375"/>
      <c r="AF4" s="380"/>
      <c r="AG4" s="337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9"/>
      <c r="BC4" s="330" t="s">
        <v>79</v>
      </c>
      <c r="BD4" s="323" t="s">
        <v>85</v>
      </c>
      <c r="BE4" s="328"/>
      <c r="BF4" s="328"/>
    </row>
    <row r="5" spans="1:58" ht="29.25" customHeight="1" thickBot="1">
      <c r="A5" s="360"/>
      <c r="B5" s="362"/>
      <c r="C5" s="364"/>
      <c r="D5" s="366"/>
      <c r="E5" s="370" t="s">
        <v>18</v>
      </c>
      <c r="F5" s="341" t="s">
        <v>19</v>
      </c>
      <c r="G5" s="341" t="s">
        <v>18</v>
      </c>
      <c r="H5" s="341" t="s">
        <v>19</v>
      </c>
      <c r="I5" s="341" t="s">
        <v>18</v>
      </c>
      <c r="J5" s="341" t="s">
        <v>19</v>
      </c>
      <c r="K5" s="341" t="s">
        <v>18</v>
      </c>
      <c r="L5" s="341" t="s">
        <v>19</v>
      </c>
      <c r="M5" s="341" t="s">
        <v>18</v>
      </c>
      <c r="N5" s="341" t="s">
        <v>19</v>
      </c>
      <c r="O5" s="341" t="s">
        <v>18</v>
      </c>
      <c r="P5" s="341" t="s">
        <v>19</v>
      </c>
      <c r="Q5" s="341" t="s">
        <v>18</v>
      </c>
      <c r="R5" s="341" t="s">
        <v>19</v>
      </c>
      <c r="S5" s="341" t="s">
        <v>18</v>
      </c>
      <c r="T5" s="377" t="s">
        <v>19</v>
      </c>
      <c r="U5" s="344" t="s">
        <v>20</v>
      </c>
      <c r="V5" s="344" t="s">
        <v>21</v>
      </c>
      <c r="W5" s="344" t="s">
        <v>22</v>
      </c>
      <c r="X5" s="344" t="s">
        <v>23</v>
      </c>
      <c r="Y5" s="344" t="s">
        <v>24</v>
      </c>
      <c r="Z5" s="344" t="s">
        <v>25</v>
      </c>
      <c r="AA5" s="344" t="s">
        <v>26</v>
      </c>
      <c r="AB5" s="343" t="s">
        <v>27</v>
      </c>
      <c r="AC5" s="383"/>
      <c r="AD5" s="375"/>
      <c r="AE5" s="375"/>
      <c r="AF5" s="380"/>
      <c r="AG5" s="350" t="s">
        <v>28</v>
      </c>
      <c r="AH5" s="372" t="s">
        <v>29</v>
      </c>
      <c r="AI5" s="372" t="s">
        <v>30</v>
      </c>
      <c r="AJ5" s="333" t="s">
        <v>31</v>
      </c>
      <c r="AK5" s="372" t="s">
        <v>32</v>
      </c>
      <c r="AL5" s="333" t="s">
        <v>31</v>
      </c>
      <c r="AM5" s="333" t="s">
        <v>33</v>
      </c>
      <c r="AN5" s="333" t="s">
        <v>31</v>
      </c>
      <c r="AO5" s="333" t="s">
        <v>34</v>
      </c>
      <c r="AP5" s="333" t="s">
        <v>31</v>
      </c>
      <c r="AQ5" s="390" t="s">
        <v>86</v>
      </c>
      <c r="AR5" s="392" t="s">
        <v>31</v>
      </c>
      <c r="AS5" s="348" t="s">
        <v>87</v>
      </c>
      <c r="AT5" s="348" t="s">
        <v>88</v>
      </c>
      <c r="AU5" s="127" t="s">
        <v>31</v>
      </c>
      <c r="AV5" s="325" t="s">
        <v>89</v>
      </c>
      <c r="AW5" s="340"/>
      <c r="AX5" s="326"/>
      <c r="AY5" s="346" t="s">
        <v>17</v>
      </c>
      <c r="AZ5" s="323" t="s">
        <v>36</v>
      </c>
      <c r="BA5" s="323" t="s">
        <v>31</v>
      </c>
      <c r="BB5" s="323" t="s">
        <v>37</v>
      </c>
      <c r="BC5" s="331"/>
      <c r="BD5" s="333"/>
      <c r="BE5" s="328"/>
      <c r="BF5" s="328"/>
    </row>
    <row r="6" spans="1:58" ht="54" customHeight="1" thickBot="1">
      <c r="A6" s="360"/>
      <c r="B6" s="362"/>
      <c r="C6" s="364"/>
      <c r="D6" s="366"/>
      <c r="E6" s="371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78"/>
      <c r="U6" s="345"/>
      <c r="V6" s="345"/>
      <c r="W6" s="345"/>
      <c r="X6" s="345"/>
      <c r="Y6" s="345"/>
      <c r="Z6" s="345"/>
      <c r="AA6" s="345"/>
      <c r="AB6" s="337"/>
      <c r="AC6" s="384"/>
      <c r="AD6" s="376"/>
      <c r="AE6" s="376"/>
      <c r="AF6" s="381"/>
      <c r="AG6" s="351"/>
      <c r="AH6" s="373"/>
      <c r="AI6" s="373"/>
      <c r="AJ6" s="324"/>
      <c r="AK6" s="373"/>
      <c r="AL6" s="324"/>
      <c r="AM6" s="324"/>
      <c r="AN6" s="324"/>
      <c r="AO6" s="324"/>
      <c r="AP6" s="324"/>
      <c r="AQ6" s="391"/>
      <c r="AR6" s="393"/>
      <c r="AS6" s="349"/>
      <c r="AT6" s="349"/>
      <c r="AU6" s="129"/>
      <c r="AV6" s="128" t="s">
        <v>90</v>
      </c>
      <c r="AW6" s="128" t="s">
        <v>91</v>
      </c>
      <c r="AX6" s="128" t="s">
        <v>92</v>
      </c>
      <c r="AY6" s="347"/>
      <c r="AZ6" s="324"/>
      <c r="BA6" s="324"/>
      <c r="BB6" s="324"/>
      <c r="BC6" s="332"/>
      <c r="BD6" s="324"/>
      <c r="BE6" s="329"/>
      <c r="BF6" s="329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30">
        <v>43</v>
      </c>
      <c r="AR7" s="131">
        <v>44</v>
      </c>
      <c r="AS7" s="132">
        <v>45</v>
      </c>
      <c r="AT7" s="10">
        <v>46</v>
      </c>
      <c r="AU7" s="132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33"/>
    </row>
    <row r="8" spans="1:58" ht="12.75" hidden="1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34"/>
      <c r="AR8" s="134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33"/>
    </row>
    <row r="9" spans="1:58" ht="12.75" hidden="1">
      <c r="A9" s="135" t="s">
        <v>39</v>
      </c>
      <c r="B9" s="88">
        <v>1174.4</v>
      </c>
      <c r="C9" s="186">
        <f>B9*8.65</f>
        <v>10158.560000000001</v>
      </c>
      <c r="D9" s="187">
        <f>C9*0.24088</f>
        <v>2446.9939328000005</v>
      </c>
      <c r="E9" s="89">
        <v>873.24</v>
      </c>
      <c r="F9" s="89">
        <v>102.96</v>
      </c>
      <c r="G9" s="89">
        <v>1178.89</v>
      </c>
      <c r="H9" s="89">
        <v>139.01</v>
      </c>
      <c r="I9" s="89">
        <v>2838.07</v>
      </c>
      <c r="J9" s="89">
        <v>334.62</v>
      </c>
      <c r="K9" s="89">
        <v>1964.82</v>
      </c>
      <c r="L9" s="89">
        <v>231.66</v>
      </c>
      <c r="M9" s="86">
        <v>180.29</v>
      </c>
      <c r="N9" s="86">
        <v>21.26</v>
      </c>
      <c r="O9" s="89">
        <v>0</v>
      </c>
      <c r="P9" s="89">
        <v>0</v>
      </c>
      <c r="Q9" s="89">
        <v>0</v>
      </c>
      <c r="R9" s="89">
        <v>0</v>
      </c>
      <c r="S9" s="89">
        <f>E9+G9+I9+K9+M9+O9+Q9</f>
        <v>7035.31</v>
      </c>
      <c r="T9" s="172">
        <f>P9+N9+L9+J9+H9+F9+R9</f>
        <v>829.51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96">
        <v>0</v>
      </c>
      <c r="AA9" s="96">
        <v>0</v>
      </c>
      <c r="AB9" s="96">
        <f>SUM(U9:AA9)</f>
        <v>0</v>
      </c>
      <c r="AC9" s="188">
        <f>D9+T9+AB9</f>
        <v>3276.5039328000003</v>
      </c>
      <c r="AD9" s="189">
        <f>P9+Z9</f>
        <v>0</v>
      </c>
      <c r="AE9" s="174">
        <f>R9+AA9</f>
        <v>0</v>
      </c>
      <c r="AF9" s="174"/>
      <c r="AG9" s="25">
        <f>0.6*B9</f>
        <v>704.64</v>
      </c>
      <c r="AH9" s="25">
        <f>B9*0.2*1.05826</f>
        <v>248.5641088</v>
      </c>
      <c r="AI9" s="25">
        <f>0.8518*B9</f>
        <v>1000.3539200000001</v>
      </c>
      <c r="AJ9" s="25">
        <f>AI9*0.18</f>
        <v>180.06370560000002</v>
      </c>
      <c r="AK9" s="25">
        <f>1.04*B9*0.9531</f>
        <v>1164.0934656000002</v>
      </c>
      <c r="AL9" s="25">
        <f>AK9*0.18</f>
        <v>209.53682380800004</v>
      </c>
      <c r="AM9" s="25">
        <f>(1.91)*B9*0.9531</f>
        <v>2137.9024224</v>
      </c>
      <c r="AN9" s="25">
        <f>AM9*0.18</f>
        <v>384.822436032</v>
      </c>
      <c r="AO9" s="25"/>
      <c r="AP9" s="25">
        <f>AO9*0.18</f>
        <v>0</v>
      </c>
      <c r="AQ9" s="175"/>
      <c r="AR9" s="175"/>
      <c r="AS9" s="94">
        <v>16591</v>
      </c>
      <c r="AT9" s="94"/>
      <c r="AU9" s="94">
        <f>(AS9+AT9)*0.18</f>
        <v>2986.38</v>
      </c>
      <c r="AV9" s="176"/>
      <c r="AW9" s="177"/>
      <c r="AX9" s="25">
        <f>AV9*AW9*1.12*1.18</f>
        <v>0</v>
      </c>
      <c r="AY9" s="178"/>
      <c r="AZ9" s="179"/>
      <c r="BA9" s="179">
        <f>AZ9*0.18</f>
        <v>0</v>
      </c>
      <c r="BB9" s="179">
        <f>SUM(AG9:BA9)-AV9-AW9</f>
        <v>25607.35688224</v>
      </c>
      <c r="BC9" s="180"/>
      <c r="BD9" s="18">
        <f>BB9-(AF9-BC9)</f>
        <v>25607.35688224</v>
      </c>
      <c r="BE9" s="136">
        <f>AC9-BB9</f>
        <v>-22330.85294944</v>
      </c>
      <c r="BF9" s="137">
        <f>AB9-S9</f>
        <v>-7035.31</v>
      </c>
    </row>
    <row r="10" spans="1:58" ht="12.75" hidden="1">
      <c r="A10" s="14" t="s">
        <v>40</v>
      </c>
      <c r="B10" s="88">
        <v>1174.4</v>
      </c>
      <c r="C10" s="186">
        <f>B10*8.65</f>
        <v>10158.560000000001</v>
      </c>
      <c r="D10" s="187">
        <f>C10*0.24088</f>
        <v>2446.9939328000005</v>
      </c>
      <c r="E10" s="89">
        <v>829.67</v>
      </c>
      <c r="F10" s="89">
        <v>99.58</v>
      </c>
      <c r="G10" s="89">
        <v>1120.01</v>
      </c>
      <c r="H10" s="89">
        <v>134.45</v>
      </c>
      <c r="I10" s="89">
        <v>2696.33</v>
      </c>
      <c r="J10" s="89">
        <v>323.64</v>
      </c>
      <c r="K10" s="89">
        <v>1866.69</v>
      </c>
      <c r="L10" s="89">
        <v>224.06</v>
      </c>
      <c r="M10" s="86">
        <v>676.05</v>
      </c>
      <c r="N10" s="86">
        <v>80.67</v>
      </c>
      <c r="O10" s="89">
        <v>0</v>
      </c>
      <c r="P10" s="89">
        <v>0</v>
      </c>
      <c r="Q10" s="89">
        <v>0</v>
      </c>
      <c r="R10" s="89">
        <v>0</v>
      </c>
      <c r="S10" s="89">
        <f>E10+G10+I10+K10+M10+O10+Q10</f>
        <v>7188.750000000001</v>
      </c>
      <c r="T10" s="172">
        <f>P10+N10+L10+J10+H10+F10+R10</f>
        <v>862.4</v>
      </c>
      <c r="U10" s="89">
        <v>400.2</v>
      </c>
      <c r="V10" s="89">
        <v>540.27</v>
      </c>
      <c r="W10" s="89">
        <v>1300.68</v>
      </c>
      <c r="X10" s="89">
        <v>900.45</v>
      </c>
      <c r="Y10" s="89">
        <v>88.34</v>
      </c>
      <c r="Z10" s="89">
        <v>0</v>
      </c>
      <c r="AA10" s="96">
        <v>0</v>
      </c>
      <c r="AB10" s="190">
        <f>SUM(U10:AA10)</f>
        <v>3229.9400000000005</v>
      </c>
      <c r="AC10" s="173">
        <f>D10+T10+AB10</f>
        <v>6539.333932800001</v>
      </c>
      <c r="AD10" s="174">
        <f>P10+Z10</f>
        <v>0</v>
      </c>
      <c r="AE10" s="174">
        <f>R10+AA10</f>
        <v>0</v>
      </c>
      <c r="AF10" s="174"/>
      <c r="AG10" s="25">
        <f>0.6*B10</f>
        <v>704.64</v>
      </c>
      <c r="AH10" s="25">
        <f>B10*0.201</f>
        <v>236.05440000000004</v>
      </c>
      <c r="AI10" s="25">
        <f>0.8518*B10</f>
        <v>1000.3539200000001</v>
      </c>
      <c r="AJ10" s="25">
        <f>AI10*0.18</f>
        <v>180.06370560000002</v>
      </c>
      <c r="AK10" s="25">
        <f>1.04*B10*0.9531</f>
        <v>1164.0934656000002</v>
      </c>
      <c r="AL10" s="25">
        <f>AK10*0.18</f>
        <v>209.53682380800004</v>
      </c>
      <c r="AM10" s="25">
        <f>(1.91)*B10*0.9531</f>
        <v>2137.9024224</v>
      </c>
      <c r="AN10" s="25">
        <f>AM10*0.18</f>
        <v>384.822436032</v>
      </c>
      <c r="AO10" s="25"/>
      <c r="AP10" s="25">
        <f>AO10*0.18</f>
        <v>0</v>
      </c>
      <c r="AQ10" s="175"/>
      <c r="AR10" s="175"/>
      <c r="AS10" s="94">
        <v>1840</v>
      </c>
      <c r="AT10" s="94"/>
      <c r="AU10" s="94">
        <f>(AS10+AT10)*0.18</f>
        <v>331.2</v>
      </c>
      <c r="AV10" s="176"/>
      <c r="AW10" s="177"/>
      <c r="AX10" s="25">
        <f>AV10*AW10*1.12*1.18</f>
        <v>0</v>
      </c>
      <c r="AY10" s="178"/>
      <c r="AZ10" s="179"/>
      <c r="BA10" s="179">
        <f>AZ10*0.18</f>
        <v>0</v>
      </c>
      <c r="BB10" s="179">
        <f>SUM(AG10:BA10)-AV10-AW10</f>
        <v>8188.66717344</v>
      </c>
      <c r="BC10" s="180"/>
      <c r="BD10" s="18">
        <f>BB10-(AF10-BC10)</f>
        <v>8188.66717344</v>
      </c>
      <c r="BE10" s="136">
        <f>AC10-BB10</f>
        <v>-1649.3332406399986</v>
      </c>
      <c r="BF10" s="136">
        <f>AB10-S10</f>
        <v>-3958.8100000000004</v>
      </c>
    </row>
    <row r="11" spans="1:58" ht="13.5" hidden="1" thickBot="1">
      <c r="A11" s="46" t="s">
        <v>41</v>
      </c>
      <c r="B11" s="88">
        <v>1174.4</v>
      </c>
      <c r="C11" s="186">
        <f>B11*8.65</f>
        <v>10158.560000000001</v>
      </c>
      <c r="D11" s="187">
        <f>C11*0.24035</f>
        <v>2441.6098960000004</v>
      </c>
      <c r="E11" s="89">
        <v>827.5</v>
      </c>
      <c r="F11" s="89">
        <v>101.27</v>
      </c>
      <c r="G11" s="89">
        <v>1117.11</v>
      </c>
      <c r="H11" s="89">
        <v>136.73</v>
      </c>
      <c r="I11" s="89">
        <v>2689.36</v>
      </c>
      <c r="J11" s="89">
        <v>329.13</v>
      </c>
      <c r="K11" s="89">
        <v>1861.86</v>
      </c>
      <c r="L11" s="89">
        <v>227.86</v>
      </c>
      <c r="M11" s="86">
        <v>660.17</v>
      </c>
      <c r="N11" s="90">
        <v>81.02</v>
      </c>
      <c r="O11" s="96">
        <v>0</v>
      </c>
      <c r="P11" s="96">
        <v>0</v>
      </c>
      <c r="Q11" s="96">
        <v>0</v>
      </c>
      <c r="R11" s="96">
        <v>0</v>
      </c>
      <c r="S11" s="89">
        <f>E11+G11+I11+K11+M11+O11+Q11</f>
        <v>7156</v>
      </c>
      <c r="T11" s="172">
        <f>P11+N11+L11+J11+H11+F11+R11</f>
        <v>876.01</v>
      </c>
      <c r="U11" s="89">
        <v>923.27</v>
      </c>
      <c r="V11" s="89">
        <v>1246.35</v>
      </c>
      <c r="W11" s="89">
        <v>3000.5</v>
      </c>
      <c r="X11" s="89">
        <v>2077.28</v>
      </c>
      <c r="Y11" s="89">
        <v>602.44</v>
      </c>
      <c r="Z11" s="89">
        <v>0</v>
      </c>
      <c r="AA11" s="96">
        <v>0</v>
      </c>
      <c r="AB11" s="190">
        <f>SUM(U11:AA11)</f>
        <v>7849.84</v>
      </c>
      <c r="AC11" s="173">
        <f>D11+T11+AB11</f>
        <v>11167.459896</v>
      </c>
      <c r="AD11" s="174">
        <f>P11+Z11</f>
        <v>0</v>
      </c>
      <c r="AE11" s="174">
        <f>R11+AA11</f>
        <v>0</v>
      </c>
      <c r="AF11" s="174"/>
      <c r="AG11" s="25">
        <f>0.6*B11</f>
        <v>704.64</v>
      </c>
      <c r="AH11" s="25">
        <f>B11*0.2*1.02524</f>
        <v>240.8083712</v>
      </c>
      <c r="AI11" s="25">
        <f>0.84932*B11</f>
        <v>997.441408</v>
      </c>
      <c r="AJ11" s="25">
        <f>AI11*0.18</f>
        <v>179.53945344</v>
      </c>
      <c r="AK11" s="25">
        <f>1.04*B11*0.95033</f>
        <v>1160.7102540800001</v>
      </c>
      <c r="AL11" s="25">
        <f>AK11*0.18</f>
        <v>208.92784573440002</v>
      </c>
      <c r="AM11" s="25">
        <f>(1.91)*B11*0.95033</f>
        <v>2131.6890243200005</v>
      </c>
      <c r="AN11" s="25">
        <f>AM11*0.18</f>
        <v>383.7040243776001</v>
      </c>
      <c r="AO11" s="25"/>
      <c r="AP11" s="25">
        <f>AO11*0.18</f>
        <v>0</v>
      </c>
      <c r="AQ11" s="175"/>
      <c r="AR11" s="175"/>
      <c r="AS11" s="94">
        <v>10610</v>
      </c>
      <c r="AT11" s="94"/>
      <c r="AU11" s="94">
        <f>(AS11+AT11)*0.18</f>
        <v>1909.8</v>
      </c>
      <c r="AV11" s="176"/>
      <c r="AW11" s="177"/>
      <c r="AX11" s="25">
        <f>AV11*AW11*1.12*1.18</f>
        <v>0</v>
      </c>
      <c r="AY11" s="178"/>
      <c r="AZ11" s="179"/>
      <c r="BA11" s="179">
        <f>AZ11*0.18</f>
        <v>0</v>
      </c>
      <c r="BB11" s="179">
        <f>SUM(AG11:BA11)-AV11-AW11</f>
        <v>18527.260381152</v>
      </c>
      <c r="BC11" s="180"/>
      <c r="BD11" s="18">
        <f>BB11-(AF11-BC11)</f>
        <v>18527.260381152</v>
      </c>
      <c r="BE11" s="136">
        <f>AC11-BB11</f>
        <v>-7359.800485151998</v>
      </c>
      <c r="BF11" s="136">
        <f>AB11-S11</f>
        <v>693.8400000000001</v>
      </c>
    </row>
    <row r="12" spans="1:58" s="24" customFormat="1" ht="15" customHeight="1" hidden="1" thickBot="1">
      <c r="A12" s="48" t="s">
        <v>3</v>
      </c>
      <c r="B12" s="80"/>
      <c r="C12" s="80">
        <f>SUM(C9:C11)</f>
        <v>30475.680000000004</v>
      </c>
      <c r="D12" s="80">
        <f aca="true" t="shared" si="0" ref="D12:BD12">SUM(D9:D11)</f>
        <v>7335.597761600002</v>
      </c>
      <c r="E12" s="80">
        <f t="shared" si="0"/>
        <v>2530.41</v>
      </c>
      <c r="F12" s="80">
        <f t="shared" si="0"/>
        <v>303.81</v>
      </c>
      <c r="G12" s="80">
        <f t="shared" si="0"/>
        <v>3416.01</v>
      </c>
      <c r="H12" s="80">
        <f t="shared" si="0"/>
        <v>410.18999999999994</v>
      </c>
      <c r="I12" s="80">
        <f t="shared" si="0"/>
        <v>8223.76</v>
      </c>
      <c r="J12" s="80">
        <f t="shared" si="0"/>
        <v>987.39</v>
      </c>
      <c r="K12" s="80">
        <f t="shared" si="0"/>
        <v>5693.37</v>
      </c>
      <c r="L12" s="80">
        <f t="shared" si="0"/>
        <v>683.58</v>
      </c>
      <c r="M12" s="80">
        <f t="shared" si="0"/>
        <v>1516.5099999999998</v>
      </c>
      <c r="N12" s="80">
        <f t="shared" si="0"/>
        <v>182.95</v>
      </c>
      <c r="O12" s="80">
        <f t="shared" si="0"/>
        <v>0</v>
      </c>
      <c r="P12" s="80">
        <f t="shared" si="0"/>
        <v>0</v>
      </c>
      <c r="Q12" s="80">
        <f t="shared" si="0"/>
        <v>0</v>
      </c>
      <c r="R12" s="80">
        <f t="shared" si="0"/>
        <v>0</v>
      </c>
      <c r="S12" s="80">
        <f t="shared" si="0"/>
        <v>21380.06</v>
      </c>
      <c r="T12" s="80">
        <f t="shared" si="0"/>
        <v>2567.92</v>
      </c>
      <c r="U12" s="80">
        <f t="shared" si="0"/>
        <v>1323.47</v>
      </c>
      <c r="V12" s="80">
        <f t="shared" si="0"/>
        <v>1786.62</v>
      </c>
      <c r="W12" s="80">
        <f t="shared" si="0"/>
        <v>4301.18</v>
      </c>
      <c r="X12" s="80">
        <f t="shared" si="0"/>
        <v>2977.7300000000005</v>
      </c>
      <c r="Y12" s="80">
        <f t="shared" si="0"/>
        <v>690.7800000000001</v>
      </c>
      <c r="Z12" s="80">
        <f t="shared" si="0"/>
        <v>0</v>
      </c>
      <c r="AA12" s="80">
        <f t="shared" si="0"/>
        <v>0</v>
      </c>
      <c r="AB12" s="80">
        <f t="shared" si="0"/>
        <v>11079.78</v>
      </c>
      <c r="AC12" s="80">
        <f t="shared" si="0"/>
        <v>20983.297761600003</v>
      </c>
      <c r="AD12" s="80">
        <f t="shared" si="0"/>
        <v>0</v>
      </c>
      <c r="AE12" s="80">
        <f t="shared" si="0"/>
        <v>0</v>
      </c>
      <c r="AF12" s="80">
        <f t="shared" si="0"/>
        <v>0</v>
      </c>
      <c r="AG12" s="80">
        <f t="shared" si="0"/>
        <v>2113.92</v>
      </c>
      <c r="AH12" s="80">
        <f t="shared" si="0"/>
        <v>725.4268800000001</v>
      </c>
      <c r="AI12" s="80">
        <f t="shared" si="0"/>
        <v>2998.149248</v>
      </c>
      <c r="AJ12" s="80">
        <f t="shared" si="0"/>
        <v>539.6668646400001</v>
      </c>
      <c r="AK12" s="80">
        <f t="shared" si="0"/>
        <v>3488.8971852800005</v>
      </c>
      <c r="AL12" s="80">
        <f t="shared" si="0"/>
        <v>628.0014933504001</v>
      </c>
      <c r="AM12" s="80">
        <f t="shared" si="0"/>
        <v>6407.49386912</v>
      </c>
      <c r="AN12" s="80">
        <f t="shared" si="0"/>
        <v>1153.3488964416001</v>
      </c>
      <c r="AO12" s="80">
        <f t="shared" si="0"/>
        <v>0</v>
      </c>
      <c r="AP12" s="80">
        <f t="shared" si="0"/>
        <v>0</v>
      </c>
      <c r="AQ12" s="138">
        <f t="shared" si="0"/>
        <v>0</v>
      </c>
      <c r="AR12" s="138">
        <f t="shared" si="0"/>
        <v>0</v>
      </c>
      <c r="AS12" s="139">
        <f t="shared" si="0"/>
        <v>29041</v>
      </c>
      <c r="AT12" s="139">
        <f t="shared" si="0"/>
        <v>0</v>
      </c>
      <c r="AU12" s="139">
        <f t="shared" si="0"/>
        <v>5227.38</v>
      </c>
      <c r="AV12" s="80">
        <f t="shared" si="0"/>
        <v>0</v>
      </c>
      <c r="AW12" s="80">
        <f t="shared" si="0"/>
        <v>0</v>
      </c>
      <c r="AX12" s="80">
        <f t="shared" si="0"/>
        <v>0</v>
      </c>
      <c r="AY12" s="80">
        <f t="shared" si="0"/>
        <v>0</v>
      </c>
      <c r="AZ12" s="80">
        <f t="shared" si="0"/>
        <v>0</v>
      </c>
      <c r="BA12" s="80">
        <f t="shared" si="0"/>
        <v>0</v>
      </c>
      <c r="BB12" s="80">
        <f t="shared" si="0"/>
        <v>52323.28443683199</v>
      </c>
      <c r="BC12" s="80">
        <f t="shared" si="0"/>
        <v>0</v>
      </c>
      <c r="BD12" s="80">
        <f t="shared" si="0"/>
        <v>52323.28443683199</v>
      </c>
      <c r="BE12" s="80">
        <f>SUM(BE9:BE11)</f>
        <v>-31339.986675231998</v>
      </c>
      <c r="BF12" s="140">
        <f>SUM(BF9:BF11)</f>
        <v>-10300.28</v>
      </c>
    </row>
    <row r="13" spans="1:58" ht="15" customHeight="1" hidden="1">
      <c r="A13" s="8" t="s">
        <v>42</v>
      </c>
      <c r="B13" s="77"/>
      <c r="C13" s="141"/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3"/>
      <c r="P13" s="144"/>
      <c r="Q13" s="145"/>
      <c r="R13" s="145"/>
      <c r="S13" s="145"/>
      <c r="T13" s="145"/>
      <c r="U13" s="146"/>
      <c r="V13" s="146"/>
      <c r="W13" s="146"/>
      <c r="X13" s="146"/>
      <c r="Y13" s="146"/>
      <c r="Z13" s="146"/>
      <c r="AA13" s="147"/>
      <c r="AB13" s="147"/>
      <c r="AC13" s="148"/>
      <c r="AD13" s="149"/>
      <c r="AE13" s="149"/>
      <c r="AF13" s="59"/>
      <c r="AG13" s="59"/>
      <c r="AH13" s="59"/>
      <c r="AI13" s="59"/>
      <c r="AJ13" s="59"/>
      <c r="AK13" s="59"/>
      <c r="AL13" s="59"/>
      <c r="AM13" s="59"/>
      <c r="AN13" s="78"/>
      <c r="AO13" s="78"/>
      <c r="AP13" s="78"/>
      <c r="AQ13" s="150"/>
      <c r="AR13" s="151"/>
      <c r="AS13" s="152"/>
      <c r="AT13" s="152"/>
      <c r="AU13" s="153"/>
      <c r="AV13" s="59"/>
      <c r="AW13" s="59"/>
      <c r="AX13" s="60"/>
      <c r="AY13" s="1"/>
      <c r="AZ13" s="1"/>
      <c r="BA13" s="1"/>
      <c r="BB13" s="1"/>
      <c r="BC13" s="1"/>
      <c r="BD13" s="1"/>
      <c r="BE13" s="1"/>
      <c r="BF13" s="133"/>
    </row>
    <row r="14" spans="1:58" ht="12.75" hidden="1">
      <c r="A14" s="14" t="s">
        <v>43</v>
      </c>
      <c r="B14" s="181">
        <v>1174.4</v>
      </c>
      <c r="C14" s="186">
        <f aca="true" t="shared" si="1" ref="C14:C25">B14*8.65</f>
        <v>10158.560000000001</v>
      </c>
      <c r="D14" s="187">
        <f>C14*0.125</f>
        <v>1269.8200000000002</v>
      </c>
      <c r="E14" s="89">
        <v>849.99</v>
      </c>
      <c r="F14" s="89">
        <v>101.27</v>
      </c>
      <c r="G14" s="89">
        <v>1147.45</v>
      </c>
      <c r="H14" s="89">
        <v>136.73</v>
      </c>
      <c r="I14" s="89">
        <v>2762.4</v>
      </c>
      <c r="J14" s="89">
        <v>329.13</v>
      </c>
      <c r="K14" s="89">
        <v>1912.43</v>
      </c>
      <c r="L14" s="89">
        <v>227.86</v>
      </c>
      <c r="M14" s="86">
        <v>679.97</v>
      </c>
      <c r="N14" s="90">
        <v>81.02</v>
      </c>
      <c r="O14" s="96">
        <v>0</v>
      </c>
      <c r="P14" s="96">
        <v>0</v>
      </c>
      <c r="Q14" s="96">
        <v>0</v>
      </c>
      <c r="R14" s="96">
        <v>0</v>
      </c>
      <c r="S14" s="89">
        <f aca="true" t="shared" si="2" ref="S14:S25">E14+G14+I14+K14+M14+O14+Q14</f>
        <v>7352.240000000001</v>
      </c>
      <c r="T14" s="172">
        <f aca="true" t="shared" si="3" ref="T14:T25">P14+N14+L14+J14+H14+F14+R14</f>
        <v>876.01</v>
      </c>
      <c r="U14" s="89">
        <v>452.88</v>
      </c>
      <c r="V14" s="89">
        <v>611.39</v>
      </c>
      <c r="W14" s="89">
        <v>1471.92</v>
      </c>
      <c r="X14" s="89">
        <v>1018.99</v>
      </c>
      <c r="Y14" s="89">
        <v>356.34</v>
      </c>
      <c r="Z14" s="89">
        <v>0</v>
      </c>
      <c r="AA14" s="96">
        <v>0</v>
      </c>
      <c r="AB14" s="191">
        <f aca="true" t="shared" si="4" ref="AB14:AB22">SUM(U14:AA14)</f>
        <v>3911.5200000000004</v>
      </c>
      <c r="AC14" s="173">
        <f aca="true" t="shared" si="5" ref="AC14:AC22">D14+T14+AB14</f>
        <v>6057.35</v>
      </c>
      <c r="AD14" s="174">
        <f aca="true" t="shared" si="6" ref="AD14:AD25">P14+Z14</f>
        <v>0</v>
      </c>
      <c r="AE14" s="174">
        <f aca="true" t="shared" si="7" ref="AE14:AE25">R14+AA14</f>
        <v>0</v>
      </c>
      <c r="AF14" s="174"/>
      <c r="AG14" s="25">
        <f>0.6*B14*0.9</f>
        <v>634.176</v>
      </c>
      <c r="AH14" s="25">
        <f>B14*0.2*0.891</f>
        <v>209.27808000000002</v>
      </c>
      <c r="AI14" s="25">
        <f>0.85*B14*0.867-0.02</f>
        <v>865.45408</v>
      </c>
      <c r="AJ14" s="25">
        <f aca="true" t="shared" si="8" ref="AJ14:AJ25">AI14*0.18</f>
        <v>155.78173439999998</v>
      </c>
      <c r="AK14" s="25">
        <f>0.83*B14*0.8685</f>
        <v>846.5721120000001</v>
      </c>
      <c r="AL14" s="25">
        <f aca="true" t="shared" si="9" ref="AL14:AL25">AK14*0.18</f>
        <v>152.38298016000002</v>
      </c>
      <c r="AM14" s="25">
        <f>1.91*B14*0.8686</f>
        <v>1948.3601344000003</v>
      </c>
      <c r="AN14" s="25">
        <f aca="true" t="shared" si="10" ref="AN14:AN25">AM14*0.18</f>
        <v>350.70482419200005</v>
      </c>
      <c r="AO14" s="25"/>
      <c r="AP14" s="25">
        <f aca="true" t="shared" si="11" ref="AP14:AR25">AO14*0.18</f>
        <v>0</v>
      </c>
      <c r="AQ14" s="175"/>
      <c r="AR14" s="175">
        <f>AQ14*0.18</f>
        <v>0</v>
      </c>
      <c r="AS14" s="94"/>
      <c r="AT14" s="94"/>
      <c r="AU14" s="94">
        <f aca="true" t="shared" si="12" ref="AU14:AU25">(AS14+AT14)*0.18</f>
        <v>0</v>
      </c>
      <c r="AV14" s="176">
        <v>508</v>
      </c>
      <c r="AW14" s="177">
        <v>0.6</v>
      </c>
      <c r="AX14" s="25"/>
      <c r="AY14" s="178"/>
      <c r="AZ14" s="179"/>
      <c r="BA14" s="179">
        <f>AZ14*0.18</f>
        <v>0</v>
      </c>
      <c r="BB14" s="179">
        <f>SUM(AG14:AU14)</f>
        <v>5162.709945152001</v>
      </c>
      <c r="BC14" s="180"/>
      <c r="BD14" s="154">
        <f>BB14-(AF14-BC14)</f>
        <v>5162.709945152001</v>
      </c>
      <c r="BE14" s="136">
        <f>(AC14-BB14)+(AF14-BC14)</f>
        <v>894.6400548479996</v>
      </c>
      <c r="BF14" s="136">
        <f>AB14-S14</f>
        <v>-3440.7200000000003</v>
      </c>
    </row>
    <row r="15" spans="1:58" ht="12.75" hidden="1">
      <c r="A15" s="14" t="s">
        <v>44</v>
      </c>
      <c r="B15" s="181">
        <v>1174.4</v>
      </c>
      <c r="C15" s="186">
        <f t="shared" si="1"/>
        <v>10158.560000000001</v>
      </c>
      <c r="D15" s="187">
        <f>C15*0.125</f>
        <v>1269.8200000000002</v>
      </c>
      <c r="E15" s="89">
        <v>841.76</v>
      </c>
      <c r="F15" s="89">
        <v>101.27</v>
      </c>
      <c r="G15" s="89">
        <v>1136.36</v>
      </c>
      <c r="H15" s="89">
        <v>136.73</v>
      </c>
      <c r="I15" s="89">
        <v>2735.72</v>
      </c>
      <c r="J15" s="89">
        <v>329.13</v>
      </c>
      <c r="K15" s="89">
        <v>1893.95</v>
      </c>
      <c r="L15" s="89">
        <v>227.86</v>
      </c>
      <c r="M15" s="86">
        <v>673.4</v>
      </c>
      <c r="N15" s="90">
        <v>81.02</v>
      </c>
      <c r="O15" s="96">
        <v>0</v>
      </c>
      <c r="P15" s="96">
        <v>0</v>
      </c>
      <c r="Q15" s="96">
        <v>0</v>
      </c>
      <c r="R15" s="96">
        <v>0</v>
      </c>
      <c r="S15" s="89">
        <f t="shared" si="2"/>
        <v>7281.19</v>
      </c>
      <c r="T15" s="172">
        <f t="shared" si="3"/>
        <v>876.01</v>
      </c>
      <c r="U15" s="89">
        <v>674.38</v>
      </c>
      <c r="V15" s="89">
        <v>910.43</v>
      </c>
      <c r="W15" s="89">
        <v>2192.3</v>
      </c>
      <c r="X15" s="89">
        <v>1517.36</v>
      </c>
      <c r="Y15" s="89">
        <v>535.69</v>
      </c>
      <c r="Z15" s="89">
        <v>0</v>
      </c>
      <c r="AA15" s="96">
        <v>0</v>
      </c>
      <c r="AB15" s="190">
        <f t="shared" si="4"/>
        <v>5830.16</v>
      </c>
      <c r="AC15" s="173">
        <f t="shared" si="5"/>
        <v>7975.99</v>
      </c>
      <c r="AD15" s="174">
        <f t="shared" si="6"/>
        <v>0</v>
      </c>
      <c r="AE15" s="174">
        <f t="shared" si="7"/>
        <v>0</v>
      </c>
      <c r="AF15" s="174"/>
      <c r="AG15" s="25">
        <f>0.6*B15*0.9</f>
        <v>634.176</v>
      </c>
      <c r="AH15" s="25">
        <f>B15*0.2*0.9153</f>
        <v>214.985664</v>
      </c>
      <c r="AI15" s="25">
        <f>0.85*B15*0.867</f>
        <v>865.47408</v>
      </c>
      <c r="AJ15" s="25">
        <f t="shared" si="8"/>
        <v>155.78533439999998</v>
      </c>
      <c r="AK15" s="25">
        <f>0.83*B15*0.8684</f>
        <v>846.4746368</v>
      </c>
      <c r="AL15" s="25">
        <f t="shared" si="9"/>
        <v>152.365434624</v>
      </c>
      <c r="AM15" s="25">
        <f>(1.91)*B15*0.8684</f>
        <v>1947.9115136</v>
      </c>
      <c r="AN15" s="25">
        <f t="shared" si="10"/>
        <v>350.624072448</v>
      </c>
      <c r="AO15" s="25"/>
      <c r="AP15" s="25">
        <f t="shared" si="11"/>
        <v>0</v>
      </c>
      <c r="AQ15" s="175"/>
      <c r="AR15" s="175">
        <f>AQ15*0.18</f>
        <v>0</v>
      </c>
      <c r="AS15" s="94"/>
      <c r="AT15" s="94"/>
      <c r="AU15" s="94">
        <f t="shared" si="12"/>
        <v>0</v>
      </c>
      <c r="AV15" s="176">
        <v>407</v>
      </c>
      <c r="AW15" s="177">
        <v>0.6</v>
      </c>
      <c r="AX15" s="25"/>
      <c r="AY15" s="178"/>
      <c r="AZ15" s="179"/>
      <c r="BA15" s="179">
        <f>AZ15*0.18</f>
        <v>0</v>
      </c>
      <c r="BB15" s="179">
        <f>SUM(AG15:AU15)+AY15</f>
        <v>5167.796735872001</v>
      </c>
      <c r="BC15" s="192"/>
      <c r="BD15" s="154">
        <f>BB15-(AF15-BC15)</f>
        <v>5167.796735872001</v>
      </c>
      <c r="BE15" s="136">
        <f>(AC15-BB15)+(AF15-BC15)</f>
        <v>2808.193264127999</v>
      </c>
      <c r="BF15" s="136">
        <f>AB15-S15</f>
        <v>-1451.0299999999997</v>
      </c>
    </row>
    <row r="16" spans="1:58" ht="13.5" hidden="1" thickBot="1">
      <c r="A16" s="155" t="s">
        <v>45</v>
      </c>
      <c r="B16" s="193">
        <v>1174.4</v>
      </c>
      <c r="C16" s="186">
        <f t="shared" si="1"/>
        <v>10158.560000000001</v>
      </c>
      <c r="D16" s="187">
        <f>C16*0.125</f>
        <v>1269.8200000000002</v>
      </c>
      <c r="E16" s="89">
        <v>856.7</v>
      </c>
      <c r="F16" s="89">
        <v>101.27</v>
      </c>
      <c r="G16" s="89">
        <v>1156.5</v>
      </c>
      <c r="H16" s="89">
        <v>136.73</v>
      </c>
      <c r="I16" s="89">
        <v>2784.2</v>
      </c>
      <c r="J16" s="89">
        <v>329.13</v>
      </c>
      <c r="K16" s="89">
        <v>1927.54</v>
      </c>
      <c r="L16" s="89">
        <v>227.86</v>
      </c>
      <c r="M16" s="86">
        <v>685.33</v>
      </c>
      <c r="N16" s="90">
        <v>81.02</v>
      </c>
      <c r="O16" s="96">
        <v>0</v>
      </c>
      <c r="P16" s="96">
        <v>0</v>
      </c>
      <c r="Q16" s="96">
        <v>0</v>
      </c>
      <c r="R16" s="96">
        <v>0</v>
      </c>
      <c r="S16" s="89">
        <f t="shared" si="2"/>
        <v>7410.2699999999995</v>
      </c>
      <c r="T16" s="172">
        <f t="shared" si="3"/>
        <v>876.01</v>
      </c>
      <c r="U16" s="91">
        <v>668.01</v>
      </c>
      <c r="V16" s="91">
        <v>901.81</v>
      </c>
      <c r="W16" s="91">
        <v>2170.44</v>
      </c>
      <c r="X16" s="91">
        <v>1503</v>
      </c>
      <c r="Y16" s="91">
        <v>521.79</v>
      </c>
      <c r="Z16" s="91">
        <v>0</v>
      </c>
      <c r="AA16" s="185">
        <v>0</v>
      </c>
      <c r="AB16" s="191">
        <f t="shared" si="4"/>
        <v>5765.05</v>
      </c>
      <c r="AC16" s="173">
        <f t="shared" si="5"/>
        <v>7910.88</v>
      </c>
      <c r="AD16" s="174">
        <f t="shared" si="6"/>
        <v>0</v>
      </c>
      <c r="AE16" s="174">
        <f t="shared" si="7"/>
        <v>0</v>
      </c>
      <c r="AF16" s="174"/>
      <c r="AG16" s="25">
        <f>0.6*B16*0.9</f>
        <v>634.176</v>
      </c>
      <c r="AH16" s="194">
        <f>B16*0.2*0.9082</f>
        <v>213.31801600000003</v>
      </c>
      <c r="AI16" s="25">
        <f>0.85*B16*0.8675</f>
        <v>865.9732</v>
      </c>
      <c r="AJ16" s="25">
        <f t="shared" si="8"/>
        <v>155.875176</v>
      </c>
      <c r="AK16" s="194">
        <f>0.83*B16*0.838</f>
        <v>816.842176</v>
      </c>
      <c r="AL16" s="25">
        <f t="shared" si="9"/>
        <v>147.03159168</v>
      </c>
      <c r="AM16" s="25">
        <f>1.91*B16*0.8381</f>
        <v>1879.9454624000002</v>
      </c>
      <c r="AN16" s="25">
        <f t="shared" si="10"/>
        <v>338.390183232</v>
      </c>
      <c r="AO16" s="25"/>
      <c r="AP16" s="25">
        <f t="shared" si="11"/>
        <v>0</v>
      </c>
      <c r="AQ16" s="175"/>
      <c r="AR16" s="175">
        <f>AQ16*0.18</f>
        <v>0</v>
      </c>
      <c r="AS16" s="94">
        <v>8560</v>
      </c>
      <c r="AT16" s="94"/>
      <c r="AU16" s="94">
        <f t="shared" si="12"/>
        <v>1540.8</v>
      </c>
      <c r="AV16" s="176">
        <v>383</v>
      </c>
      <c r="AW16" s="177">
        <v>0.6</v>
      </c>
      <c r="AX16" s="25"/>
      <c r="AY16" s="178"/>
      <c r="AZ16" s="179"/>
      <c r="BA16" s="179">
        <f>AZ16*0.18</f>
        <v>0</v>
      </c>
      <c r="BB16" s="179">
        <f>SUM(AG16:AU16)</f>
        <v>15152.351805311999</v>
      </c>
      <c r="BC16" s="192"/>
      <c r="BD16" s="156">
        <f>BB16-(AF16-BC16)</f>
        <v>15152.351805311999</v>
      </c>
      <c r="BE16" s="157">
        <f>(AC16-BB16)+(AF16-BC16)</f>
        <v>-7241.471805311999</v>
      </c>
      <c r="BF16" s="157">
        <f>AB16-S16</f>
        <v>-1645.2199999999993</v>
      </c>
    </row>
    <row r="17" spans="1:58" ht="13.5" hidden="1" thickBot="1">
      <c r="A17" s="158" t="s">
        <v>46</v>
      </c>
      <c r="B17" s="195">
        <v>1174.4</v>
      </c>
      <c r="C17" s="186">
        <f t="shared" si="1"/>
        <v>10158.560000000001</v>
      </c>
      <c r="D17" s="187">
        <f>C17*0.125</f>
        <v>1269.8200000000002</v>
      </c>
      <c r="E17" s="89">
        <v>857.27</v>
      </c>
      <c r="F17" s="89">
        <v>101.27</v>
      </c>
      <c r="G17" s="89">
        <v>1157.29</v>
      </c>
      <c r="H17" s="89">
        <v>136.73</v>
      </c>
      <c r="I17" s="86">
        <v>2786.11</v>
      </c>
      <c r="J17" s="89">
        <v>329.13</v>
      </c>
      <c r="K17" s="26">
        <v>1928.84</v>
      </c>
      <c r="L17" s="89">
        <v>227.86</v>
      </c>
      <c r="M17" s="86">
        <v>685.81</v>
      </c>
      <c r="N17" s="86">
        <v>81.02</v>
      </c>
      <c r="O17" s="185">
        <v>0</v>
      </c>
      <c r="P17" s="185">
        <v>0</v>
      </c>
      <c r="Q17" s="185">
        <v>0</v>
      </c>
      <c r="R17" s="185">
        <v>0</v>
      </c>
      <c r="S17" s="89">
        <f t="shared" si="2"/>
        <v>7415.32</v>
      </c>
      <c r="T17" s="172">
        <f t="shared" si="3"/>
        <v>876.01</v>
      </c>
      <c r="U17" s="89">
        <v>623.15</v>
      </c>
      <c r="V17" s="89">
        <v>833.58</v>
      </c>
      <c r="W17" s="89">
        <v>1976.16</v>
      </c>
      <c r="X17" s="89">
        <v>1374.83</v>
      </c>
      <c r="Y17" s="89">
        <v>497.57</v>
      </c>
      <c r="Z17" s="89">
        <v>0</v>
      </c>
      <c r="AA17" s="89">
        <v>0</v>
      </c>
      <c r="AB17" s="191">
        <f t="shared" si="4"/>
        <v>5305.29</v>
      </c>
      <c r="AC17" s="173">
        <f t="shared" si="5"/>
        <v>7451.12</v>
      </c>
      <c r="AD17" s="174">
        <f t="shared" si="6"/>
        <v>0</v>
      </c>
      <c r="AE17" s="174">
        <f t="shared" si="7"/>
        <v>0</v>
      </c>
      <c r="AF17" s="174"/>
      <c r="AG17" s="25">
        <f>0.6*B17*0.9</f>
        <v>634.176</v>
      </c>
      <c r="AH17" s="194">
        <f>B17*0.2*0.9234</f>
        <v>216.88819200000003</v>
      </c>
      <c r="AI17" s="25">
        <f>0.85*B17*0.8934</f>
        <v>891.827616</v>
      </c>
      <c r="AJ17" s="25">
        <f t="shared" si="8"/>
        <v>160.52897088</v>
      </c>
      <c r="AK17" s="25">
        <f>0.83*B17*0.8498</f>
        <v>828.3442496</v>
      </c>
      <c r="AL17" s="25">
        <f t="shared" si="9"/>
        <v>149.101964928</v>
      </c>
      <c r="AM17" s="25">
        <f>(1.91)*B17*0.8498</f>
        <v>1906.1897792000002</v>
      </c>
      <c r="AN17" s="25">
        <f t="shared" si="10"/>
        <v>343.11416025600005</v>
      </c>
      <c r="AO17" s="25"/>
      <c r="AP17" s="25">
        <f t="shared" si="11"/>
        <v>0</v>
      </c>
      <c r="AQ17" s="175"/>
      <c r="AR17" s="175">
        <f t="shared" si="11"/>
        <v>0</v>
      </c>
      <c r="AS17" s="94">
        <v>2824.24</v>
      </c>
      <c r="AT17" s="94"/>
      <c r="AU17" s="94">
        <f t="shared" si="12"/>
        <v>508.36319999999995</v>
      </c>
      <c r="AV17" s="176">
        <v>307</v>
      </c>
      <c r="AW17" s="177">
        <v>0.6</v>
      </c>
      <c r="AX17" s="25">
        <v>1272.7</v>
      </c>
      <c r="AY17" s="178"/>
      <c r="AZ17" s="179"/>
      <c r="BA17" s="179">
        <f>AZ17*0.18</f>
        <v>0</v>
      </c>
      <c r="BB17" s="179">
        <f aca="true" t="shared" si="13" ref="BB17:BB22">SUM(AG17:BA17)-AV17-AW17</f>
        <v>9735.474132864001</v>
      </c>
      <c r="BC17" s="192"/>
      <c r="BD17" s="159">
        <f>(AC17-BA17)+(AF17-BB17)</f>
        <v>-2284.3541328640013</v>
      </c>
      <c r="BE17" s="157">
        <f aca="true" t="shared" si="14" ref="BE17:BE25">(AC17-BB17)+(AF17-BC17)</f>
        <v>-2284.3541328640013</v>
      </c>
      <c r="BF17" s="157">
        <f aca="true" t="shared" si="15" ref="BF17:BF25">AB17-S17</f>
        <v>-2110.0299999999997</v>
      </c>
    </row>
    <row r="18" spans="1:58" ht="13.5" hidden="1" thickBot="1">
      <c r="A18" s="14" t="s">
        <v>47</v>
      </c>
      <c r="B18" s="193">
        <v>1174.5</v>
      </c>
      <c r="C18" s="186">
        <f t="shared" si="1"/>
        <v>10159.425000000001</v>
      </c>
      <c r="D18" s="171">
        <f aca="true" t="shared" si="16" ref="D18:D25">C18-E18-F18-G18-H18-I18-J18-K18-L18-M18-N18</f>
        <v>1085.7550000000012</v>
      </c>
      <c r="E18" s="91">
        <v>943.91</v>
      </c>
      <c r="F18" s="91">
        <v>103.42</v>
      </c>
      <c r="G18" s="91">
        <v>1278.49</v>
      </c>
      <c r="H18" s="91">
        <v>140.18</v>
      </c>
      <c r="I18" s="91">
        <v>3071.92</v>
      </c>
      <c r="J18" s="91">
        <v>336.65</v>
      </c>
      <c r="K18" s="91">
        <v>2128</v>
      </c>
      <c r="L18" s="91">
        <v>233.24</v>
      </c>
      <c r="M18" s="92">
        <v>755.14</v>
      </c>
      <c r="N18" s="92">
        <v>82.72</v>
      </c>
      <c r="O18" s="185">
        <v>0</v>
      </c>
      <c r="P18" s="185">
        <v>0</v>
      </c>
      <c r="Q18" s="185">
        <v>0</v>
      </c>
      <c r="R18" s="185">
        <v>0</v>
      </c>
      <c r="S18" s="89">
        <f t="shared" si="2"/>
        <v>8177.46</v>
      </c>
      <c r="T18" s="172">
        <f t="shared" si="3"/>
        <v>896.2099999999999</v>
      </c>
      <c r="U18" s="91">
        <v>787.06</v>
      </c>
      <c r="V18" s="91">
        <v>1062.5</v>
      </c>
      <c r="W18" s="91">
        <v>2557.89</v>
      </c>
      <c r="X18" s="91">
        <v>1770.83</v>
      </c>
      <c r="Y18" s="91">
        <v>620.97</v>
      </c>
      <c r="Z18" s="91">
        <v>0</v>
      </c>
      <c r="AA18" s="185">
        <v>0</v>
      </c>
      <c r="AB18" s="191">
        <f t="shared" si="4"/>
        <v>6799.25</v>
      </c>
      <c r="AC18" s="173">
        <f t="shared" si="5"/>
        <v>8781.215</v>
      </c>
      <c r="AD18" s="174">
        <f t="shared" si="6"/>
        <v>0</v>
      </c>
      <c r="AE18" s="174">
        <f t="shared" si="7"/>
        <v>0</v>
      </c>
      <c r="AF18" s="174"/>
      <c r="AG18" s="25">
        <f aca="true" t="shared" si="17" ref="AG18:AG25">0.6*B18</f>
        <v>704.6999999999999</v>
      </c>
      <c r="AH18" s="25">
        <f>B18*0.2*1.01</f>
        <v>237.249</v>
      </c>
      <c r="AI18" s="25">
        <f>0.85*B18</f>
        <v>998.3249999999999</v>
      </c>
      <c r="AJ18" s="25">
        <f t="shared" si="8"/>
        <v>179.69849999999997</v>
      </c>
      <c r="AK18" s="25">
        <f>0.83*B18</f>
        <v>974.8349999999999</v>
      </c>
      <c r="AL18" s="25">
        <f t="shared" si="9"/>
        <v>175.47029999999998</v>
      </c>
      <c r="AM18" s="25">
        <f>(1.91)*B18</f>
        <v>2243.295</v>
      </c>
      <c r="AN18" s="25">
        <f t="shared" si="10"/>
        <v>403.7931</v>
      </c>
      <c r="AO18" s="25"/>
      <c r="AP18" s="25">
        <f t="shared" si="11"/>
        <v>0</v>
      </c>
      <c r="AQ18" s="175"/>
      <c r="AR18" s="175">
        <f t="shared" si="11"/>
        <v>0</v>
      </c>
      <c r="AS18" s="94">
        <v>1923.4</v>
      </c>
      <c r="AT18" s="94"/>
      <c r="AU18" s="94">
        <f t="shared" si="12"/>
        <v>346.212</v>
      </c>
      <c r="AV18" s="176">
        <v>263</v>
      </c>
      <c r="AW18" s="177">
        <v>0.6</v>
      </c>
      <c r="AX18" s="25">
        <f aca="true" t="shared" si="18" ref="AX18:AX25">AV18*AW18*1.12*1.18</f>
        <v>208.54847999999998</v>
      </c>
      <c r="AY18" s="178"/>
      <c r="AZ18" s="179"/>
      <c r="BA18" s="179">
        <f aca="true" t="shared" si="19" ref="BA18:BA25">AZ18*0.18</f>
        <v>0</v>
      </c>
      <c r="BB18" s="179">
        <f t="shared" si="13"/>
        <v>8395.52638</v>
      </c>
      <c r="BC18" s="192"/>
      <c r="BD18" s="18">
        <f aca="true" t="shared" si="20" ref="BD18:BD25">BB18-(AF18-BC18)</f>
        <v>8395.52638</v>
      </c>
      <c r="BE18" s="157">
        <f t="shared" si="14"/>
        <v>385.6886200000008</v>
      </c>
      <c r="BF18" s="157">
        <f t="shared" si="15"/>
        <v>-1378.21</v>
      </c>
    </row>
    <row r="19" spans="1:58" ht="13.5" hidden="1" thickBot="1">
      <c r="A19" s="155" t="s">
        <v>48</v>
      </c>
      <c r="B19" s="193">
        <v>1174.5</v>
      </c>
      <c r="C19" s="186">
        <f t="shared" si="1"/>
        <v>10159.425000000001</v>
      </c>
      <c r="D19" s="171">
        <f t="shared" si="16"/>
        <v>1030.4850000000006</v>
      </c>
      <c r="E19" s="91">
        <v>945.83</v>
      </c>
      <c r="F19" s="91">
        <v>107.9</v>
      </c>
      <c r="G19" s="91">
        <v>1281.04</v>
      </c>
      <c r="H19" s="91">
        <v>146.26</v>
      </c>
      <c r="I19" s="91">
        <v>3078.07</v>
      </c>
      <c r="J19" s="91">
        <v>351.25</v>
      </c>
      <c r="K19" s="91">
        <v>2132.26</v>
      </c>
      <c r="L19" s="91">
        <v>243.36</v>
      </c>
      <c r="M19" s="92">
        <v>756.66</v>
      </c>
      <c r="N19" s="93">
        <v>86.31</v>
      </c>
      <c r="O19" s="185">
        <v>0</v>
      </c>
      <c r="P19" s="185">
        <v>0</v>
      </c>
      <c r="Q19" s="185">
        <v>0</v>
      </c>
      <c r="R19" s="185">
        <v>0</v>
      </c>
      <c r="S19" s="89">
        <f t="shared" si="2"/>
        <v>8193.86</v>
      </c>
      <c r="T19" s="172">
        <f t="shared" si="3"/>
        <v>935.08</v>
      </c>
      <c r="U19" s="91">
        <v>557.57</v>
      </c>
      <c r="V19" s="91">
        <v>754.78</v>
      </c>
      <c r="W19" s="91">
        <v>1814.11</v>
      </c>
      <c r="X19" s="91">
        <v>1256.49</v>
      </c>
      <c r="Y19" s="91">
        <v>444.81</v>
      </c>
      <c r="Z19" s="91">
        <v>0</v>
      </c>
      <c r="AA19" s="185">
        <v>0</v>
      </c>
      <c r="AB19" s="191">
        <f t="shared" si="4"/>
        <v>4827.76</v>
      </c>
      <c r="AC19" s="173">
        <f t="shared" si="5"/>
        <v>6793.325000000001</v>
      </c>
      <c r="AD19" s="174">
        <f t="shared" si="6"/>
        <v>0</v>
      </c>
      <c r="AE19" s="174">
        <f t="shared" si="7"/>
        <v>0</v>
      </c>
      <c r="AF19" s="174">
        <f>'[1]Т06-09'!$F$41</f>
        <v>489.96668000000005</v>
      </c>
      <c r="AG19" s="25">
        <f t="shared" si="17"/>
        <v>704.6999999999999</v>
      </c>
      <c r="AH19" s="25">
        <f>B19*0.2*1.01045</f>
        <v>237.35470500000002</v>
      </c>
      <c r="AI19" s="25">
        <f>0.85*B19</f>
        <v>998.3249999999999</v>
      </c>
      <c r="AJ19" s="25">
        <f t="shared" si="8"/>
        <v>179.69849999999997</v>
      </c>
      <c r="AK19" s="25">
        <f>0.83*B19</f>
        <v>974.8349999999999</v>
      </c>
      <c r="AL19" s="25">
        <f t="shared" si="9"/>
        <v>175.47029999999998</v>
      </c>
      <c r="AM19" s="25">
        <f>(1.91)*B19</f>
        <v>2243.295</v>
      </c>
      <c r="AN19" s="25">
        <f t="shared" si="10"/>
        <v>403.7931</v>
      </c>
      <c r="AO19" s="25"/>
      <c r="AP19" s="25">
        <f t="shared" si="11"/>
        <v>0</v>
      </c>
      <c r="AQ19" s="175"/>
      <c r="AR19" s="175">
        <f t="shared" si="11"/>
        <v>0</v>
      </c>
      <c r="AS19" s="94"/>
      <c r="AT19" s="94"/>
      <c r="AU19" s="94">
        <f t="shared" si="12"/>
        <v>0</v>
      </c>
      <c r="AV19" s="176">
        <v>233</v>
      </c>
      <c r="AW19" s="177">
        <v>0.6</v>
      </c>
      <c r="AX19" s="25">
        <f t="shared" si="18"/>
        <v>184.75967999999997</v>
      </c>
      <c r="AY19" s="178"/>
      <c r="AZ19" s="179"/>
      <c r="BA19" s="179">
        <f t="shared" si="19"/>
        <v>0</v>
      </c>
      <c r="BB19" s="179">
        <f t="shared" si="13"/>
        <v>6102.231285</v>
      </c>
      <c r="BC19" s="192">
        <f>'[1]Т06-09'!$O$41</f>
        <v>222.00530404</v>
      </c>
      <c r="BD19" s="160">
        <f t="shared" si="20"/>
        <v>5834.26990904</v>
      </c>
      <c r="BE19" s="157">
        <f t="shared" si="14"/>
        <v>959.0550909600009</v>
      </c>
      <c r="BF19" s="157">
        <f t="shared" si="15"/>
        <v>-3366.1000000000004</v>
      </c>
    </row>
    <row r="20" spans="1:58" ht="13.5" hidden="1" thickBot="1">
      <c r="A20" s="158" t="s">
        <v>49</v>
      </c>
      <c r="B20" s="181">
        <v>1174.5</v>
      </c>
      <c r="C20" s="186">
        <f t="shared" si="1"/>
        <v>10159.425000000001</v>
      </c>
      <c r="D20" s="171">
        <f t="shared" si="16"/>
        <v>1030.4650000000015</v>
      </c>
      <c r="E20" s="91">
        <v>943.58</v>
      </c>
      <c r="F20" s="91">
        <v>110.15</v>
      </c>
      <c r="G20" s="91">
        <v>1278</v>
      </c>
      <c r="H20" s="91">
        <v>149.3</v>
      </c>
      <c r="I20" s="91">
        <v>3070.78</v>
      </c>
      <c r="J20" s="91">
        <v>358.55</v>
      </c>
      <c r="K20" s="91">
        <v>2127.21</v>
      </c>
      <c r="L20" s="91">
        <v>248.42</v>
      </c>
      <c r="M20" s="92">
        <v>754.87</v>
      </c>
      <c r="N20" s="93">
        <v>88.1</v>
      </c>
      <c r="O20" s="185">
        <v>0</v>
      </c>
      <c r="P20" s="185">
        <v>0</v>
      </c>
      <c r="Q20" s="185">
        <v>0</v>
      </c>
      <c r="R20" s="185">
        <v>0</v>
      </c>
      <c r="S20" s="89">
        <f t="shared" si="2"/>
        <v>8174.4400000000005</v>
      </c>
      <c r="T20" s="172">
        <f t="shared" si="3"/>
        <v>954.5199999999999</v>
      </c>
      <c r="U20" s="91">
        <v>907.93</v>
      </c>
      <c r="V20" s="91">
        <v>1229.69</v>
      </c>
      <c r="W20" s="91">
        <v>2954.76</v>
      </c>
      <c r="X20" s="91">
        <v>2046.75</v>
      </c>
      <c r="Y20" s="91">
        <v>723.81</v>
      </c>
      <c r="Z20" s="91">
        <v>0</v>
      </c>
      <c r="AA20" s="185">
        <v>0</v>
      </c>
      <c r="AB20" s="191">
        <f t="shared" si="4"/>
        <v>7862.9400000000005</v>
      </c>
      <c r="AC20" s="173">
        <f t="shared" si="5"/>
        <v>9847.925000000003</v>
      </c>
      <c r="AD20" s="174">
        <f t="shared" si="6"/>
        <v>0</v>
      </c>
      <c r="AE20" s="174">
        <f t="shared" si="7"/>
        <v>0</v>
      </c>
      <c r="AF20" s="174">
        <f>'[2]Т07-09'!$I$42+'[2]Т07-09'!$I$88</f>
        <v>1382.48334</v>
      </c>
      <c r="AG20" s="25">
        <f t="shared" si="17"/>
        <v>704.6999999999999</v>
      </c>
      <c r="AH20" s="25">
        <f>B20*0.2*0.99426</f>
        <v>233.55167400000002</v>
      </c>
      <c r="AI20" s="25">
        <f>0.85*B20*0.9857</f>
        <v>984.0489524999999</v>
      </c>
      <c r="AJ20" s="25">
        <f t="shared" si="8"/>
        <v>177.12881144999997</v>
      </c>
      <c r="AK20" s="25">
        <f>0.83*B20*0.9905</f>
        <v>965.5740675</v>
      </c>
      <c r="AL20" s="25">
        <f t="shared" si="9"/>
        <v>173.80333215</v>
      </c>
      <c r="AM20" s="25">
        <f>(1.91)*B20*0.9905-0.01</f>
        <v>2221.9736975</v>
      </c>
      <c r="AN20" s="25">
        <f t="shared" si="10"/>
        <v>399.95526555</v>
      </c>
      <c r="AO20" s="25"/>
      <c r="AP20" s="25">
        <f t="shared" si="11"/>
        <v>0</v>
      </c>
      <c r="AQ20" s="175"/>
      <c r="AR20" s="175">
        <f t="shared" si="11"/>
        <v>0</v>
      </c>
      <c r="AS20" s="94">
        <v>2192</v>
      </c>
      <c r="AT20" s="94"/>
      <c r="AU20" s="94">
        <f t="shared" si="12"/>
        <v>394.56</v>
      </c>
      <c r="AV20" s="176">
        <v>248</v>
      </c>
      <c r="AW20" s="177">
        <v>0.6</v>
      </c>
      <c r="AX20" s="25">
        <f t="shared" si="18"/>
        <v>196.65408</v>
      </c>
      <c r="AY20" s="178"/>
      <c r="AZ20" s="179"/>
      <c r="BA20" s="179">
        <f t="shared" si="19"/>
        <v>0</v>
      </c>
      <c r="BB20" s="179">
        <f t="shared" si="13"/>
        <v>8643.94988065</v>
      </c>
      <c r="BC20" s="192">
        <f>'[1]Т07-09'!$O$42+'[1]Т07-09'!$O$88</f>
        <v>588.1904465800001</v>
      </c>
      <c r="BD20" s="18">
        <f t="shared" si="20"/>
        <v>7849.65698723</v>
      </c>
      <c r="BE20" s="157">
        <f t="shared" si="14"/>
        <v>1998.2680127700032</v>
      </c>
      <c r="BF20" s="157">
        <f t="shared" si="15"/>
        <v>-311.5</v>
      </c>
    </row>
    <row r="21" spans="1:58" ht="13.5" hidden="1" thickBot="1">
      <c r="A21" s="14" t="s">
        <v>50</v>
      </c>
      <c r="B21" s="181">
        <v>1174.5</v>
      </c>
      <c r="C21" s="186">
        <f t="shared" si="1"/>
        <v>10159.425000000001</v>
      </c>
      <c r="D21" s="171">
        <f t="shared" si="16"/>
        <v>999.3950000000023</v>
      </c>
      <c r="E21" s="91">
        <v>947.98</v>
      </c>
      <c r="F21" s="91">
        <v>109.4</v>
      </c>
      <c r="G21" s="91">
        <v>1283.78</v>
      </c>
      <c r="H21" s="91">
        <v>148.27</v>
      </c>
      <c r="I21" s="91">
        <v>3084.94</v>
      </c>
      <c r="J21" s="91">
        <v>356.09</v>
      </c>
      <c r="K21" s="91">
        <v>2136.95</v>
      </c>
      <c r="L21" s="91">
        <v>246.72</v>
      </c>
      <c r="M21" s="92">
        <v>758.4</v>
      </c>
      <c r="N21" s="93">
        <v>87.5</v>
      </c>
      <c r="O21" s="185">
        <v>0</v>
      </c>
      <c r="P21" s="185">
        <v>0</v>
      </c>
      <c r="Q21" s="91">
        <v>0</v>
      </c>
      <c r="R21" s="91">
        <v>0</v>
      </c>
      <c r="S21" s="89">
        <f t="shared" si="2"/>
        <v>8212.050000000001</v>
      </c>
      <c r="T21" s="172">
        <f t="shared" si="3"/>
        <v>947.9799999999999</v>
      </c>
      <c r="U21" s="91">
        <v>785.45</v>
      </c>
      <c r="V21" s="91">
        <v>1063.04</v>
      </c>
      <c r="W21" s="91">
        <v>2555.39</v>
      </c>
      <c r="X21" s="91">
        <v>1769.95</v>
      </c>
      <c r="Y21" s="91">
        <v>618.89</v>
      </c>
      <c r="Z21" s="91">
        <v>0</v>
      </c>
      <c r="AA21" s="185">
        <v>0</v>
      </c>
      <c r="AB21" s="191">
        <f t="shared" si="4"/>
        <v>6792.72</v>
      </c>
      <c r="AC21" s="173">
        <f t="shared" si="5"/>
        <v>8740.095000000003</v>
      </c>
      <c r="AD21" s="174">
        <f t="shared" si="6"/>
        <v>0</v>
      </c>
      <c r="AE21" s="174">
        <f t="shared" si="7"/>
        <v>0</v>
      </c>
      <c r="AF21" s="174">
        <f>'[2]Т07-09'!$I$42+'[2]Т07-09'!$I$88</f>
        <v>1382.48334</v>
      </c>
      <c r="AG21" s="25">
        <f t="shared" si="17"/>
        <v>704.6999999999999</v>
      </c>
      <c r="AH21" s="25">
        <f>B21*0.2*0.99875</f>
        <v>234.606375</v>
      </c>
      <c r="AI21" s="25">
        <f>0.85*B21*0.98526</f>
        <v>983.6096895</v>
      </c>
      <c r="AJ21" s="25">
        <f t="shared" si="8"/>
        <v>177.04974410999998</v>
      </c>
      <c r="AK21" s="25">
        <f>0.83*B21*0.99</f>
        <v>965.08665</v>
      </c>
      <c r="AL21" s="25">
        <f t="shared" si="9"/>
        <v>173.71559699999997</v>
      </c>
      <c r="AM21" s="25">
        <f>(1.91)*B21*0.99</f>
        <v>2220.86205</v>
      </c>
      <c r="AN21" s="25">
        <f t="shared" si="10"/>
        <v>399.755169</v>
      </c>
      <c r="AO21" s="25"/>
      <c r="AP21" s="25">
        <f t="shared" si="11"/>
        <v>0</v>
      </c>
      <c r="AQ21" s="175"/>
      <c r="AR21" s="175">
        <f t="shared" si="11"/>
        <v>0</v>
      </c>
      <c r="AS21" s="94"/>
      <c r="AT21" s="94"/>
      <c r="AU21" s="94">
        <f t="shared" si="12"/>
        <v>0</v>
      </c>
      <c r="AV21" s="176">
        <v>293</v>
      </c>
      <c r="AW21" s="177">
        <v>0.6</v>
      </c>
      <c r="AX21" s="25">
        <f t="shared" si="18"/>
        <v>232.33727999999996</v>
      </c>
      <c r="AY21" s="178"/>
      <c r="AZ21" s="179"/>
      <c r="BA21" s="179">
        <f t="shared" si="19"/>
        <v>0</v>
      </c>
      <c r="BB21" s="179">
        <f t="shared" si="13"/>
        <v>6091.72255461</v>
      </c>
      <c r="BC21" s="192">
        <f>'[1]Т08-09'!$O$42+'[1]Т08-09'!$O$89</f>
        <v>587.923192274</v>
      </c>
      <c r="BD21" s="18">
        <f t="shared" si="20"/>
        <v>5297.162406884</v>
      </c>
      <c r="BE21" s="157">
        <f t="shared" si="14"/>
        <v>3442.932593116003</v>
      </c>
      <c r="BF21" s="157">
        <f t="shared" si="15"/>
        <v>-1419.3300000000008</v>
      </c>
    </row>
    <row r="22" spans="1:58" ht="13.5" hidden="1" thickBot="1">
      <c r="A22" s="155" t="s">
        <v>51</v>
      </c>
      <c r="B22" s="88">
        <v>1174.5</v>
      </c>
      <c r="C22" s="186">
        <f t="shared" si="1"/>
        <v>10159.425000000001</v>
      </c>
      <c r="D22" s="171">
        <f t="shared" si="16"/>
        <v>1017.2850000000009</v>
      </c>
      <c r="E22" s="89">
        <v>946.03</v>
      </c>
      <c r="F22" s="89">
        <v>109.25</v>
      </c>
      <c r="G22" s="89">
        <v>1281.24</v>
      </c>
      <c r="H22" s="89">
        <v>148.08</v>
      </c>
      <c r="I22" s="89">
        <v>3078.67</v>
      </c>
      <c r="J22" s="89">
        <v>355.62</v>
      </c>
      <c r="K22" s="89">
        <v>2132.65</v>
      </c>
      <c r="L22" s="89">
        <v>246.39</v>
      </c>
      <c r="M22" s="86">
        <v>756.83</v>
      </c>
      <c r="N22" s="90">
        <v>87.38</v>
      </c>
      <c r="O22" s="96">
        <v>0</v>
      </c>
      <c r="P22" s="96">
        <v>0</v>
      </c>
      <c r="Q22" s="96">
        <v>0</v>
      </c>
      <c r="R22" s="96">
        <v>0</v>
      </c>
      <c r="S22" s="89">
        <f t="shared" si="2"/>
        <v>8195.42</v>
      </c>
      <c r="T22" s="172">
        <f t="shared" si="3"/>
        <v>946.72</v>
      </c>
      <c r="U22" s="89">
        <v>845.96</v>
      </c>
      <c r="V22" s="89">
        <v>1144.84</v>
      </c>
      <c r="W22" s="89">
        <v>2752.15</v>
      </c>
      <c r="X22" s="89">
        <v>1906.14</v>
      </c>
      <c r="Y22" s="89">
        <v>667.67</v>
      </c>
      <c r="Z22" s="89">
        <v>0</v>
      </c>
      <c r="AA22" s="96">
        <v>0</v>
      </c>
      <c r="AB22" s="191">
        <f t="shared" si="4"/>
        <v>7316.76</v>
      </c>
      <c r="AC22" s="173">
        <f t="shared" si="5"/>
        <v>9280.765000000001</v>
      </c>
      <c r="AD22" s="174">
        <f t="shared" si="6"/>
        <v>0</v>
      </c>
      <c r="AE22" s="174">
        <f t="shared" si="7"/>
        <v>0</v>
      </c>
      <c r="AF22" s="174">
        <f>'[2]Т07-09'!$I$42+'[2]Т07-09'!$I$88</f>
        <v>1382.48334</v>
      </c>
      <c r="AG22" s="25">
        <f t="shared" si="17"/>
        <v>704.6999999999999</v>
      </c>
      <c r="AH22" s="25">
        <f>B22*0.2*0.9997</f>
        <v>234.82953</v>
      </c>
      <c r="AI22" s="25">
        <f>0.85*B22*0.98509</f>
        <v>983.43997425</v>
      </c>
      <c r="AJ22" s="25">
        <f t="shared" si="8"/>
        <v>177.019195365</v>
      </c>
      <c r="AK22" s="25">
        <f>0.83*B22*0.98981</f>
        <v>964.9014313499999</v>
      </c>
      <c r="AL22" s="25">
        <f t="shared" si="9"/>
        <v>173.68225764299999</v>
      </c>
      <c r="AM22" s="25">
        <f>(1.91)*B22*0.9898</f>
        <v>2220.413391</v>
      </c>
      <c r="AN22" s="25">
        <f t="shared" si="10"/>
        <v>399.67441038</v>
      </c>
      <c r="AO22" s="25"/>
      <c r="AP22" s="25">
        <f t="shared" si="11"/>
        <v>0</v>
      </c>
      <c r="AQ22" s="175"/>
      <c r="AR22" s="175">
        <f t="shared" si="11"/>
        <v>0</v>
      </c>
      <c r="AS22" s="94"/>
      <c r="AT22" s="94"/>
      <c r="AU22" s="94">
        <f t="shared" si="12"/>
        <v>0</v>
      </c>
      <c r="AV22" s="176">
        <v>349</v>
      </c>
      <c r="AW22" s="177">
        <v>0.6</v>
      </c>
      <c r="AX22" s="25">
        <f t="shared" si="18"/>
        <v>276.74304</v>
      </c>
      <c r="AY22" s="178"/>
      <c r="AZ22" s="179"/>
      <c r="BA22" s="179">
        <f t="shared" si="19"/>
        <v>0</v>
      </c>
      <c r="BB22" s="179">
        <f t="shared" si="13"/>
        <v>6135.403229988</v>
      </c>
      <c r="BC22" s="192">
        <f>'[1]Т09-09'!$O$42+'[1]Т09-09'!$O$89</f>
        <v>587.8342723946</v>
      </c>
      <c r="BD22" s="160">
        <f t="shared" si="20"/>
        <v>5340.7541623826</v>
      </c>
      <c r="BE22" s="157">
        <f t="shared" si="14"/>
        <v>3940.010837617401</v>
      </c>
      <c r="BF22" s="157">
        <f t="shared" si="15"/>
        <v>-878.6599999999999</v>
      </c>
    </row>
    <row r="23" spans="1:58" ht="13.5" hidden="1" thickBot="1">
      <c r="A23" s="161" t="s">
        <v>39</v>
      </c>
      <c r="B23" s="88">
        <v>1174.5</v>
      </c>
      <c r="C23" s="170">
        <f t="shared" si="1"/>
        <v>10159.425000000001</v>
      </c>
      <c r="D23" s="171">
        <f t="shared" si="16"/>
        <v>1029.1050000000032</v>
      </c>
      <c r="E23" s="95">
        <v>925.74</v>
      </c>
      <c r="F23" s="89">
        <v>128.15</v>
      </c>
      <c r="G23" s="89">
        <v>1253.81</v>
      </c>
      <c r="H23" s="89">
        <v>173.7</v>
      </c>
      <c r="I23" s="89">
        <v>3012.69</v>
      </c>
      <c r="J23" s="89">
        <v>417.15</v>
      </c>
      <c r="K23" s="89">
        <v>2086.96</v>
      </c>
      <c r="L23" s="89">
        <v>289.02</v>
      </c>
      <c r="M23" s="89">
        <v>740.6</v>
      </c>
      <c r="N23" s="96">
        <v>102.5</v>
      </c>
      <c r="O23" s="96">
        <v>0</v>
      </c>
      <c r="P23" s="96">
        <v>0</v>
      </c>
      <c r="Q23" s="89">
        <v>0</v>
      </c>
      <c r="R23" s="89">
        <v>0</v>
      </c>
      <c r="S23" s="89">
        <f t="shared" si="2"/>
        <v>8019.8</v>
      </c>
      <c r="T23" s="172">
        <f t="shared" si="3"/>
        <v>1110.52</v>
      </c>
      <c r="U23" s="97">
        <f>318.93+542.62</f>
        <v>861.55</v>
      </c>
      <c r="V23" s="89">
        <f>431.89+734.72</f>
        <v>1166.6100000000001</v>
      </c>
      <c r="W23" s="89">
        <f>1037.84+1765.68</f>
        <v>2803.52</v>
      </c>
      <c r="X23" s="89">
        <f>718.92+1223.04</f>
        <v>1941.96</v>
      </c>
      <c r="Y23" s="89">
        <f>255.17+433.26</f>
        <v>688.43</v>
      </c>
      <c r="Z23" s="89">
        <v>0</v>
      </c>
      <c r="AA23" s="96">
        <v>0</v>
      </c>
      <c r="AB23" s="96">
        <f>SUM(U23:AA23)</f>
        <v>7462.070000000001</v>
      </c>
      <c r="AC23" s="173">
        <f>AB23+T23+D23</f>
        <v>9601.695000000003</v>
      </c>
      <c r="AD23" s="174">
        <f t="shared" si="6"/>
        <v>0</v>
      </c>
      <c r="AE23" s="174">
        <f t="shared" si="7"/>
        <v>0</v>
      </c>
      <c r="AF23" s="174">
        <f>'[3]Т10'!$I$43+'[3]Т10'!$I$96</f>
        <v>1382.48334</v>
      </c>
      <c r="AG23" s="25">
        <f t="shared" si="17"/>
        <v>704.6999999999999</v>
      </c>
      <c r="AH23" s="25">
        <f>B23*0.2</f>
        <v>234.9</v>
      </c>
      <c r="AI23" s="25">
        <f>0.847*B23</f>
        <v>994.8014999999999</v>
      </c>
      <c r="AJ23" s="25">
        <f t="shared" si="8"/>
        <v>179.06426999999996</v>
      </c>
      <c r="AK23" s="25">
        <f>0.83*B23</f>
        <v>974.8349999999999</v>
      </c>
      <c r="AL23" s="25">
        <f t="shared" si="9"/>
        <v>175.47029999999998</v>
      </c>
      <c r="AM23" s="25">
        <f>(2.25/1.18)*B23</f>
        <v>2239.512711864407</v>
      </c>
      <c r="AN23" s="25">
        <f t="shared" si="10"/>
        <v>403.1122881355932</v>
      </c>
      <c r="AO23" s="25"/>
      <c r="AP23" s="25">
        <f t="shared" si="11"/>
        <v>0</v>
      </c>
      <c r="AQ23" s="175"/>
      <c r="AR23" s="175">
        <f t="shared" si="11"/>
        <v>0</v>
      </c>
      <c r="AS23" s="94">
        <v>0</v>
      </c>
      <c r="AT23" s="94"/>
      <c r="AU23" s="94">
        <f t="shared" si="12"/>
        <v>0</v>
      </c>
      <c r="AV23" s="176">
        <v>425</v>
      </c>
      <c r="AW23" s="177">
        <v>0.6</v>
      </c>
      <c r="AX23" s="25">
        <f t="shared" si="18"/>
        <v>337.008</v>
      </c>
      <c r="AY23" s="178"/>
      <c r="AZ23" s="196"/>
      <c r="BA23" s="179">
        <f t="shared" si="19"/>
        <v>0</v>
      </c>
      <c r="BB23" s="179">
        <f>SUM(AG23:AU23)+AX23+AY23+AZ23+BA23</f>
        <v>6243.40407</v>
      </c>
      <c r="BC23" s="192">
        <f>'[4]Т10'!$O$43+'[4]Т10'!$O$96</f>
        <v>592.4270180000001</v>
      </c>
      <c r="BD23" s="162">
        <f t="shared" si="20"/>
        <v>5453.347748</v>
      </c>
      <c r="BE23" s="157">
        <f t="shared" si="14"/>
        <v>4148.347252000003</v>
      </c>
      <c r="BF23" s="157">
        <f t="shared" si="15"/>
        <v>-557.7299999999996</v>
      </c>
    </row>
    <row r="24" spans="1:58" ht="13.5" hidden="1" thickBot="1">
      <c r="A24" s="14" t="s">
        <v>40</v>
      </c>
      <c r="B24" s="181">
        <v>1174.5</v>
      </c>
      <c r="C24" s="170">
        <f t="shared" si="1"/>
        <v>10159.425000000001</v>
      </c>
      <c r="D24" s="171">
        <f t="shared" si="16"/>
        <v>1029.1150000000034</v>
      </c>
      <c r="E24" s="89">
        <v>925.73</v>
      </c>
      <c r="F24" s="89">
        <v>128.15</v>
      </c>
      <c r="G24" s="89">
        <v>1253.81</v>
      </c>
      <c r="H24" s="89">
        <v>173.7</v>
      </c>
      <c r="I24" s="89">
        <v>3012.69</v>
      </c>
      <c r="J24" s="89">
        <v>417.15</v>
      </c>
      <c r="K24" s="89">
        <v>2086.96</v>
      </c>
      <c r="L24" s="89">
        <v>289.02</v>
      </c>
      <c r="M24" s="86">
        <v>740.6</v>
      </c>
      <c r="N24" s="90">
        <v>102.5</v>
      </c>
      <c r="O24" s="96">
        <v>0</v>
      </c>
      <c r="P24" s="96">
        <v>0</v>
      </c>
      <c r="Q24" s="96">
        <v>0</v>
      </c>
      <c r="R24" s="96">
        <v>0</v>
      </c>
      <c r="S24" s="89">
        <f t="shared" si="2"/>
        <v>8019.79</v>
      </c>
      <c r="T24" s="172">
        <f t="shared" si="3"/>
        <v>1110.52</v>
      </c>
      <c r="U24" s="89">
        <v>924.88</v>
      </c>
      <c r="V24" s="89">
        <v>1252.28</v>
      </c>
      <c r="W24" s="89">
        <v>3009.51</v>
      </c>
      <c r="X24" s="89">
        <v>2084.63</v>
      </c>
      <c r="Y24" s="89">
        <v>738.05</v>
      </c>
      <c r="Z24" s="89">
        <v>0</v>
      </c>
      <c r="AA24" s="96">
        <v>0</v>
      </c>
      <c r="AB24" s="96">
        <f>SUM(U24:AA24)</f>
        <v>8009.35</v>
      </c>
      <c r="AC24" s="173">
        <f>D24+T24+AB24</f>
        <v>10148.985000000004</v>
      </c>
      <c r="AD24" s="174">
        <f t="shared" si="6"/>
        <v>0</v>
      </c>
      <c r="AE24" s="174">
        <f t="shared" si="7"/>
        <v>0</v>
      </c>
      <c r="AF24" s="174">
        <f>'[3]Т11'!$I$43+'[3]Т11'!$I$96</f>
        <v>1382.48334</v>
      </c>
      <c r="AG24" s="25">
        <f t="shared" si="17"/>
        <v>704.6999999999999</v>
      </c>
      <c r="AH24" s="25">
        <f>B24*0.2</f>
        <v>234.9</v>
      </c>
      <c r="AI24" s="25">
        <f>0.85*B24</f>
        <v>998.3249999999999</v>
      </c>
      <c r="AJ24" s="25">
        <f t="shared" si="8"/>
        <v>179.69849999999997</v>
      </c>
      <c r="AK24" s="25">
        <f>0.83*B24</f>
        <v>974.8349999999999</v>
      </c>
      <c r="AL24" s="25">
        <f t="shared" si="9"/>
        <v>175.47029999999998</v>
      </c>
      <c r="AM24" s="25">
        <f>(1.91)*B24</f>
        <v>2243.295</v>
      </c>
      <c r="AN24" s="25">
        <f t="shared" si="10"/>
        <v>403.7931</v>
      </c>
      <c r="AO24" s="25"/>
      <c r="AP24" s="25">
        <f t="shared" si="11"/>
        <v>0</v>
      </c>
      <c r="AQ24" s="175"/>
      <c r="AR24" s="175">
        <f t="shared" si="11"/>
        <v>0</v>
      </c>
      <c r="AS24" s="94">
        <v>0</v>
      </c>
      <c r="AT24" s="94"/>
      <c r="AU24" s="94">
        <f t="shared" si="12"/>
        <v>0</v>
      </c>
      <c r="AV24" s="176">
        <v>470</v>
      </c>
      <c r="AW24" s="177">
        <v>0.6</v>
      </c>
      <c r="AX24" s="25">
        <f t="shared" si="18"/>
        <v>372.69120000000004</v>
      </c>
      <c r="AY24" s="178"/>
      <c r="AZ24" s="179"/>
      <c r="BA24" s="179">
        <f t="shared" si="19"/>
        <v>0</v>
      </c>
      <c r="BB24" s="179">
        <f>SUM(AG24:AU24)+AX24+AY24+AZ24+BA24</f>
        <v>6287.7081</v>
      </c>
      <c r="BC24" s="180">
        <f>'[3]Т11'!$O$43+'[3]Т11'!$O$96</f>
        <v>593.26146</v>
      </c>
      <c r="BD24" s="60">
        <f t="shared" si="20"/>
        <v>5498.48622</v>
      </c>
      <c r="BE24" s="157">
        <f t="shared" si="14"/>
        <v>4650.498780000004</v>
      </c>
      <c r="BF24" s="157">
        <f t="shared" si="15"/>
        <v>-10.4399999999996</v>
      </c>
    </row>
    <row r="25" spans="1:58" ht="13.5" hidden="1" thickBot="1">
      <c r="A25" s="135" t="s">
        <v>41</v>
      </c>
      <c r="B25" s="88">
        <v>1174.5</v>
      </c>
      <c r="C25" s="170">
        <f t="shared" si="1"/>
        <v>10159.425000000001</v>
      </c>
      <c r="D25" s="171">
        <f t="shared" si="16"/>
        <v>1028.685000000002</v>
      </c>
      <c r="E25" s="89">
        <v>925.47</v>
      </c>
      <c r="F25" s="89">
        <v>128.47</v>
      </c>
      <c r="G25" s="89">
        <v>1253.44</v>
      </c>
      <c r="H25" s="89">
        <v>174.13</v>
      </c>
      <c r="I25" s="89">
        <v>3011.81</v>
      </c>
      <c r="J25" s="89">
        <v>418.19</v>
      </c>
      <c r="K25" s="89">
        <v>2086.35</v>
      </c>
      <c r="L25" s="89">
        <v>289.74</v>
      </c>
      <c r="M25" s="86">
        <v>740.38</v>
      </c>
      <c r="N25" s="90">
        <v>102.76</v>
      </c>
      <c r="O25" s="96">
        <v>0</v>
      </c>
      <c r="P25" s="96">
        <v>0</v>
      </c>
      <c r="Q25" s="96"/>
      <c r="R25" s="96"/>
      <c r="S25" s="89">
        <f t="shared" si="2"/>
        <v>8017.45</v>
      </c>
      <c r="T25" s="172">
        <f t="shared" si="3"/>
        <v>1113.29</v>
      </c>
      <c r="U25" s="89">
        <v>633.91</v>
      </c>
      <c r="V25" s="89">
        <v>858.53</v>
      </c>
      <c r="W25" s="89">
        <v>2062.97</v>
      </c>
      <c r="X25" s="89">
        <v>1429.01</v>
      </c>
      <c r="Y25" s="89">
        <v>506.32</v>
      </c>
      <c r="Z25" s="89">
        <v>0</v>
      </c>
      <c r="AA25" s="96">
        <v>0</v>
      </c>
      <c r="AB25" s="96">
        <f>SUM(U25:AA25)</f>
        <v>5490.74</v>
      </c>
      <c r="AC25" s="173">
        <f>D25+T25+AB25</f>
        <v>7632.715000000002</v>
      </c>
      <c r="AD25" s="174">
        <f t="shared" si="6"/>
        <v>0</v>
      </c>
      <c r="AE25" s="174">
        <f t="shared" si="7"/>
        <v>0</v>
      </c>
      <c r="AF25" s="174">
        <f>'[3]Т12'!$I$43+'[3]Т12'!$I$97</f>
        <v>1382.48334</v>
      </c>
      <c r="AG25" s="25">
        <f t="shared" si="17"/>
        <v>704.6999999999999</v>
      </c>
      <c r="AH25" s="25">
        <f>B25*0.2</f>
        <v>234.9</v>
      </c>
      <c r="AI25" s="25">
        <f>0.85*B25</f>
        <v>998.3249999999999</v>
      </c>
      <c r="AJ25" s="25">
        <f t="shared" si="8"/>
        <v>179.69849999999997</v>
      </c>
      <c r="AK25" s="25">
        <f>0.83*B25</f>
        <v>974.8349999999999</v>
      </c>
      <c r="AL25" s="25">
        <f t="shared" si="9"/>
        <v>175.47029999999998</v>
      </c>
      <c r="AM25" s="25">
        <f>(1.91)*B25</f>
        <v>2243.295</v>
      </c>
      <c r="AN25" s="25">
        <f t="shared" si="10"/>
        <v>403.7931</v>
      </c>
      <c r="AO25" s="25"/>
      <c r="AP25" s="25">
        <f t="shared" si="11"/>
        <v>0</v>
      </c>
      <c r="AQ25" s="175"/>
      <c r="AR25" s="175">
        <f t="shared" si="11"/>
        <v>0</v>
      </c>
      <c r="AS25" s="94">
        <v>1395</v>
      </c>
      <c r="AT25" s="94"/>
      <c r="AU25" s="94">
        <f t="shared" si="12"/>
        <v>251.1</v>
      </c>
      <c r="AV25" s="176">
        <v>514</v>
      </c>
      <c r="AW25" s="177">
        <v>0.6</v>
      </c>
      <c r="AX25" s="25">
        <f t="shared" si="18"/>
        <v>407.58144</v>
      </c>
      <c r="AY25" s="178"/>
      <c r="AZ25" s="179"/>
      <c r="BA25" s="179">
        <f t="shared" si="19"/>
        <v>0</v>
      </c>
      <c r="BB25" s="179">
        <f>SUM(AG25:BA25)-AV25-AW25</f>
        <v>7968.698340000001</v>
      </c>
      <c r="BC25" s="180">
        <f>'[3]Т12'!$O$43+'[3]Т12'!$O$97</f>
        <v>593.26146</v>
      </c>
      <c r="BD25" s="87">
        <f t="shared" si="20"/>
        <v>7179.476460000001</v>
      </c>
      <c r="BE25" s="157">
        <f t="shared" si="14"/>
        <v>453.2385400000011</v>
      </c>
      <c r="BF25" s="157">
        <f t="shared" si="15"/>
        <v>-2526.71</v>
      </c>
    </row>
    <row r="26" spans="1:58" s="24" customFormat="1" ht="12.75" hidden="1">
      <c r="A26" s="19" t="s">
        <v>3</v>
      </c>
      <c r="B26" s="20"/>
      <c r="C26" s="20">
        <f>SUM(C14:C25)</f>
        <v>121909.64000000003</v>
      </c>
      <c r="D26" s="20">
        <f aca="true" t="shared" si="21" ref="D26:BF26">SUM(D14:D25)</f>
        <v>13329.570000000016</v>
      </c>
      <c r="E26" s="20">
        <f t="shared" si="21"/>
        <v>10909.99</v>
      </c>
      <c r="F26" s="20">
        <f t="shared" si="21"/>
        <v>1329.97</v>
      </c>
      <c r="G26" s="20">
        <f t="shared" si="21"/>
        <v>14761.210000000001</v>
      </c>
      <c r="H26" s="20">
        <f t="shared" si="21"/>
        <v>1800.54</v>
      </c>
      <c r="I26" s="20">
        <f t="shared" si="21"/>
        <v>35489.99999999999</v>
      </c>
      <c r="J26" s="20">
        <f t="shared" si="21"/>
        <v>4327.17</v>
      </c>
      <c r="K26" s="20">
        <f t="shared" si="21"/>
        <v>24580.1</v>
      </c>
      <c r="L26" s="20">
        <f t="shared" si="21"/>
        <v>2997.3500000000004</v>
      </c>
      <c r="M26" s="20">
        <f t="shared" si="21"/>
        <v>8727.99</v>
      </c>
      <c r="N26" s="20">
        <f t="shared" si="21"/>
        <v>1063.85</v>
      </c>
      <c r="O26" s="20">
        <f t="shared" si="21"/>
        <v>0</v>
      </c>
      <c r="P26" s="20">
        <f t="shared" si="21"/>
        <v>0</v>
      </c>
      <c r="Q26" s="20">
        <f t="shared" si="21"/>
        <v>0</v>
      </c>
      <c r="R26" s="20">
        <f t="shared" si="21"/>
        <v>0</v>
      </c>
      <c r="S26" s="20">
        <f t="shared" si="21"/>
        <v>94469.29000000001</v>
      </c>
      <c r="T26" s="20">
        <f t="shared" si="21"/>
        <v>11518.880000000001</v>
      </c>
      <c r="U26" s="20">
        <f t="shared" si="21"/>
        <v>8722.730000000001</v>
      </c>
      <c r="V26" s="20">
        <f t="shared" si="21"/>
        <v>11789.480000000001</v>
      </c>
      <c r="W26" s="20">
        <f t="shared" si="21"/>
        <v>28321.120000000003</v>
      </c>
      <c r="X26" s="20">
        <f t="shared" si="21"/>
        <v>19619.94</v>
      </c>
      <c r="Y26" s="20">
        <f t="shared" si="21"/>
        <v>6920.34</v>
      </c>
      <c r="Z26" s="20">
        <f t="shared" si="21"/>
        <v>0</v>
      </c>
      <c r="AA26" s="20">
        <f t="shared" si="21"/>
        <v>0</v>
      </c>
      <c r="AB26" s="20">
        <f t="shared" si="21"/>
        <v>75373.61000000002</v>
      </c>
      <c r="AC26" s="20">
        <f t="shared" si="21"/>
        <v>100222.06000000001</v>
      </c>
      <c r="AD26" s="20">
        <f t="shared" si="21"/>
        <v>0</v>
      </c>
      <c r="AE26" s="20">
        <f t="shared" si="21"/>
        <v>0</v>
      </c>
      <c r="AF26" s="20">
        <f t="shared" si="21"/>
        <v>8784.86672</v>
      </c>
      <c r="AG26" s="20">
        <f t="shared" si="21"/>
        <v>8174.303999999999</v>
      </c>
      <c r="AH26" s="20">
        <f t="shared" si="21"/>
        <v>2736.7612360000003</v>
      </c>
      <c r="AI26" s="20">
        <f t="shared" si="21"/>
        <v>11427.929092250002</v>
      </c>
      <c r="AJ26" s="20">
        <f t="shared" si="21"/>
        <v>2057.027236605</v>
      </c>
      <c r="AK26" s="20">
        <f t="shared" si="21"/>
        <v>11107.970323249998</v>
      </c>
      <c r="AL26" s="20">
        <f t="shared" si="21"/>
        <v>1999.4346581849998</v>
      </c>
      <c r="AM26" s="20">
        <f t="shared" si="21"/>
        <v>25558.348739964407</v>
      </c>
      <c r="AN26" s="20">
        <f t="shared" si="21"/>
        <v>4600.502773193593</v>
      </c>
      <c r="AO26" s="20">
        <f t="shared" si="21"/>
        <v>0</v>
      </c>
      <c r="AP26" s="20">
        <f t="shared" si="21"/>
        <v>0</v>
      </c>
      <c r="AQ26" s="163">
        <f t="shared" si="21"/>
        <v>0</v>
      </c>
      <c r="AR26" s="163">
        <f t="shared" si="21"/>
        <v>0</v>
      </c>
      <c r="AS26" s="21">
        <f t="shared" si="21"/>
        <v>16894.64</v>
      </c>
      <c r="AT26" s="21">
        <f t="shared" si="21"/>
        <v>0</v>
      </c>
      <c r="AU26" s="21">
        <f t="shared" si="21"/>
        <v>3041.0352</v>
      </c>
      <c r="AV26" s="20">
        <f t="shared" si="21"/>
        <v>4400</v>
      </c>
      <c r="AW26" s="20">
        <f t="shared" si="21"/>
        <v>7.199999999999998</v>
      </c>
      <c r="AX26" s="20">
        <f t="shared" si="21"/>
        <v>3489.0231999999996</v>
      </c>
      <c r="AY26" s="20">
        <f t="shared" si="21"/>
        <v>0</v>
      </c>
      <c r="AZ26" s="20">
        <f t="shared" si="21"/>
        <v>0</v>
      </c>
      <c r="BA26" s="20">
        <f t="shared" si="21"/>
        <v>0</v>
      </c>
      <c r="BB26" s="20">
        <f t="shared" si="21"/>
        <v>91086.97645944802</v>
      </c>
      <c r="BC26" s="20">
        <f t="shared" si="21"/>
        <v>3764.9031532886006</v>
      </c>
      <c r="BD26" s="20">
        <f t="shared" si="21"/>
        <v>74047.18462700861</v>
      </c>
      <c r="BE26" s="20">
        <f t="shared" si="21"/>
        <v>14155.047107263415</v>
      </c>
      <c r="BF26" s="164">
        <f t="shared" si="21"/>
        <v>-19095.679999999997</v>
      </c>
    </row>
    <row r="27" spans="1:58" s="24" customFormat="1" ht="12.75" hidden="1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165"/>
      <c r="AE27" s="165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83"/>
      <c r="AQ27" s="166"/>
      <c r="AR27" s="166"/>
      <c r="AS27" s="83"/>
      <c r="AT27" s="83"/>
      <c r="AU27" s="83"/>
      <c r="AV27" s="23"/>
      <c r="AW27" s="23"/>
      <c r="AX27" s="98"/>
      <c r="AY27" s="56"/>
      <c r="AZ27" s="56"/>
      <c r="BA27" s="56"/>
      <c r="BB27" s="56"/>
      <c r="BC27" s="56"/>
      <c r="BD27" s="56"/>
      <c r="BE27" s="56"/>
      <c r="BF27" s="167"/>
    </row>
    <row r="28" spans="1:58" s="24" customFormat="1" ht="13.5" hidden="1" thickBot="1">
      <c r="A28" s="27" t="s">
        <v>52</v>
      </c>
      <c r="B28" s="28"/>
      <c r="C28" s="28">
        <f>C12+C26</f>
        <v>152385.32000000004</v>
      </c>
      <c r="D28" s="28">
        <f aca="true" t="shared" si="22" ref="D28:BF28">D12+D26</f>
        <v>20665.167761600016</v>
      </c>
      <c r="E28" s="28">
        <f t="shared" si="22"/>
        <v>13440.4</v>
      </c>
      <c r="F28" s="28">
        <f t="shared" si="22"/>
        <v>1633.78</v>
      </c>
      <c r="G28" s="28">
        <f t="shared" si="22"/>
        <v>18177.22</v>
      </c>
      <c r="H28" s="28">
        <f t="shared" si="22"/>
        <v>2210.73</v>
      </c>
      <c r="I28" s="28">
        <f t="shared" si="22"/>
        <v>43713.759999999995</v>
      </c>
      <c r="J28" s="28">
        <f t="shared" si="22"/>
        <v>5314.56</v>
      </c>
      <c r="K28" s="28">
        <f t="shared" si="22"/>
        <v>30273.469999999998</v>
      </c>
      <c r="L28" s="28">
        <f t="shared" si="22"/>
        <v>3680.9300000000003</v>
      </c>
      <c r="M28" s="28">
        <f t="shared" si="22"/>
        <v>10244.5</v>
      </c>
      <c r="N28" s="28">
        <f t="shared" si="22"/>
        <v>1246.8</v>
      </c>
      <c r="O28" s="28">
        <f t="shared" si="22"/>
        <v>0</v>
      </c>
      <c r="P28" s="28">
        <f t="shared" si="22"/>
        <v>0</v>
      </c>
      <c r="Q28" s="28">
        <f t="shared" si="22"/>
        <v>0</v>
      </c>
      <c r="R28" s="28">
        <f t="shared" si="22"/>
        <v>0</v>
      </c>
      <c r="S28" s="28">
        <f t="shared" si="22"/>
        <v>115849.35</v>
      </c>
      <c r="T28" s="28">
        <f t="shared" si="22"/>
        <v>14086.800000000001</v>
      </c>
      <c r="U28" s="28">
        <f t="shared" si="22"/>
        <v>10046.2</v>
      </c>
      <c r="V28" s="28">
        <f t="shared" si="22"/>
        <v>13576.100000000002</v>
      </c>
      <c r="W28" s="28">
        <f t="shared" si="22"/>
        <v>32622.300000000003</v>
      </c>
      <c r="X28" s="28">
        <f t="shared" si="22"/>
        <v>22597.67</v>
      </c>
      <c r="Y28" s="28">
        <f t="shared" si="22"/>
        <v>7611.12</v>
      </c>
      <c r="Z28" s="28">
        <f t="shared" si="22"/>
        <v>0</v>
      </c>
      <c r="AA28" s="28">
        <f t="shared" si="22"/>
        <v>0</v>
      </c>
      <c r="AB28" s="28">
        <f t="shared" si="22"/>
        <v>86453.39000000001</v>
      </c>
      <c r="AC28" s="28">
        <f t="shared" si="22"/>
        <v>121205.35776160001</v>
      </c>
      <c r="AD28" s="28">
        <f t="shared" si="22"/>
        <v>0</v>
      </c>
      <c r="AE28" s="28">
        <f t="shared" si="22"/>
        <v>0</v>
      </c>
      <c r="AF28" s="28">
        <f t="shared" si="22"/>
        <v>8784.86672</v>
      </c>
      <c r="AG28" s="28">
        <f t="shared" si="22"/>
        <v>10288.223999999998</v>
      </c>
      <c r="AH28" s="28">
        <f t="shared" si="22"/>
        <v>3462.1881160000003</v>
      </c>
      <c r="AI28" s="28">
        <f t="shared" si="22"/>
        <v>14426.078340250002</v>
      </c>
      <c r="AJ28" s="28">
        <f>AJ12+AJ26</f>
        <v>2596.6941012449997</v>
      </c>
      <c r="AK28" s="28">
        <f t="shared" si="22"/>
        <v>14596.867508529998</v>
      </c>
      <c r="AL28" s="28">
        <f t="shared" si="22"/>
        <v>2627.4361515354</v>
      </c>
      <c r="AM28" s="28">
        <f t="shared" si="22"/>
        <v>31965.842609084408</v>
      </c>
      <c r="AN28" s="28">
        <f t="shared" si="22"/>
        <v>5753.8516696351935</v>
      </c>
      <c r="AO28" s="28">
        <f t="shared" si="22"/>
        <v>0</v>
      </c>
      <c r="AP28" s="28">
        <f t="shared" si="22"/>
        <v>0</v>
      </c>
      <c r="AQ28" s="168">
        <f t="shared" si="22"/>
        <v>0</v>
      </c>
      <c r="AR28" s="168">
        <f t="shared" si="22"/>
        <v>0</v>
      </c>
      <c r="AS28" s="169">
        <f t="shared" si="22"/>
        <v>45935.64</v>
      </c>
      <c r="AT28" s="169">
        <f t="shared" si="22"/>
        <v>0</v>
      </c>
      <c r="AU28" s="169">
        <f t="shared" si="22"/>
        <v>8268.4152</v>
      </c>
      <c r="AV28" s="28">
        <f t="shared" si="22"/>
        <v>4400</v>
      </c>
      <c r="AW28" s="28">
        <f t="shared" si="22"/>
        <v>7.199999999999998</v>
      </c>
      <c r="AX28" s="28">
        <f t="shared" si="22"/>
        <v>3489.0231999999996</v>
      </c>
      <c r="AY28" s="28">
        <f t="shared" si="22"/>
        <v>0</v>
      </c>
      <c r="AZ28" s="28">
        <f t="shared" si="22"/>
        <v>0</v>
      </c>
      <c r="BA28" s="28">
        <f t="shared" si="22"/>
        <v>0</v>
      </c>
      <c r="BB28" s="28">
        <f t="shared" si="22"/>
        <v>143410.26089628</v>
      </c>
      <c r="BC28" s="28">
        <f t="shared" si="22"/>
        <v>3764.9031532886006</v>
      </c>
      <c r="BD28" s="28">
        <f t="shared" si="22"/>
        <v>126370.4690638406</v>
      </c>
      <c r="BE28" s="28">
        <f t="shared" si="22"/>
        <v>-17184.939567968584</v>
      </c>
      <c r="BF28" s="28">
        <f t="shared" si="22"/>
        <v>-29395.96</v>
      </c>
    </row>
    <row r="29" spans="1:58" ht="12.75" hidden="1">
      <c r="A29" s="8" t="s">
        <v>93</v>
      </c>
      <c r="B29" s="77"/>
      <c r="C29" s="141"/>
      <c r="D29" s="141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3"/>
      <c r="P29" s="144"/>
      <c r="Q29" s="145"/>
      <c r="R29" s="145"/>
      <c r="S29" s="145"/>
      <c r="T29" s="145"/>
      <c r="U29" s="146"/>
      <c r="V29" s="146"/>
      <c r="W29" s="146"/>
      <c r="X29" s="146"/>
      <c r="Y29" s="146"/>
      <c r="Z29" s="146"/>
      <c r="AA29" s="147"/>
      <c r="AB29" s="147"/>
      <c r="AC29" s="148"/>
      <c r="AD29" s="149"/>
      <c r="AE29" s="149"/>
      <c r="AF29" s="59"/>
      <c r="AG29" s="59"/>
      <c r="AH29" s="59"/>
      <c r="AI29" s="59"/>
      <c r="AJ29" s="59"/>
      <c r="AK29" s="59"/>
      <c r="AL29" s="59"/>
      <c r="AM29" s="59"/>
      <c r="AN29" s="78"/>
      <c r="AO29" s="78"/>
      <c r="AP29" s="78"/>
      <c r="AQ29" s="150"/>
      <c r="AR29" s="151"/>
      <c r="AS29" s="152"/>
      <c r="AT29" s="152"/>
      <c r="AU29" s="153"/>
      <c r="AV29" s="59"/>
      <c r="AW29" s="59"/>
      <c r="AX29" s="60"/>
      <c r="AY29" s="1"/>
      <c r="AZ29" s="1"/>
      <c r="BA29" s="1"/>
      <c r="BB29" s="1"/>
      <c r="BC29" s="1"/>
      <c r="BD29" s="1"/>
      <c r="BE29" s="1"/>
      <c r="BF29" s="133"/>
    </row>
    <row r="30" spans="1:58" ht="12.75" hidden="1">
      <c r="A30" s="14" t="s">
        <v>43</v>
      </c>
      <c r="B30" s="88">
        <v>1174.5</v>
      </c>
      <c r="C30" s="170">
        <f aca="true" t="shared" si="23" ref="C30:C41">B30*8.65</f>
        <v>10159.425000000001</v>
      </c>
      <c r="D30" s="171">
        <f aca="true" t="shared" si="24" ref="D30:D41">C30-E30-F30-G30-H30-I30-J30-K30-L30-M30-N30</f>
        <v>1027.915000000002</v>
      </c>
      <c r="E30" s="89">
        <v>924.98</v>
      </c>
      <c r="F30" s="89">
        <v>129.05</v>
      </c>
      <c r="G30" s="89">
        <v>1252.77</v>
      </c>
      <c r="H30" s="89">
        <v>174.92</v>
      </c>
      <c r="I30" s="89">
        <v>3010.21</v>
      </c>
      <c r="J30" s="89">
        <v>420.08</v>
      </c>
      <c r="K30" s="89">
        <v>2085.24</v>
      </c>
      <c r="L30" s="89">
        <v>291.05</v>
      </c>
      <c r="M30" s="86">
        <v>739.99</v>
      </c>
      <c r="N30" s="90">
        <v>103.22</v>
      </c>
      <c r="O30" s="96">
        <v>0</v>
      </c>
      <c r="P30" s="96">
        <v>0</v>
      </c>
      <c r="Q30" s="96"/>
      <c r="R30" s="96"/>
      <c r="S30" s="89">
        <f aca="true" t="shared" si="25" ref="S30:S41">E30+G30+I30+K30+M30+O30+Q30</f>
        <v>8013.19</v>
      </c>
      <c r="T30" s="172">
        <f aca="true" t="shared" si="26" ref="T30:T41">P30+N30+L30+J30+H30+F30+R30</f>
        <v>1118.32</v>
      </c>
      <c r="U30" s="89">
        <v>1066.54</v>
      </c>
      <c r="V30" s="89">
        <v>1443.41</v>
      </c>
      <c r="W30" s="89">
        <v>3469.82</v>
      </c>
      <c r="X30" s="89">
        <v>2403.34</v>
      </c>
      <c r="Y30" s="89">
        <v>839.53</v>
      </c>
      <c r="Z30" s="89">
        <v>0</v>
      </c>
      <c r="AA30" s="96">
        <v>0</v>
      </c>
      <c r="AB30" s="96">
        <f>SUM(U30:AA30)</f>
        <v>9222.640000000001</v>
      </c>
      <c r="AC30" s="173">
        <f aca="true" t="shared" si="27" ref="AC30:AC41">D30+T30+AB30</f>
        <v>11368.875000000004</v>
      </c>
      <c r="AD30" s="174">
        <f aca="true" t="shared" si="28" ref="AD30:AD41">P30+Z30</f>
        <v>0</v>
      </c>
      <c r="AE30" s="174">
        <f aca="true" t="shared" si="29" ref="AE30:AE41">R30+AA30</f>
        <v>0</v>
      </c>
      <c r="AF30" s="174">
        <f>'[5]Т01-10'!$I$41+'[5]Т01-10'!$I$94</f>
        <v>1382.48334</v>
      </c>
      <c r="AG30" s="25">
        <f aca="true" t="shared" si="30" ref="AG30:AG41">0.6*B30</f>
        <v>704.6999999999999</v>
      </c>
      <c r="AH30" s="25">
        <f aca="true" t="shared" si="31" ref="AH30:AH41">B30*0.2</f>
        <v>234.9</v>
      </c>
      <c r="AI30" s="25">
        <f aca="true" t="shared" si="32" ref="AI30:AI41">1*B30</f>
        <v>1174.5</v>
      </c>
      <c r="AJ30" s="25">
        <v>0</v>
      </c>
      <c r="AK30" s="25">
        <f aca="true" t="shared" si="33" ref="AK30:AK41">0.98*B30</f>
        <v>1151.01</v>
      </c>
      <c r="AL30" s="25">
        <v>0</v>
      </c>
      <c r="AM30" s="25">
        <f aca="true" t="shared" si="34" ref="AM30:AM41">2.25*B30</f>
        <v>2642.625</v>
      </c>
      <c r="AN30" s="25">
        <v>0</v>
      </c>
      <c r="AO30" s="25"/>
      <c r="AP30" s="25">
        <v>0</v>
      </c>
      <c r="AQ30" s="175"/>
      <c r="AR30" s="175"/>
      <c r="AS30" s="94">
        <v>1218</v>
      </c>
      <c r="AT30" s="94">
        <v>52</v>
      </c>
      <c r="AU30" s="94"/>
      <c r="AV30" s="176">
        <v>508</v>
      </c>
      <c r="AW30" s="177">
        <v>0.6</v>
      </c>
      <c r="AX30" s="25">
        <f aca="true" t="shared" si="35" ref="AX30:AX41">AV30*AW30*1.4</f>
        <v>426.71999999999997</v>
      </c>
      <c r="AY30" s="178"/>
      <c r="AZ30" s="179"/>
      <c r="BA30" s="179">
        <f aca="true" t="shared" si="36" ref="BA30:BA41">AZ30*0.18</f>
        <v>0</v>
      </c>
      <c r="BB30" s="179">
        <f aca="true" t="shared" si="37" ref="BB30:BB41">SUM(AG30:BA30)-AV30-AW30</f>
        <v>7604.455</v>
      </c>
      <c r="BC30" s="180">
        <f>'[5]Т03-10'!$M$42+'[5]Т03-10'!$M$95</f>
        <v>592.559</v>
      </c>
      <c r="BD30" s="154"/>
      <c r="BE30" s="136">
        <f>(AC30-BB30)+(AF30-BC30)</f>
        <v>4554.344340000003</v>
      </c>
      <c r="BF30" s="136">
        <f>AB30-S30</f>
        <v>1209.4500000000016</v>
      </c>
    </row>
    <row r="31" spans="1:58" ht="12.75" hidden="1">
      <c r="A31" s="14" t="s">
        <v>44</v>
      </c>
      <c r="B31" s="181">
        <v>1174.9</v>
      </c>
      <c r="C31" s="170">
        <f t="shared" si="23"/>
        <v>10162.885000000002</v>
      </c>
      <c r="D31" s="171">
        <f t="shared" si="24"/>
        <v>1028.2550000000022</v>
      </c>
      <c r="E31" s="95">
        <v>925.34</v>
      </c>
      <c r="F31" s="89">
        <v>129.05</v>
      </c>
      <c r="G31" s="89">
        <v>1253.26</v>
      </c>
      <c r="H31" s="89">
        <v>174.92</v>
      </c>
      <c r="I31" s="89">
        <v>3011.38</v>
      </c>
      <c r="J31" s="89">
        <v>420.08</v>
      </c>
      <c r="K31" s="89">
        <v>2086.05</v>
      </c>
      <c r="L31" s="89">
        <v>291.05</v>
      </c>
      <c r="M31" s="86">
        <v>740.28</v>
      </c>
      <c r="N31" s="90">
        <v>103.22</v>
      </c>
      <c r="O31" s="96">
        <v>0</v>
      </c>
      <c r="P31" s="96">
        <v>0</v>
      </c>
      <c r="Q31" s="89">
        <v>0</v>
      </c>
      <c r="R31" s="96">
        <v>0</v>
      </c>
      <c r="S31" s="89">
        <f t="shared" si="25"/>
        <v>8016.3099999999995</v>
      </c>
      <c r="T31" s="172">
        <f t="shared" si="26"/>
        <v>1118.32</v>
      </c>
      <c r="U31" s="89">
        <v>632.57</v>
      </c>
      <c r="V31" s="89">
        <v>856.87</v>
      </c>
      <c r="W31" s="89">
        <v>2058.77</v>
      </c>
      <c r="X31" s="89">
        <v>1426.24</v>
      </c>
      <c r="Y31" s="89">
        <v>504.91</v>
      </c>
      <c r="Z31" s="89">
        <v>0</v>
      </c>
      <c r="AA31" s="96">
        <v>0</v>
      </c>
      <c r="AB31" s="96">
        <f>SUM(U31:AA31)</f>
        <v>5479.36</v>
      </c>
      <c r="AC31" s="173">
        <f t="shared" si="27"/>
        <v>7625.935000000001</v>
      </c>
      <c r="AD31" s="174">
        <f t="shared" si="28"/>
        <v>0</v>
      </c>
      <c r="AE31" s="174">
        <f t="shared" si="29"/>
        <v>0</v>
      </c>
      <c r="AF31" s="174">
        <f>'[5]Т01-10'!$I$41+'[5]Т01-10'!$I$94</f>
        <v>1382.48334</v>
      </c>
      <c r="AG31" s="25">
        <f t="shared" si="30"/>
        <v>704.94</v>
      </c>
      <c r="AH31" s="25">
        <f t="shared" si="31"/>
        <v>234.98000000000002</v>
      </c>
      <c r="AI31" s="25">
        <f t="shared" si="32"/>
        <v>1174.9</v>
      </c>
      <c r="AJ31" s="25">
        <v>0</v>
      </c>
      <c r="AK31" s="25">
        <f t="shared" si="33"/>
        <v>1151.402</v>
      </c>
      <c r="AL31" s="25">
        <v>0</v>
      </c>
      <c r="AM31" s="25">
        <f t="shared" si="34"/>
        <v>2643.525</v>
      </c>
      <c r="AN31" s="25">
        <v>0</v>
      </c>
      <c r="AO31" s="25">
        <f>323*5.4</f>
        <v>1744.2</v>
      </c>
      <c r="AP31" s="25"/>
      <c r="AQ31" s="175"/>
      <c r="AR31" s="175"/>
      <c r="AS31" s="94"/>
      <c r="AT31" s="94"/>
      <c r="AU31" s="94">
        <f aca="true" t="shared" si="38" ref="AU31:AU40">AT31*0.18</f>
        <v>0</v>
      </c>
      <c r="AV31" s="176">
        <v>407</v>
      </c>
      <c r="AW31" s="177">
        <v>0.6</v>
      </c>
      <c r="AX31" s="25">
        <f t="shared" si="35"/>
        <v>341.87999999999994</v>
      </c>
      <c r="AY31" s="178"/>
      <c r="AZ31" s="179"/>
      <c r="BA31" s="179">
        <f t="shared" si="36"/>
        <v>0</v>
      </c>
      <c r="BB31" s="179">
        <f t="shared" si="37"/>
        <v>7995.826999999999</v>
      </c>
      <c r="BC31" s="180">
        <f>'[5]Т03-10'!$M$42+'[5]Т03-10'!$M$95</f>
        <v>592.559</v>
      </c>
      <c r="BD31" s="154"/>
      <c r="BE31" s="136">
        <f aca="true" t="shared" si="39" ref="BE31:BE41">(AC31-BB31)+(AF31-BC31)</f>
        <v>420.032340000002</v>
      </c>
      <c r="BF31" s="136">
        <f aca="true" t="shared" si="40" ref="BF31:BF41">AB31-S31</f>
        <v>-2536.95</v>
      </c>
    </row>
    <row r="32" spans="1:58" ht="13.5" hidden="1" thickBot="1">
      <c r="A32" s="155" t="s">
        <v>45</v>
      </c>
      <c r="B32" s="88">
        <v>1174.9</v>
      </c>
      <c r="C32" s="170">
        <f t="shared" si="23"/>
        <v>10162.885000000002</v>
      </c>
      <c r="D32" s="171">
        <f t="shared" si="24"/>
        <v>1028.2550000000022</v>
      </c>
      <c r="E32" s="89">
        <v>925.34</v>
      </c>
      <c r="F32" s="89">
        <v>129.05</v>
      </c>
      <c r="G32" s="89">
        <v>1253.26</v>
      </c>
      <c r="H32" s="89">
        <v>174.92</v>
      </c>
      <c r="I32" s="89">
        <v>3011.38</v>
      </c>
      <c r="J32" s="89">
        <v>420.08</v>
      </c>
      <c r="K32" s="89">
        <v>2086.05</v>
      </c>
      <c r="L32" s="89">
        <v>291.05</v>
      </c>
      <c r="M32" s="86">
        <v>740.28</v>
      </c>
      <c r="N32" s="90">
        <v>103.22</v>
      </c>
      <c r="O32" s="96">
        <v>0</v>
      </c>
      <c r="P32" s="96">
        <v>0</v>
      </c>
      <c r="Q32" s="96">
        <v>0</v>
      </c>
      <c r="R32" s="96">
        <v>0</v>
      </c>
      <c r="S32" s="89">
        <f t="shared" si="25"/>
        <v>8016.3099999999995</v>
      </c>
      <c r="T32" s="172">
        <f t="shared" si="26"/>
        <v>1118.32</v>
      </c>
      <c r="U32" s="89">
        <v>891.59</v>
      </c>
      <c r="V32" s="89">
        <v>1207.2</v>
      </c>
      <c r="W32" s="89">
        <v>2901.19</v>
      </c>
      <c r="X32" s="89">
        <v>2009.57</v>
      </c>
      <c r="Y32" s="89">
        <v>711</v>
      </c>
      <c r="Z32" s="89">
        <v>0</v>
      </c>
      <c r="AA32" s="96">
        <v>0</v>
      </c>
      <c r="AB32" s="96">
        <f>SUM(U32:AA32)</f>
        <v>7720.549999999999</v>
      </c>
      <c r="AC32" s="173">
        <f t="shared" si="27"/>
        <v>9867.125000000002</v>
      </c>
      <c r="AD32" s="174">
        <f t="shared" si="28"/>
        <v>0</v>
      </c>
      <c r="AE32" s="174">
        <f t="shared" si="29"/>
        <v>0</v>
      </c>
      <c r="AF32" s="174">
        <f>'[5]Т01-10'!$I$41+'[5]Т01-10'!$I$94</f>
        <v>1382.48334</v>
      </c>
      <c r="AG32" s="25">
        <f t="shared" si="30"/>
        <v>704.94</v>
      </c>
      <c r="AH32" s="25">
        <f t="shared" si="31"/>
        <v>234.98000000000002</v>
      </c>
      <c r="AI32" s="25">
        <f t="shared" si="32"/>
        <v>1174.9</v>
      </c>
      <c r="AJ32" s="25">
        <v>0</v>
      </c>
      <c r="AK32" s="25">
        <f t="shared" si="33"/>
        <v>1151.402</v>
      </c>
      <c r="AL32" s="25">
        <v>0</v>
      </c>
      <c r="AM32" s="25">
        <f t="shared" si="34"/>
        <v>2643.525</v>
      </c>
      <c r="AN32" s="25">
        <v>0</v>
      </c>
      <c r="AO32" s="25"/>
      <c r="AP32" s="25"/>
      <c r="AQ32" s="175"/>
      <c r="AR32" s="175"/>
      <c r="AS32" s="94">
        <v>2570</v>
      </c>
      <c r="AT32" s="94"/>
      <c r="AU32" s="94">
        <f t="shared" si="38"/>
        <v>0</v>
      </c>
      <c r="AV32" s="176">
        <v>383</v>
      </c>
      <c r="AW32" s="177">
        <v>0.6</v>
      </c>
      <c r="AX32" s="25">
        <f t="shared" si="35"/>
        <v>321.71999999999997</v>
      </c>
      <c r="AY32" s="178"/>
      <c r="AZ32" s="179"/>
      <c r="BA32" s="179">
        <f t="shared" si="36"/>
        <v>0</v>
      </c>
      <c r="BB32" s="179">
        <f t="shared" si="37"/>
        <v>8801.466999999999</v>
      </c>
      <c r="BC32" s="180">
        <f>'[5]Т03-10'!$M$42+'[5]Т03-10'!$M$95</f>
        <v>592.559</v>
      </c>
      <c r="BD32" s="156"/>
      <c r="BE32" s="136">
        <f t="shared" si="39"/>
        <v>1855.5823400000031</v>
      </c>
      <c r="BF32" s="136">
        <f t="shared" si="40"/>
        <v>-295.7600000000002</v>
      </c>
    </row>
    <row r="33" spans="1:58" ht="12.75" hidden="1">
      <c r="A33" s="158" t="s">
        <v>46</v>
      </c>
      <c r="B33" s="88">
        <v>1174.9</v>
      </c>
      <c r="C33" s="170">
        <f t="shared" si="23"/>
        <v>10162.885000000002</v>
      </c>
      <c r="D33" s="171">
        <f t="shared" si="24"/>
        <v>1028.2550000000022</v>
      </c>
      <c r="E33" s="89">
        <v>925.34</v>
      </c>
      <c r="F33" s="89">
        <v>129.05</v>
      </c>
      <c r="G33" s="89">
        <v>1253.26</v>
      </c>
      <c r="H33" s="89">
        <v>174.92</v>
      </c>
      <c r="I33" s="89">
        <v>3011.38</v>
      </c>
      <c r="J33" s="89">
        <v>420.08</v>
      </c>
      <c r="K33" s="89">
        <v>2086.05</v>
      </c>
      <c r="L33" s="89">
        <v>291.05</v>
      </c>
      <c r="M33" s="86">
        <v>740.28</v>
      </c>
      <c r="N33" s="90">
        <v>103.22</v>
      </c>
      <c r="O33" s="96">
        <v>0</v>
      </c>
      <c r="P33" s="96">
        <v>0</v>
      </c>
      <c r="Q33" s="96"/>
      <c r="R33" s="96"/>
      <c r="S33" s="89">
        <f t="shared" si="25"/>
        <v>8016.3099999999995</v>
      </c>
      <c r="T33" s="172">
        <f t="shared" si="26"/>
        <v>1118.32</v>
      </c>
      <c r="U33" s="89">
        <v>623.15</v>
      </c>
      <c r="V33" s="89">
        <v>833.58</v>
      </c>
      <c r="W33" s="89">
        <v>1976.16</v>
      </c>
      <c r="X33" s="89">
        <v>1374.83</v>
      </c>
      <c r="Y33" s="89">
        <v>497.57</v>
      </c>
      <c r="Z33" s="89">
        <v>0</v>
      </c>
      <c r="AA33" s="96">
        <v>0</v>
      </c>
      <c r="AB33" s="96">
        <f>SUM(U33:AA33)</f>
        <v>5305.29</v>
      </c>
      <c r="AC33" s="173">
        <f t="shared" si="27"/>
        <v>7451.865000000002</v>
      </c>
      <c r="AD33" s="174">
        <f t="shared" si="28"/>
        <v>0</v>
      </c>
      <c r="AE33" s="174">
        <f t="shared" si="29"/>
        <v>0</v>
      </c>
      <c r="AF33" s="174">
        <f>'[6]Т04-10'!$I$42+'[6]Т04-10'!$I$95</f>
        <v>1382.48334</v>
      </c>
      <c r="AG33" s="25">
        <f t="shared" si="30"/>
        <v>704.94</v>
      </c>
      <c r="AH33" s="25">
        <f t="shared" si="31"/>
        <v>234.98000000000002</v>
      </c>
      <c r="AI33" s="25">
        <f t="shared" si="32"/>
        <v>1174.9</v>
      </c>
      <c r="AJ33" s="25">
        <v>0</v>
      </c>
      <c r="AK33" s="25">
        <f t="shared" si="33"/>
        <v>1151.402</v>
      </c>
      <c r="AL33" s="25">
        <v>0</v>
      </c>
      <c r="AM33" s="25">
        <f t="shared" si="34"/>
        <v>2643.525</v>
      </c>
      <c r="AN33" s="25">
        <v>0</v>
      </c>
      <c r="AO33" s="25"/>
      <c r="AP33" s="25"/>
      <c r="AQ33" s="175"/>
      <c r="AR33" s="175"/>
      <c r="AS33" s="94">
        <v>989</v>
      </c>
      <c r="AT33" s="94"/>
      <c r="AU33" s="94">
        <f t="shared" si="38"/>
        <v>0</v>
      </c>
      <c r="AV33" s="176">
        <v>307</v>
      </c>
      <c r="AW33" s="177">
        <v>0.6</v>
      </c>
      <c r="AX33" s="25">
        <f t="shared" si="35"/>
        <v>257.88</v>
      </c>
      <c r="AY33" s="178"/>
      <c r="AZ33" s="179"/>
      <c r="BA33" s="179">
        <f t="shared" si="36"/>
        <v>0</v>
      </c>
      <c r="BB33" s="179">
        <f t="shared" si="37"/>
        <v>7156.627</v>
      </c>
      <c r="BC33" s="180">
        <f>'[6]Т04-10'!$M$42+'[6]Т04-10'!$M$95</f>
        <v>592.559</v>
      </c>
      <c r="BD33" s="87"/>
      <c r="BE33" s="136">
        <f t="shared" si="39"/>
        <v>1085.1623400000012</v>
      </c>
      <c r="BF33" s="136">
        <f t="shared" si="40"/>
        <v>-2711.0199999999995</v>
      </c>
    </row>
    <row r="34" spans="1:58" ht="12.75" hidden="1">
      <c r="A34" s="14" t="s">
        <v>47</v>
      </c>
      <c r="B34" s="88">
        <v>1175.3</v>
      </c>
      <c r="C34" s="170">
        <f t="shared" si="23"/>
        <v>10166.345</v>
      </c>
      <c r="D34" s="171">
        <f t="shared" si="24"/>
        <v>1016.3649999999997</v>
      </c>
      <c r="E34" s="89">
        <v>933.43</v>
      </c>
      <c r="F34" s="89">
        <v>122.74</v>
      </c>
      <c r="G34" s="89">
        <v>1264.17</v>
      </c>
      <c r="H34" s="89">
        <v>166.36</v>
      </c>
      <c r="I34" s="89">
        <v>3037.72</v>
      </c>
      <c r="J34" s="89">
        <v>399.53</v>
      </c>
      <c r="K34" s="89">
        <v>2104.27</v>
      </c>
      <c r="L34" s="89">
        <v>276.81</v>
      </c>
      <c r="M34" s="86">
        <v>746.78</v>
      </c>
      <c r="N34" s="90">
        <v>98.17</v>
      </c>
      <c r="O34" s="96">
        <v>0</v>
      </c>
      <c r="P34" s="96">
        <v>0</v>
      </c>
      <c r="Q34" s="96"/>
      <c r="R34" s="96"/>
      <c r="S34" s="89">
        <f t="shared" si="25"/>
        <v>8086.37</v>
      </c>
      <c r="T34" s="172">
        <f t="shared" si="26"/>
        <v>1063.61</v>
      </c>
      <c r="U34" s="182">
        <v>683.97</v>
      </c>
      <c r="V34" s="182">
        <v>925.98</v>
      </c>
      <c r="W34" s="182">
        <v>2225.47</v>
      </c>
      <c r="X34" s="182">
        <v>1541.47</v>
      </c>
      <c r="Y34" s="182">
        <v>546.54</v>
      </c>
      <c r="Z34" s="182">
        <v>0</v>
      </c>
      <c r="AA34" s="183">
        <v>0</v>
      </c>
      <c r="AB34" s="96">
        <f aca="true" t="shared" si="41" ref="AB34:AB41">SUM(U34:AA34)</f>
        <v>5923.43</v>
      </c>
      <c r="AC34" s="173">
        <f t="shared" si="27"/>
        <v>8003.405</v>
      </c>
      <c r="AD34" s="174">
        <f t="shared" si="28"/>
        <v>0</v>
      </c>
      <c r="AE34" s="174">
        <f t="shared" si="29"/>
        <v>0</v>
      </c>
      <c r="AF34" s="174">
        <f>'[6]Т04-10'!$I$42+'[6]Т04-10'!$I$95</f>
        <v>1382.48334</v>
      </c>
      <c r="AG34" s="25">
        <f t="shared" si="30"/>
        <v>705.18</v>
      </c>
      <c r="AH34" s="25">
        <f t="shared" si="31"/>
        <v>235.06</v>
      </c>
      <c r="AI34" s="25">
        <f t="shared" si="32"/>
        <v>1175.3</v>
      </c>
      <c r="AJ34" s="25">
        <v>0</v>
      </c>
      <c r="AK34" s="25">
        <f t="shared" si="33"/>
        <v>1151.7939999999999</v>
      </c>
      <c r="AL34" s="25">
        <v>0</v>
      </c>
      <c r="AM34" s="25">
        <f t="shared" si="34"/>
        <v>2644.4249999999997</v>
      </c>
      <c r="AN34" s="25">
        <v>0</v>
      </c>
      <c r="AO34" s="25"/>
      <c r="AP34" s="25"/>
      <c r="AQ34" s="175"/>
      <c r="AR34" s="175"/>
      <c r="AS34" s="94">
        <v>3658</v>
      </c>
      <c r="AT34" s="94"/>
      <c r="AU34" s="94">
        <f t="shared" si="38"/>
        <v>0</v>
      </c>
      <c r="AV34" s="176">
        <v>263</v>
      </c>
      <c r="AW34" s="177">
        <v>0.6</v>
      </c>
      <c r="AX34" s="25">
        <f t="shared" si="35"/>
        <v>220.91999999999996</v>
      </c>
      <c r="AY34" s="178"/>
      <c r="AZ34" s="179"/>
      <c r="BA34" s="179">
        <f t="shared" si="36"/>
        <v>0</v>
      </c>
      <c r="BB34" s="179">
        <f t="shared" si="37"/>
        <v>9790.679</v>
      </c>
      <c r="BC34" s="180">
        <f>'[6]Т04-10'!$M$42+'[6]Т04-10'!$M$95</f>
        <v>592.559</v>
      </c>
      <c r="BD34" s="18"/>
      <c r="BE34" s="136">
        <f t="shared" si="39"/>
        <v>-997.3496600000003</v>
      </c>
      <c r="BF34" s="136">
        <f t="shared" si="40"/>
        <v>-2162.9399999999996</v>
      </c>
    </row>
    <row r="35" spans="1:58" ht="13.5" hidden="1" thickBot="1">
      <c r="A35" s="155" t="s">
        <v>48</v>
      </c>
      <c r="B35" s="88">
        <v>1175.3</v>
      </c>
      <c r="C35" s="170">
        <f t="shared" si="23"/>
        <v>10166.345</v>
      </c>
      <c r="D35" s="171">
        <f t="shared" si="24"/>
        <v>1003.2849999999986</v>
      </c>
      <c r="E35" s="89">
        <v>943.52</v>
      </c>
      <c r="F35" s="89">
        <v>114.19</v>
      </c>
      <c r="G35" s="89">
        <v>1277.75</v>
      </c>
      <c r="H35" s="89">
        <v>154.78</v>
      </c>
      <c r="I35" s="89">
        <v>3070.47</v>
      </c>
      <c r="J35" s="89">
        <v>371.71</v>
      </c>
      <c r="K35" s="89">
        <v>2126.93</v>
      </c>
      <c r="L35" s="89">
        <v>257.54</v>
      </c>
      <c r="M35" s="86">
        <v>754.83</v>
      </c>
      <c r="N35" s="90">
        <v>91.34</v>
      </c>
      <c r="O35" s="96">
        <v>0</v>
      </c>
      <c r="P35" s="96">
        <v>0</v>
      </c>
      <c r="Q35" s="96">
        <v>0</v>
      </c>
      <c r="R35" s="96">
        <v>0</v>
      </c>
      <c r="S35" s="89">
        <f t="shared" si="25"/>
        <v>8173.5</v>
      </c>
      <c r="T35" s="172">
        <f t="shared" si="26"/>
        <v>989.56</v>
      </c>
      <c r="U35" s="89">
        <v>936.72</v>
      </c>
      <c r="V35" s="89">
        <v>1268.22</v>
      </c>
      <c r="W35" s="89">
        <v>3047.8</v>
      </c>
      <c r="X35" s="89">
        <v>2111.16</v>
      </c>
      <c r="Y35" s="89">
        <v>747.36</v>
      </c>
      <c r="Z35" s="89">
        <v>0</v>
      </c>
      <c r="AA35" s="96">
        <v>0</v>
      </c>
      <c r="AB35" s="96">
        <f t="shared" si="41"/>
        <v>8111.259999999999</v>
      </c>
      <c r="AC35" s="173">
        <f t="shared" si="27"/>
        <v>10104.104999999998</v>
      </c>
      <c r="AD35" s="174">
        <f t="shared" si="28"/>
        <v>0</v>
      </c>
      <c r="AE35" s="174">
        <f t="shared" si="29"/>
        <v>0</v>
      </c>
      <c r="AF35" s="174">
        <f>'[6]Т04-10'!$I$42+'[6]Т04-10'!$I$95</f>
        <v>1382.48334</v>
      </c>
      <c r="AG35" s="25">
        <f t="shared" si="30"/>
        <v>705.18</v>
      </c>
      <c r="AH35" s="25">
        <f t="shared" si="31"/>
        <v>235.06</v>
      </c>
      <c r="AI35" s="25">
        <f t="shared" si="32"/>
        <v>1175.3</v>
      </c>
      <c r="AJ35" s="25">
        <v>0</v>
      </c>
      <c r="AK35" s="25">
        <f t="shared" si="33"/>
        <v>1151.7939999999999</v>
      </c>
      <c r="AL35" s="25">
        <v>0</v>
      </c>
      <c r="AM35" s="25">
        <f t="shared" si="34"/>
        <v>2644.4249999999997</v>
      </c>
      <c r="AN35" s="25">
        <v>0</v>
      </c>
      <c r="AO35" s="25"/>
      <c r="AP35" s="25"/>
      <c r="AQ35" s="175"/>
      <c r="AR35" s="175"/>
      <c r="AS35" s="94"/>
      <c r="AT35" s="94"/>
      <c r="AU35" s="94">
        <f t="shared" si="38"/>
        <v>0</v>
      </c>
      <c r="AV35" s="176">
        <v>233</v>
      </c>
      <c r="AW35" s="177">
        <v>0.6</v>
      </c>
      <c r="AX35" s="25">
        <f t="shared" si="35"/>
        <v>195.71999999999997</v>
      </c>
      <c r="AY35" s="178"/>
      <c r="AZ35" s="179"/>
      <c r="BA35" s="179">
        <f t="shared" si="36"/>
        <v>0</v>
      </c>
      <c r="BB35" s="179">
        <f t="shared" si="37"/>
        <v>6107.479</v>
      </c>
      <c r="BC35" s="180">
        <f>'[6]Т06-10'!$M$42+'[6]Т06-10'!$M$93</f>
        <v>592.559</v>
      </c>
      <c r="BD35" s="160"/>
      <c r="BE35" s="136">
        <f t="shared" si="39"/>
        <v>4786.550339999998</v>
      </c>
      <c r="BF35" s="136">
        <f t="shared" si="40"/>
        <v>-62.24000000000069</v>
      </c>
    </row>
    <row r="36" spans="1:58" ht="12.75" hidden="1">
      <c r="A36" s="158" t="s">
        <v>49</v>
      </c>
      <c r="B36" s="88">
        <v>1175.3</v>
      </c>
      <c r="C36" s="170">
        <f t="shared" si="23"/>
        <v>10166.345</v>
      </c>
      <c r="D36" s="171">
        <f t="shared" si="24"/>
        <v>995.8049999999997</v>
      </c>
      <c r="E36" s="95">
        <v>1039.69</v>
      </c>
      <c r="F36" s="89">
        <v>18.9</v>
      </c>
      <c r="G36" s="89">
        <v>1408.05</v>
      </c>
      <c r="H36" s="89">
        <v>25.62</v>
      </c>
      <c r="I36" s="89">
        <v>3383.47</v>
      </c>
      <c r="J36" s="89">
        <v>61.53</v>
      </c>
      <c r="K36" s="89">
        <v>2343.78</v>
      </c>
      <c r="L36" s="89">
        <v>42.63</v>
      </c>
      <c r="M36" s="86">
        <v>831.75</v>
      </c>
      <c r="N36" s="90">
        <v>15.12</v>
      </c>
      <c r="O36" s="96">
        <v>0</v>
      </c>
      <c r="P36" s="96">
        <v>0</v>
      </c>
      <c r="Q36" s="96"/>
      <c r="R36" s="96"/>
      <c r="S36" s="89">
        <f t="shared" si="25"/>
        <v>9006.74</v>
      </c>
      <c r="T36" s="172">
        <f t="shared" si="26"/>
        <v>163.8</v>
      </c>
      <c r="U36" s="95">
        <v>734.15</v>
      </c>
      <c r="V36" s="89">
        <v>993.98</v>
      </c>
      <c r="W36" s="89">
        <v>2388.99</v>
      </c>
      <c r="X36" s="89">
        <v>1654.74</v>
      </c>
      <c r="Y36" s="89">
        <v>582.79</v>
      </c>
      <c r="Z36" s="89">
        <v>0</v>
      </c>
      <c r="AA36" s="96">
        <v>0</v>
      </c>
      <c r="AB36" s="96">
        <f t="shared" si="41"/>
        <v>6354.65</v>
      </c>
      <c r="AC36" s="173">
        <f t="shared" si="27"/>
        <v>7514.254999999999</v>
      </c>
      <c r="AD36" s="174">
        <f t="shared" si="28"/>
        <v>0</v>
      </c>
      <c r="AE36" s="174">
        <f t="shared" si="29"/>
        <v>0</v>
      </c>
      <c r="AF36" s="174">
        <f>'[7]Т07-10'!$I$42+'[7]Т07-10'!$I$92</f>
        <v>1382.50334</v>
      </c>
      <c r="AG36" s="25">
        <f t="shared" si="30"/>
        <v>705.18</v>
      </c>
      <c r="AH36" s="25">
        <f t="shared" si="31"/>
        <v>235.06</v>
      </c>
      <c r="AI36" s="25">
        <f t="shared" si="32"/>
        <v>1175.3</v>
      </c>
      <c r="AJ36" s="25">
        <v>0</v>
      </c>
      <c r="AK36" s="25">
        <f t="shared" si="33"/>
        <v>1151.7939999999999</v>
      </c>
      <c r="AL36" s="25">
        <v>0</v>
      </c>
      <c r="AM36" s="25">
        <f t="shared" si="34"/>
        <v>2644.4249999999997</v>
      </c>
      <c r="AN36" s="25">
        <v>0</v>
      </c>
      <c r="AO36" s="25"/>
      <c r="AP36" s="25"/>
      <c r="AQ36" s="175"/>
      <c r="AR36" s="175"/>
      <c r="AS36" s="94"/>
      <c r="AT36" s="94"/>
      <c r="AU36" s="94">
        <f t="shared" si="38"/>
        <v>0</v>
      </c>
      <c r="AV36" s="176">
        <v>248</v>
      </c>
      <c r="AW36" s="177">
        <v>0.6</v>
      </c>
      <c r="AX36" s="25">
        <f t="shared" si="35"/>
        <v>208.31999999999996</v>
      </c>
      <c r="AY36" s="178"/>
      <c r="AZ36" s="179"/>
      <c r="BA36" s="179">
        <f t="shared" si="36"/>
        <v>0</v>
      </c>
      <c r="BB36" s="179">
        <f t="shared" si="37"/>
        <v>6120.079</v>
      </c>
      <c r="BC36" s="180">
        <f>'[6]Т06-10'!$M$42+'[6]Т06-10'!$M$93</f>
        <v>592.559</v>
      </c>
      <c r="BD36" s="18"/>
      <c r="BE36" s="136">
        <f t="shared" si="39"/>
        <v>2184.1203399999995</v>
      </c>
      <c r="BF36" s="136">
        <f t="shared" si="40"/>
        <v>-2652.09</v>
      </c>
    </row>
    <row r="37" spans="1:58" ht="12.75" hidden="1">
      <c r="A37" s="14" t="s">
        <v>50</v>
      </c>
      <c r="B37" s="88">
        <v>1175.3</v>
      </c>
      <c r="C37" s="170">
        <f t="shared" si="23"/>
        <v>10166.345</v>
      </c>
      <c r="D37" s="171">
        <f t="shared" si="24"/>
        <v>995.8249999999999</v>
      </c>
      <c r="E37" s="95">
        <v>1039.69</v>
      </c>
      <c r="F37" s="89">
        <v>18.9</v>
      </c>
      <c r="G37" s="89">
        <v>1408.04</v>
      </c>
      <c r="H37" s="89">
        <v>25.62</v>
      </c>
      <c r="I37" s="89">
        <v>3383.47</v>
      </c>
      <c r="J37" s="89">
        <v>61.53</v>
      </c>
      <c r="K37" s="89">
        <v>2343.78</v>
      </c>
      <c r="L37" s="89">
        <v>42.63</v>
      </c>
      <c r="M37" s="86">
        <v>831.74</v>
      </c>
      <c r="N37" s="90">
        <v>15.12</v>
      </c>
      <c r="O37" s="96">
        <v>0</v>
      </c>
      <c r="P37" s="96">
        <v>0</v>
      </c>
      <c r="Q37" s="96"/>
      <c r="R37" s="96"/>
      <c r="S37" s="89">
        <f t="shared" si="25"/>
        <v>9006.72</v>
      </c>
      <c r="T37" s="172">
        <f t="shared" si="26"/>
        <v>163.8</v>
      </c>
      <c r="U37" s="182">
        <v>1694.59</v>
      </c>
      <c r="V37" s="182">
        <v>2295.02</v>
      </c>
      <c r="W37" s="182">
        <v>4614.89</v>
      </c>
      <c r="X37" s="182">
        <v>3820.35</v>
      </c>
      <c r="Y37" s="182">
        <v>1355.79</v>
      </c>
      <c r="Z37" s="182">
        <v>0</v>
      </c>
      <c r="AA37" s="183">
        <v>0</v>
      </c>
      <c r="AB37" s="96">
        <f t="shared" si="41"/>
        <v>13780.64</v>
      </c>
      <c r="AC37" s="173">
        <f t="shared" si="27"/>
        <v>14940.265</v>
      </c>
      <c r="AD37" s="174">
        <f t="shared" si="28"/>
        <v>0</v>
      </c>
      <c r="AE37" s="174">
        <f t="shared" si="29"/>
        <v>0</v>
      </c>
      <c r="AF37" s="174">
        <f>'[7]Т07-10'!$I$42+'[7]Т07-10'!$I$92</f>
        <v>1382.50334</v>
      </c>
      <c r="AG37" s="25">
        <f t="shared" si="30"/>
        <v>705.18</v>
      </c>
      <c r="AH37" s="25">
        <f t="shared" si="31"/>
        <v>235.06</v>
      </c>
      <c r="AI37" s="25">
        <f t="shared" si="32"/>
        <v>1175.3</v>
      </c>
      <c r="AJ37" s="25">
        <v>0</v>
      </c>
      <c r="AK37" s="25">
        <f t="shared" si="33"/>
        <v>1151.7939999999999</v>
      </c>
      <c r="AL37" s="25">
        <v>0</v>
      </c>
      <c r="AM37" s="25">
        <f t="shared" si="34"/>
        <v>2644.4249999999997</v>
      </c>
      <c r="AN37" s="25">
        <v>0</v>
      </c>
      <c r="AO37" s="25"/>
      <c r="AP37" s="25"/>
      <c r="AQ37" s="175"/>
      <c r="AR37" s="175"/>
      <c r="AS37" s="94">
        <v>4820</v>
      </c>
      <c r="AT37" s="94">
        <f>47.8+168</f>
        <v>215.8</v>
      </c>
      <c r="AU37" s="94"/>
      <c r="AV37" s="176">
        <v>293</v>
      </c>
      <c r="AW37" s="177">
        <v>0.6</v>
      </c>
      <c r="AX37" s="25">
        <f t="shared" si="35"/>
        <v>246.11999999999995</v>
      </c>
      <c r="AY37" s="178"/>
      <c r="AZ37" s="179"/>
      <c r="BA37" s="179">
        <f t="shared" si="36"/>
        <v>0</v>
      </c>
      <c r="BB37" s="179">
        <f t="shared" si="37"/>
        <v>11193.679</v>
      </c>
      <c r="BC37" s="180">
        <f>'[6]Т06-10'!$M$42+'[6]Т06-10'!$M$93</f>
        <v>592.559</v>
      </c>
      <c r="BD37" s="18"/>
      <c r="BE37" s="136">
        <f t="shared" si="39"/>
        <v>4536.530339999999</v>
      </c>
      <c r="BF37" s="136">
        <f t="shared" si="40"/>
        <v>4773.92</v>
      </c>
    </row>
    <row r="38" spans="1:58" ht="13.5" hidden="1" thickBot="1">
      <c r="A38" s="155" t="s">
        <v>51</v>
      </c>
      <c r="B38" s="88">
        <v>1175.3</v>
      </c>
      <c r="C38" s="170">
        <f t="shared" si="23"/>
        <v>10166.345</v>
      </c>
      <c r="D38" s="171">
        <f t="shared" si="24"/>
        <v>995.8249999999999</v>
      </c>
      <c r="E38" s="89">
        <v>1039.69</v>
      </c>
      <c r="F38" s="89">
        <v>18.9</v>
      </c>
      <c r="G38" s="89">
        <v>1408.04</v>
      </c>
      <c r="H38" s="89">
        <v>25.62</v>
      </c>
      <c r="I38" s="89">
        <v>3383.47</v>
      </c>
      <c r="J38" s="89">
        <v>61.53</v>
      </c>
      <c r="K38" s="89">
        <v>2343.78</v>
      </c>
      <c r="L38" s="89">
        <v>42.63</v>
      </c>
      <c r="M38" s="86">
        <v>831.74</v>
      </c>
      <c r="N38" s="90">
        <v>15.12</v>
      </c>
      <c r="O38" s="96">
        <v>0</v>
      </c>
      <c r="P38" s="96">
        <v>0</v>
      </c>
      <c r="Q38" s="96"/>
      <c r="R38" s="96"/>
      <c r="S38" s="89">
        <f t="shared" si="25"/>
        <v>9006.72</v>
      </c>
      <c r="T38" s="172">
        <f t="shared" si="26"/>
        <v>163.8</v>
      </c>
      <c r="U38" s="89">
        <v>885.4</v>
      </c>
      <c r="V38" s="89">
        <v>1199.19</v>
      </c>
      <c r="W38" s="89">
        <v>2881.38</v>
      </c>
      <c r="X38" s="89">
        <v>1996.01</v>
      </c>
      <c r="Y38" s="89">
        <v>706.57</v>
      </c>
      <c r="Z38" s="89">
        <v>0</v>
      </c>
      <c r="AA38" s="96">
        <v>0</v>
      </c>
      <c r="AB38" s="96">
        <f t="shared" si="41"/>
        <v>7668.55</v>
      </c>
      <c r="AC38" s="173">
        <f t="shared" si="27"/>
        <v>8828.175</v>
      </c>
      <c r="AD38" s="174">
        <f t="shared" si="28"/>
        <v>0</v>
      </c>
      <c r="AE38" s="174">
        <f t="shared" si="29"/>
        <v>0</v>
      </c>
      <c r="AF38" s="174">
        <f>'[7]Т09-10'!$I$42+'[7]Т09-10'!$I$92</f>
        <v>1382.50334</v>
      </c>
      <c r="AG38" s="25">
        <f t="shared" si="30"/>
        <v>705.18</v>
      </c>
      <c r="AH38" s="25">
        <f t="shared" si="31"/>
        <v>235.06</v>
      </c>
      <c r="AI38" s="25">
        <f t="shared" si="32"/>
        <v>1175.3</v>
      </c>
      <c r="AJ38" s="25">
        <v>0</v>
      </c>
      <c r="AK38" s="25">
        <f t="shared" si="33"/>
        <v>1151.7939999999999</v>
      </c>
      <c r="AL38" s="25">
        <v>0</v>
      </c>
      <c r="AM38" s="25">
        <f t="shared" si="34"/>
        <v>2644.4249999999997</v>
      </c>
      <c r="AN38" s="25">
        <v>0</v>
      </c>
      <c r="AO38" s="25"/>
      <c r="AP38" s="25"/>
      <c r="AQ38" s="175"/>
      <c r="AR38" s="175"/>
      <c r="AS38" s="94"/>
      <c r="AT38" s="94"/>
      <c r="AU38" s="184">
        <f t="shared" si="38"/>
        <v>0</v>
      </c>
      <c r="AV38" s="176">
        <v>349</v>
      </c>
      <c r="AW38" s="177">
        <v>0.6</v>
      </c>
      <c r="AX38" s="25">
        <f t="shared" si="35"/>
        <v>293.15999999999997</v>
      </c>
      <c r="AY38" s="178"/>
      <c r="AZ38" s="179"/>
      <c r="BA38" s="179">
        <f t="shared" si="36"/>
        <v>0</v>
      </c>
      <c r="BB38" s="179">
        <f t="shared" si="37"/>
        <v>6204.919</v>
      </c>
      <c r="BC38" s="180">
        <f>'[6]Т06-10'!$M$42+'[6]Т06-10'!$M$93</f>
        <v>592.559</v>
      </c>
      <c r="BD38" s="160"/>
      <c r="BE38" s="136">
        <f t="shared" si="39"/>
        <v>3413.2003399999994</v>
      </c>
      <c r="BF38" s="136">
        <f t="shared" si="40"/>
        <v>-1338.1699999999992</v>
      </c>
    </row>
    <row r="39" spans="1:58" ht="12.75" hidden="1">
      <c r="A39" s="161" t="s">
        <v>39</v>
      </c>
      <c r="B39" s="88">
        <v>1175.3</v>
      </c>
      <c r="C39" s="170">
        <f t="shared" si="23"/>
        <v>10166.345</v>
      </c>
      <c r="D39" s="171">
        <f t="shared" si="24"/>
        <v>996.0850000000004</v>
      </c>
      <c r="E39" s="91">
        <v>1039.65</v>
      </c>
      <c r="F39" s="91">
        <v>18.9</v>
      </c>
      <c r="G39" s="91">
        <v>1408.01</v>
      </c>
      <c r="H39" s="91">
        <v>25.62</v>
      </c>
      <c r="I39" s="91">
        <v>3383.36</v>
      </c>
      <c r="J39" s="91">
        <v>61.53</v>
      </c>
      <c r="K39" s="91">
        <v>2343.71</v>
      </c>
      <c r="L39" s="91">
        <v>42.63</v>
      </c>
      <c r="M39" s="92">
        <v>831.73</v>
      </c>
      <c r="N39" s="93">
        <v>15.12</v>
      </c>
      <c r="O39" s="185">
        <v>0</v>
      </c>
      <c r="P39" s="185">
        <v>0</v>
      </c>
      <c r="Q39" s="185"/>
      <c r="R39" s="185"/>
      <c r="S39" s="89">
        <f t="shared" si="25"/>
        <v>9006.460000000001</v>
      </c>
      <c r="T39" s="172">
        <f t="shared" si="26"/>
        <v>163.8</v>
      </c>
      <c r="U39" s="89">
        <v>1665.98</v>
      </c>
      <c r="V39" s="89">
        <v>2255.77</v>
      </c>
      <c r="W39" s="89">
        <v>6320.01</v>
      </c>
      <c r="X39" s="89">
        <v>3754.99</v>
      </c>
      <c r="Y39" s="89">
        <v>1311.51</v>
      </c>
      <c r="Z39" s="89">
        <v>0</v>
      </c>
      <c r="AA39" s="96">
        <v>0</v>
      </c>
      <c r="AB39" s="96">
        <f t="shared" si="41"/>
        <v>15308.26</v>
      </c>
      <c r="AC39" s="173">
        <f t="shared" si="27"/>
        <v>16468.145</v>
      </c>
      <c r="AD39" s="174">
        <f t="shared" si="28"/>
        <v>0</v>
      </c>
      <c r="AE39" s="174">
        <f t="shared" si="29"/>
        <v>0</v>
      </c>
      <c r="AF39" s="174">
        <f>'[7]Т10-10'!$I$42+'[7]Т10-10'!$I$92+100</f>
        <v>1482.50334</v>
      </c>
      <c r="AG39" s="25">
        <f t="shared" si="30"/>
        <v>705.18</v>
      </c>
      <c r="AH39" s="25">
        <f t="shared" si="31"/>
        <v>235.06</v>
      </c>
      <c r="AI39" s="25">
        <f t="shared" si="32"/>
        <v>1175.3</v>
      </c>
      <c r="AJ39" s="25">
        <v>0</v>
      </c>
      <c r="AK39" s="25">
        <f t="shared" si="33"/>
        <v>1151.7939999999999</v>
      </c>
      <c r="AL39" s="25">
        <v>0</v>
      </c>
      <c r="AM39" s="25">
        <f t="shared" si="34"/>
        <v>2644.4249999999997</v>
      </c>
      <c r="AN39" s="25">
        <v>0</v>
      </c>
      <c r="AO39" s="25"/>
      <c r="AP39" s="25"/>
      <c r="AQ39" s="175"/>
      <c r="AR39" s="175"/>
      <c r="AS39" s="94">
        <v>1520</v>
      </c>
      <c r="AT39" s="94"/>
      <c r="AU39" s="94">
        <f t="shared" si="38"/>
        <v>0</v>
      </c>
      <c r="AV39" s="176">
        <v>425</v>
      </c>
      <c r="AW39" s="177">
        <v>0.6</v>
      </c>
      <c r="AX39" s="25">
        <f t="shared" si="35"/>
        <v>357</v>
      </c>
      <c r="AY39" s="178"/>
      <c r="AZ39" s="179"/>
      <c r="BA39" s="179">
        <f t="shared" si="36"/>
        <v>0</v>
      </c>
      <c r="BB39" s="179">
        <f t="shared" si="37"/>
        <v>7788.759</v>
      </c>
      <c r="BC39" s="180">
        <f>'[7]Т10-10'!$M$42+'[7]Т10-10'!$M$92+25</f>
        <v>617.559</v>
      </c>
      <c r="BD39" s="162"/>
      <c r="BE39" s="136">
        <f t="shared" si="39"/>
        <v>9544.33034</v>
      </c>
      <c r="BF39" s="136">
        <f t="shared" si="40"/>
        <v>6301.799999999999</v>
      </c>
    </row>
    <row r="40" spans="1:58" ht="12.75" hidden="1">
      <c r="A40" s="14" t="s">
        <v>40</v>
      </c>
      <c r="B40" s="88">
        <v>1175.3</v>
      </c>
      <c r="C40" s="170">
        <f t="shared" si="23"/>
        <v>10166.345</v>
      </c>
      <c r="D40" s="171">
        <f t="shared" si="24"/>
        <v>996.125000000001</v>
      </c>
      <c r="E40" s="89">
        <v>1039.65</v>
      </c>
      <c r="F40" s="89">
        <v>18.9</v>
      </c>
      <c r="G40" s="89">
        <v>1408</v>
      </c>
      <c r="H40" s="89">
        <v>25.62</v>
      </c>
      <c r="I40" s="89">
        <v>3383.35</v>
      </c>
      <c r="J40" s="89">
        <v>61.53</v>
      </c>
      <c r="K40" s="89">
        <v>2343.7</v>
      </c>
      <c r="L40" s="89">
        <v>42.63</v>
      </c>
      <c r="M40" s="86">
        <v>831.72</v>
      </c>
      <c r="N40" s="90">
        <v>15.12</v>
      </c>
      <c r="O40" s="96">
        <v>0</v>
      </c>
      <c r="P40" s="96">
        <v>0</v>
      </c>
      <c r="Q40" s="96"/>
      <c r="R40" s="96"/>
      <c r="S40" s="89">
        <f t="shared" si="25"/>
        <v>9006.42</v>
      </c>
      <c r="T40" s="172">
        <f t="shared" si="26"/>
        <v>163.8</v>
      </c>
      <c r="U40" s="95">
        <v>996.76</v>
      </c>
      <c r="V40" s="89">
        <v>1349.82</v>
      </c>
      <c r="W40" s="89">
        <v>3245.11</v>
      </c>
      <c r="X40" s="89">
        <v>2247.34</v>
      </c>
      <c r="Y40" s="89">
        <v>795.58</v>
      </c>
      <c r="Z40" s="89">
        <v>0</v>
      </c>
      <c r="AA40" s="96">
        <v>0</v>
      </c>
      <c r="AB40" s="96">
        <f t="shared" si="41"/>
        <v>8634.61</v>
      </c>
      <c r="AC40" s="173">
        <f t="shared" si="27"/>
        <v>9794.535000000002</v>
      </c>
      <c r="AD40" s="174">
        <f t="shared" si="28"/>
        <v>0</v>
      </c>
      <c r="AE40" s="174">
        <f t="shared" si="29"/>
        <v>0</v>
      </c>
      <c r="AF40" s="174">
        <f>'[7]Т10-10'!$I$42+'[7]Т10-10'!$I$92+100</f>
        <v>1482.50334</v>
      </c>
      <c r="AG40" s="25">
        <f t="shared" si="30"/>
        <v>705.18</v>
      </c>
      <c r="AH40" s="25">
        <f t="shared" si="31"/>
        <v>235.06</v>
      </c>
      <c r="AI40" s="25">
        <f t="shared" si="32"/>
        <v>1175.3</v>
      </c>
      <c r="AJ40" s="25">
        <v>0</v>
      </c>
      <c r="AK40" s="25">
        <f t="shared" si="33"/>
        <v>1151.7939999999999</v>
      </c>
      <c r="AL40" s="25">
        <v>0</v>
      </c>
      <c r="AM40" s="25">
        <f t="shared" si="34"/>
        <v>2644.4249999999997</v>
      </c>
      <c r="AN40" s="25">
        <v>0</v>
      </c>
      <c r="AO40" s="25"/>
      <c r="AP40" s="25"/>
      <c r="AQ40" s="175"/>
      <c r="AR40" s="175"/>
      <c r="AS40" s="94">
        <v>193</v>
      </c>
      <c r="AT40" s="94"/>
      <c r="AU40" s="94">
        <f t="shared" si="38"/>
        <v>0</v>
      </c>
      <c r="AV40" s="176">
        <v>470</v>
      </c>
      <c r="AW40" s="177">
        <v>0.6</v>
      </c>
      <c r="AX40" s="25">
        <f t="shared" si="35"/>
        <v>394.79999999999995</v>
      </c>
      <c r="AY40" s="178"/>
      <c r="AZ40" s="179"/>
      <c r="BA40" s="179">
        <f t="shared" si="36"/>
        <v>0</v>
      </c>
      <c r="BB40" s="179">
        <f t="shared" si="37"/>
        <v>6499.559</v>
      </c>
      <c r="BC40" s="180">
        <f>'[7]Т10-10'!$M$42+'[7]Т10-10'!$M$92+25</f>
        <v>617.559</v>
      </c>
      <c r="BD40" s="60"/>
      <c r="BE40" s="136">
        <f t="shared" si="39"/>
        <v>4159.9203400000015</v>
      </c>
      <c r="BF40" s="136">
        <f t="shared" si="40"/>
        <v>-371.8099999999995</v>
      </c>
    </row>
    <row r="41" spans="1:58" ht="12.75" hidden="1">
      <c r="A41" s="135" t="s">
        <v>41</v>
      </c>
      <c r="B41" s="88">
        <v>1175.3</v>
      </c>
      <c r="C41" s="170">
        <f t="shared" si="23"/>
        <v>10166.345</v>
      </c>
      <c r="D41" s="171">
        <f t="shared" si="24"/>
        <v>1024.0849999999991</v>
      </c>
      <c r="E41" s="89">
        <v>1036.37</v>
      </c>
      <c r="F41" s="89">
        <v>18.9</v>
      </c>
      <c r="G41" s="89">
        <v>1403.72</v>
      </c>
      <c r="H41" s="89">
        <v>25.62</v>
      </c>
      <c r="I41" s="89">
        <v>3372.83</v>
      </c>
      <c r="J41" s="89">
        <v>61.53</v>
      </c>
      <c r="K41" s="89">
        <v>2336.45</v>
      </c>
      <c r="L41" s="89">
        <v>42.63</v>
      </c>
      <c r="M41" s="86">
        <v>829.09</v>
      </c>
      <c r="N41" s="90">
        <v>15.12</v>
      </c>
      <c r="O41" s="96">
        <v>0</v>
      </c>
      <c r="P41" s="96">
        <v>0</v>
      </c>
      <c r="Q41" s="96"/>
      <c r="R41" s="96"/>
      <c r="S41" s="89">
        <f t="shared" si="25"/>
        <v>8978.46</v>
      </c>
      <c r="T41" s="172">
        <f t="shared" si="26"/>
        <v>163.8</v>
      </c>
      <c r="U41" s="89">
        <v>1482.05</v>
      </c>
      <c r="V41" s="89">
        <v>2007.03</v>
      </c>
      <c r="W41" s="89">
        <v>5622.98</v>
      </c>
      <c r="X41" s="89">
        <v>3340.89</v>
      </c>
      <c r="Y41" s="89">
        <v>1184.01</v>
      </c>
      <c r="Z41" s="89">
        <v>0</v>
      </c>
      <c r="AA41" s="96">
        <v>0</v>
      </c>
      <c r="AB41" s="96">
        <f t="shared" si="41"/>
        <v>13636.96</v>
      </c>
      <c r="AC41" s="173">
        <f t="shared" si="27"/>
        <v>14824.844999999998</v>
      </c>
      <c r="AD41" s="174">
        <f t="shared" si="28"/>
        <v>0</v>
      </c>
      <c r="AE41" s="174">
        <f t="shared" si="29"/>
        <v>0</v>
      </c>
      <c r="AF41" s="174">
        <f>'[8]Т10-10'!$I$42+'[8]Т10-10'!$I$92+100</f>
        <v>1482.50334</v>
      </c>
      <c r="AG41" s="25">
        <f t="shared" si="30"/>
        <v>705.18</v>
      </c>
      <c r="AH41" s="25">
        <f t="shared" si="31"/>
        <v>235.06</v>
      </c>
      <c r="AI41" s="25">
        <f t="shared" si="32"/>
        <v>1175.3</v>
      </c>
      <c r="AJ41" s="25">
        <v>0</v>
      </c>
      <c r="AK41" s="25">
        <f t="shared" si="33"/>
        <v>1151.7939999999999</v>
      </c>
      <c r="AL41" s="25">
        <v>0</v>
      </c>
      <c r="AM41" s="25">
        <f t="shared" si="34"/>
        <v>2644.4249999999997</v>
      </c>
      <c r="AN41" s="25">
        <v>0</v>
      </c>
      <c r="AO41" s="25"/>
      <c r="AP41" s="25"/>
      <c r="AQ41" s="175"/>
      <c r="AR41" s="175"/>
      <c r="AS41" s="94"/>
      <c r="AT41" s="94">
        <f>1283.05+27117.56+12075.8</f>
        <v>40476.41</v>
      </c>
      <c r="AU41" s="94">
        <f>AT41*0.18</f>
        <v>7285.7538</v>
      </c>
      <c r="AV41" s="176">
        <v>514</v>
      </c>
      <c r="AW41" s="177">
        <v>0.6</v>
      </c>
      <c r="AX41" s="25">
        <f t="shared" si="35"/>
        <v>431.75999999999993</v>
      </c>
      <c r="AY41" s="178"/>
      <c r="AZ41" s="179"/>
      <c r="BA41" s="179">
        <f t="shared" si="36"/>
        <v>0</v>
      </c>
      <c r="BB41" s="179">
        <f t="shared" si="37"/>
        <v>54105.6828</v>
      </c>
      <c r="BC41" s="180">
        <f>'[8]Т10-10'!$M$42+'[8]Т10-10'!$M$92+25</f>
        <v>617.559</v>
      </c>
      <c r="BD41" s="87"/>
      <c r="BE41" s="136">
        <f t="shared" si="39"/>
        <v>-38415.89346000001</v>
      </c>
      <c r="BF41" s="136">
        <f t="shared" si="40"/>
        <v>4658.5</v>
      </c>
    </row>
    <row r="42" spans="1:58" ht="12.75" hidden="1">
      <c r="A42" s="19" t="s">
        <v>3</v>
      </c>
      <c r="B42" s="20"/>
      <c r="C42" s="20">
        <f>SUM(C30:C41)</f>
        <v>121978.84000000001</v>
      </c>
      <c r="D42" s="20">
        <f aca="true" t="shared" si="42" ref="D42:BF42">SUM(D30:D41)</f>
        <v>12136.080000000009</v>
      </c>
      <c r="E42" s="20">
        <f t="shared" si="42"/>
        <v>11812.690000000002</v>
      </c>
      <c r="F42" s="20">
        <f t="shared" si="42"/>
        <v>866.53</v>
      </c>
      <c r="G42" s="20">
        <f t="shared" si="42"/>
        <v>15998.330000000002</v>
      </c>
      <c r="H42" s="20">
        <f t="shared" si="42"/>
        <v>1174.5399999999993</v>
      </c>
      <c r="I42" s="20">
        <f t="shared" si="42"/>
        <v>38442.490000000005</v>
      </c>
      <c r="J42" s="20">
        <f t="shared" si="42"/>
        <v>2820.740000000001</v>
      </c>
      <c r="K42" s="20">
        <f t="shared" si="42"/>
        <v>26629.79</v>
      </c>
      <c r="L42" s="20">
        <f t="shared" si="42"/>
        <v>1954.3300000000006</v>
      </c>
      <c r="M42" s="20">
        <f t="shared" si="42"/>
        <v>9450.21</v>
      </c>
      <c r="N42" s="20">
        <f t="shared" si="42"/>
        <v>693.11</v>
      </c>
      <c r="O42" s="20">
        <f t="shared" si="42"/>
        <v>0</v>
      </c>
      <c r="P42" s="20">
        <f t="shared" si="42"/>
        <v>0</v>
      </c>
      <c r="Q42" s="20">
        <f t="shared" si="42"/>
        <v>0</v>
      </c>
      <c r="R42" s="20">
        <f t="shared" si="42"/>
        <v>0</v>
      </c>
      <c r="S42" s="20">
        <f t="shared" si="42"/>
        <v>102333.51000000001</v>
      </c>
      <c r="T42" s="20">
        <f t="shared" si="42"/>
        <v>7509.25</v>
      </c>
      <c r="U42" s="20">
        <f t="shared" si="42"/>
        <v>12293.47</v>
      </c>
      <c r="V42" s="20">
        <f t="shared" si="42"/>
        <v>16636.070000000003</v>
      </c>
      <c r="W42" s="20">
        <f t="shared" si="42"/>
        <v>40752.56999999999</v>
      </c>
      <c r="X42" s="20">
        <f t="shared" si="42"/>
        <v>27680.929999999997</v>
      </c>
      <c r="Y42" s="20">
        <f t="shared" si="42"/>
        <v>9783.160000000002</v>
      </c>
      <c r="Z42" s="20">
        <f t="shared" si="42"/>
        <v>0</v>
      </c>
      <c r="AA42" s="20">
        <f t="shared" si="42"/>
        <v>0</v>
      </c>
      <c r="AB42" s="20">
        <f t="shared" si="42"/>
        <v>107146.20000000001</v>
      </c>
      <c r="AC42" s="20">
        <f t="shared" si="42"/>
        <v>126791.53</v>
      </c>
      <c r="AD42" s="20">
        <f t="shared" si="42"/>
        <v>0</v>
      </c>
      <c r="AE42" s="20">
        <f t="shared" si="42"/>
        <v>0</v>
      </c>
      <c r="AF42" s="20">
        <f t="shared" si="42"/>
        <v>16889.920079999996</v>
      </c>
      <c r="AG42" s="20">
        <f t="shared" si="42"/>
        <v>8460.960000000001</v>
      </c>
      <c r="AH42" s="20">
        <f t="shared" si="42"/>
        <v>2820.3199999999997</v>
      </c>
      <c r="AI42" s="20">
        <f t="shared" si="42"/>
        <v>14101.599999999997</v>
      </c>
      <c r="AJ42" s="20">
        <f t="shared" si="42"/>
        <v>0</v>
      </c>
      <c r="AK42" s="20">
        <f t="shared" si="42"/>
        <v>13819.568</v>
      </c>
      <c r="AL42" s="20">
        <f t="shared" si="42"/>
        <v>0</v>
      </c>
      <c r="AM42" s="20">
        <f t="shared" si="42"/>
        <v>31728.599999999995</v>
      </c>
      <c r="AN42" s="20">
        <f t="shared" si="42"/>
        <v>0</v>
      </c>
      <c r="AO42" s="20">
        <f t="shared" si="42"/>
        <v>1744.2</v>
      </c>
      <c r="AP42" s="20">
        <f t="shared" si="42"/>
        <v>0</v>
      </c>
      <c r="AQ42" s="163">
        <f t="shared" si="42"/>
        <v>0</v>
      </c>
      <c r="AR42" s="163">
        <f t="shared" si="42"/>
        <v>0</v>
      </c>
      <c r="AS42" s="21">
        <f t="shared" si="42"/>
        <v>14968</v>
      </c>
      <c r="AT42" s="21">
        <f t="shared" si="42"/>
        <v>40744.21000000001</v>
      </c>
      <c r="AU42" s="21">
        <f t="shared" si="42"/>
        <v>7285.7538</v>
      </c>
      <c r="AV42" s="20">
        <f t="shared" si="42"/>
        <v>4400</v>
      </c>
      <c r="AW42" s="20">
        <f t="shared" si="42"/>
        <v>7.199999999999998</v>
      </c>
      <c r="AX42" s="20">
        <f t="shared" si="42"/>
        <v>3695.9999999999995</v>
      </c>
      <c r="AY42" s="20">
        <f t="shared" si="42"/>
        <v>0</v>
      </c>
      <c r="AZ42" s="20">
        <f t="shared" si="42"/>
        <v>0</v>
      </c>
      <c r="BA42" s="20">
        <f t="shared" si="42"/>
        <v>0</v>
      </c>
      <c r="BB42" s="20">
        <f t="shared" si="42"/>
        <v>139369.2118</v>
      </c>
      <c r="BC42" s="20">
        <f t="shared" si="42"/>
        <v>7185.708000000001</v>
      </c>
      <c r="BD42" s="20">
        <f t="shared" si="42"/>
        <v>0</v>
      </c>
      <c r="BE42" s="20">
        <f t="shared" si="42"/>
        <v>-2873.469720000001</v>
      </c>
      <c r="BF42" s="164">
        <f t="shared" si="42"/>
        <v>4812.690000000001</v>
      </c>
    </row>
    <row r="43" spans="1:58" ht="12.75" hidden="1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165"/>
      <c r="AE43" s="165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83"/>
      <c r="AQ43" s="166"/>
      <c r="AR43" s="166"/>
      <c r="AS43" s="83"/>
      <c r="AT43" s="83"/>
      <c r="AU43" s="83"/>
      <c r="AV43" s="23"/>
      <c r="AW43" s="23"/>
      <c r="AX43" s="98"/>
      <c r="AY43" s="56"/>
      <c r="AZ43" s="56"/>
      <c r="BA43" s="56"/>
      <c r="BB43" s="56"/>
      <c r="BC43" s="56"/>
      <c r="BD43" s="56"/>
      <c r="BE43" s="56"/>
      <c r="BF43" s="167"/>
    </row>
    <row r="44" spans="1:58" ht="13.5" thickBot="1">
      <c r="A44" s="27" t="s">
        <v>52</v>
      </c>
      <c r="B44" s="28"/>
      <c r="C44" s="28">
        <f>C28+C42</f>
        <v>274364.16000000003</v>
      </c>
      <c r="D44" s="28">
        <f aca="true" t="shared" si="43" ref="D44:BF44">D28+D42</f>
        <v>32801.247761600025</v>
      </c>
      <c r="E44" s="28">
        <f t="shared" si="43"/>
        <v>25253.090000000004</v>
      </c>
      <c r="F44" s="28">
        <f t="shared" si="43"/>
        <v>2500.31</v>
      </c>
      <c r="G44" s="28">
        <f t="shared" si="43"/>
        <v>34175.55</v>
      </c>
      <c r="H44" s="28">
        <f t="shared" si="43"/>
        <v>3385.2699999999995</v>
      </c>
      <c r="I44" s="28">
        <f t="shared" si="43"/>
        <v>82156.25</v>
      </c>
      <c r="J44" s="28">
        <f t="shared" si="43"/>
        <v>8135.300000000001</v>
      </c>
      <c r="K44" s="28">
        <f t="shared" si="43"/>
        <v>56903.259999999995</v>
      </c>
      <c r="L44" s="28">
        <f t="shared" si="43"/>
        <v>5635.260000000001</v>
      </c>
      <c r="M44" s="28">
        <f t="shared" si="43"/>
        <v>19694.71</v>
      </c>
      <c r="N44" s="28">
        <f t="shared" si="43"/>
        <v>1939.9099999999999</v>
      </c>
      <c r="O44" s="28">
        <f t="shared" si="43"/>
        <v>0</v>
      </c>
      <c r="P44" s="28">
        <f t="shared" si="43"/>
        <v>0</v>
      </c>
      <c r="Q44" s="28">
        <f t="shared" si="43"/>
        <v>0</v>
      </c>
      <c r="R44" s="28">
        <f t="shared" si="43"/>
        <v>0</v>
      </c>
      <c r="S44" s="28">
        <f t="shared" si="43"/>
        <v>218182.86000000002</v>
      </c>
      <c r="T44" s="28">
        <f t="shared" si="43"/>
        <v>21596.050000000003</v>
      </c>
      <c r="U44" s="28">
        <f t="shared" si="43"/>
        <v>22339.67</v>
      </c>
      <c r="V44" s="28">
        <f t="shared" si="43"/>
        <v>30212.170000000006</v>
      </c>
      <c r="W44" s="28">
        <f t="shared" si="43"/>
        <v>73374.87</v>
      </c>
      <c r="X44" s="28">
        <f t="shared" si="43"/>
        <v>50278.59999999999</v>
      </c>
      <c r="Y44" s="28">
        <f t="shared" si="43"/>
        <v>17394.280000000002</v>
      </c>
      <c r="Z44" s="28">
        <f t="shared" si="43"/>
        <v>0</v>
      </c>
      <c r="AA44" s="28">
        <f t="shared" si="43"/>
        <v>0</v>
      </c>
      <c r="AB44" s="28">
        <f t="shared" si="43"/>
        <v>193599.59000000003</v>
      </c>
      <c r="AC44" s="28">
        <f t="shared" si="43"/>
        <v>247996.88776160002</v>
      </c>
      <c r="AD44" s="28">
        <f t="shared" si="43"/>
        <v>0</v>
      </c>
      <c r="AE44" s="28">
        <f t="shared" si="43"/>
        <v>0</v>
      </c>
      <c r="AF44" s="28">
        <f t="shared" si="43"/>
        <v>25674.786799999994</v>
      </c>
      <c r="AG44" s="28">
        <f t="shared" si="43"/>
        <v>18749.184</v>
      </c>
      <c r="AH44" s="28">
        <f t="shared" si="43"/>
        <v>6282.508116</v>
      </c>
      <c r="AI44" s="28">
        <f t="shared" si="43"/>
        <v>28527.67834025</v>
      </c>
      <c r="AJ44" s="28">
        <f t="shared" si="43"/>
        <v>2596.6941012449997</v>
      </c>
      <c r="AK44" s="28">
        <f t="shared" si="43"/>
        <v>28416.435508529998</v>
      </c>
      <c r="AL44" s="28">
        <f t="shared" si="43"/>
        <v>2627.4361515354</v>
      </c>
      <c r="AM44" s="28">
        <f t="shared" si="43"/>
        <v>63694.442609084406</v>
      </c>
      <c r="AN44" s="28">
        <f t="shared" si="43"/>
        <v>5753.8516696351935</v>
      </c>
      <c r="AO44" s="28">
        <f t="shared" si="43"/>
        <v>1744.2</v>
      </c>
      <c r="AP44" s="28">
        <f t="shared" si="43"/>
        <v>0</v>
      </c>
      <c r="AQ44" s="168">
        <f t="shared" si="43"/>
        <v>0</v>
      </c>
      <c r="AR44" s="168">
        <f t="shared" si="43"/>
        <v>0</v>
      </c>
      <c r="AS44" s="169">
        <f t="shared" si="43"/>
        <v>60903.64</v>
      </c>
      <c r="AT44" s="169">
        <f t="shared" si="43"/>
        <v>40744.21000000001</v>
      </c>
      <c r="AU44" s="169">
        <f t="shared" si="43"/>
        <v>15554.169</v>
      </c>
      <c r="AV44" s="28"/>
      <c r="AW44" s="28"/>
      <c r="AX44" s="28">
        <f t="shared" si="43"/>
        <v>7185.0232</v>
      </c>
      <c r="AY44" s="28">
        <f t="shared" si="43"/>
        <v>0</v>
      </c>
      <c r="AZ44" s="28">
        <f t="shared" si="43"/>
        <v>0</v>
      </c>
      <c r="BA44" s="28">
        <f t="shared" si="43"/>
        <v>0</v>
      </c>
      <c r="BB44" s="28">
        <f t="shared" si="43"/>
        <v>282779.47269628</v>
      </c>
      <c r="BC44" s="28">
        <f t="shared" si="43"/>
        <v>10950.611153288603</v>
      </c>
      <c r="BD44" s="28">
        <f t="shared" si="43"/>
        <v>126370.4690638406</v>
      </c>
      <c r="BE44" s="28">
        <f t="shared" si="43"/>
        <v>-20058.409287968585</v>
      </c>
      <c r="BF44" s="28">
        <f t="shared" si="43"/>
        <v>-24583.269999999997</v>
      </c>
    </row>
  </sheetData>
  <sheetProtection/>
  <mergeCells count="67">
    <mergeCell ref="AI5:AI6"/>
    <mergeCell ref="U3:AB4"/>
    <mergeCell ref="AQ5:AQ6"/>
    <mergeCell ref="AR5:AR6"/>
    <mergeCell ref="AS5:AS6"/>
    <mergeCell ref="AE3:AE6"/>
    <mergeCell ref="AN5:AN6"/>
    <mergeCell ref="AO5:AO6"/>
    <mergeCell ref="AL5:AL6"/>
    <mergeCell ref="AM5:AM6"/>
    <mergeCell ref="AH5:AH6"/>
    <mergeCell ref="J5:J6"/>
    <mergeCell ref="AK5:AK6"/>
    <mergeCell ref="AD3:AD6"/>
    <mergeCell ref="T5:T6"/>
    <mergeCell ref="U5:U6"/>
    <mergeCell ref="V5:V6"/>
    <mergeCell ref="W5:W6"/>
    <mergeCell ref="AF3:AF6"/>
    <mergeCell ref="AC3:AC6"/>
    <mergeCell ref="S3:T4"/>
    <mergeCell ref="E3:F4"/>
    <mergeCell ref="E5:E6"/>
    <mergeCell ref="F5:F6"/>
    <mergeCell ref="G5:G6"/>
    <mergeCell ref="H5:H6"/>
    <mergeCell ref="I5:I6"/>
    <mergeCell ref="Q3:R4"/>
    <mergeCell ref="K5:K6"/>
    <mergeCell ref="L5:L6"/>
    <mergeCell ref="A1:N1"/>
    <mergeCell ref="A3:A6"/>
    <mergeCell ref="B3:B6"/>
    <mergeCell ref="C3:C6"/>
    <mergeCell ref="D3:D6"/>
    <mergeCell ref="M5:M6"/>
    <mergeCell ref="N5:N6"/>
    <mergeCell ref="S5:S6"/>
    <mergeCell ref="AY5:AY6"/>
    <mergeCell ref="AT5:AT6"/>
    <mergeCell ref="AG5:AG6"/>
    <mergeCell ref="AP5:AP6"/>
    <mergeCell ref="G3:H4"/>
    <mergeCell ref="I3:J4"/>
    <mergeCell ref="K3:L4"/>
    <mergeCell ref="M3:N4"/>
    <mergeCell ref="O3:P4"/>
    <mergeCell ref="O5:O6"/>
    <mergeCell ref="AB5:AB6"/>
    <mergeCell ref="P5:P6"/>
    <mergeCell ref="Q5:Q6"/>
    <mergeCell ref="R5:R6"/>
    <mergeCell ref="AJ5:AJ6"/>
    <mergeCell ref="X5:X6"/>
    <mergeCell ref="Y5:Y6"/>
    <mergeCell ref="Z5:Z6"/>
    <mergeCell ref="AA5:AA6"/>
    <mergeCell ref="AZ5:AZ6"/>
    <mergeCell ref="BA5:BA6"/>
    <mergeCell ref="BC3:BD3"/>
    <mergeCell ref="BE3:BE6"/>
    <mergeCell ref="BF3:BF6"/>
    <mergeCell ref="BC4:BC6"/>
    <mergeCell ref="BD4:BD6"/>
    <mergeCell ref="AG3:BB4"/>
    <mergeCell ref="BB5:BB6"/>
    <mergeCell ref="AV5:AX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33">
      <selection activeCell="J34" sqref="J34:N34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8" width="10.875" style="2" customWidth="1"/>
    <col min="9" max="9" width="10.125" style="2" customWidth="1"/>
    <col min="10" max="10" width="9.25390625" style="2" customWidth="1"/>
    <col min="11" max="11" width="9.125" style="2" customWidth="1"/>
    <col min="12" max="12" width="10.375" style="2" customWidth="1"/>
    <col min="13" max="13" width="10.125" style="2" customWidth="1"/>
    <col min="14" max="14" width="8.875" style="2" customWidth="1"/>
    <col min="15" max="15" width="10.375" style="2" customWidth="1"/>
    <col min="16" max="16" width="9.375" style="2" customWidth="1"/>
    <col min="17" max="17" width="10.75390625" style="2" customWidth="1"/>
    <col min="18" max="18" width="14.00390625" style="2" customWidth="1"/>
    <col min="19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5" spans="1:17" ht="12.75">
      <c r="A5" s="400" t="s">
        <v>78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</row>
    <row r="6" spans="1:17" ht="12.75">
      <c r="A6" s="125" t="s">
        <v>81</v>
      </c>
      <c r="B6" s="125"/>
      <c r="C6" s="125"/>
      <c r="D6" s="125"/>
      <c r="E6" s="125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7" ht="12.75">
      <c r="A7" s="30"/>
      <c r="B7" s="30"/>
      <c r="C7" s="30"/>
      <c r="D7" s="30"/>
      <c r="E7" s="30"/>
      <c r="F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5" ht="13.5" customHeight="1" thickBot="1">
      <c r="A8" s="31" t="s">
        <v>55</v>
      </c>
      <c r="D8" s="4"/>
      <c r="E8" s="31">
        <v>8.65</v>
      </c>
    </row>
    <row r="9" spans="1:18" ht="12.75" customHeight="1">
      <c r="A9" s="401" t="s">
        <v>56</v>
      </c>
      <c r="B9" s="404" t="s">
        <v>0</v>
      </c>
      <c r="C9" s="407" t="s">
        <v>57</v>
      </c>
      <c r="D9" s="410" t="s">
        <v>2</v>
      </c>
      <c r="E9" s="352" t="s">
        <v>58</v>
      </c>
      <c r="F9" s="356"/>
      <c r="G9" s="397" t="str">
        <f>Лист1!AF3</f>
        <v>Доходы по нежил.помещениям</v>
      </c>
      <c r="H9" s="417" t="s">
        <v>74</v>
      </c>
      <c r="I9" s="418"/>
      <c r="J9" s="421" t="s">
        <v>8</v>
      </c>
      <c r="K9" s="422"/>
      <c r="L9" s="422"/>
      <c r="M9" s="422"/>
      <c r="N9" s="422"/>
      <c r="O9" s="423"/>
      <c r="P9" s="414" t="s">
        <v>79</v>
      </c>
      <c r="Q9" s="427" t="s">
        <v>59</v>
      </c>
      <c r="R9" s="427" t="s">
        <v>10</v>
      </c>
    </row>
    <row r="10" spans="1:18" ht="12.75" customHeight="1" thickBot="1">
      <c r="A10" s="402"/>
      <c r="B10" s="405"/>
      <c r="C10" s="408"/>
      <c r="D10" s="411"/>
      <c r="E10" s="354"/>
      <c r="F10" s="385"/>
      <c r="G10" s="398"/>
      <c r="H10" s="419"/>
      <c r="I10" s="420"/>
      <c r="J10" s="424"/>
      <c r="K10" s="425"/>
      <c r="L10" s="425"/>
      <c r="M10" s="425"/>
      <c r="N10" s="425"/>
      <c r="O10" s="426"/>
      <c r="P10" s="415"/>
      <c r="Q10" s="428"/>
      <c r="R10" s="428"/>
    </row>
    <row r="11" spans="1:18" ht="26.25" customHeight="1">
      <c r="A11" s="402"/>
      <c r="B11" s="405"/>
      <c r="C11" s="408"/>
      <c r="D11" s="412"/>
      <c r="E11" s="430" t="s">
        <v>60</v>
      </c>
      <c r="F11" s="358"/>
      <c r="G11" s="398"/>
      <c r="H11" s="102" t="s">
        <v>61</v>
      </c>
      <c r="I11" s="431" t="s">
        <v>5</v>
      </c>
      <c r="J11" s="433" t="s">
        <v>62</v>
      </c>
      <c r="K11" s="435" t="s">
        <v>30</v>
      </c>
      <c r="L11" s="435" t="s">
        <v>63</v>
      </c>
      <c r="M11" s="435" t="s">
        <v>35</v>
      </c>
      <c r="N11" s="435" t="s">
        <v>64</v>
      </c>
      <c r="O11" s="437" t="s">
        <v>37</v>
      </c>
      <c r="P11" s="415"/>
      <c r="Q11" s="428"/>
      <c r="R11" s="428"/>
    </row>
    <row r="12" spans="1:18" ht="66.75" customHeight="1" thickBot="1">
      <c r="A12" s="403"/>
      <c r="B12" s="406"/>
      <c r="C12" s="409"/>
      <c r="D12" s="413"/>
      <c r="E12" s="33" t="s">
        <v>65</v>
      </c>
      <c r="F12" s="34" t="s">
        <v>19</v>
      </c>
      <c r="G12" s="399"/>
      <c r="H12" s="35" t="s">
        <v>75</v>
      </c>
      <c r="I12" s="432"/>
      <c r="J12" s="434"/>
      <c r="K12" s="436"/>
      <c r="L12" s="436"/>
      <c r="M12" s="436"/>
      <c r="N12" s="436"/>
      <c r="O12" s="438"/>
      <c r="P12" s="416"/>
      <c r="Q12" s="429"/>
      <c r="R12" s="429"/>
    </row>
    <row r="13" spans="1:18" ht="13.5" thickBot="1">
      <c r="A13" s="36">
        <v>1</v>
      </c>
      <c r="B13" s="37">
        <v>2</v>
      </c>
      <c r="C13" s="36">
        <v>3</v>
      </c>
      <c r="D13" s="37">
        <v>4</v>
      </c>
      <c r="E13" s="36">
        <v>5</v>
      </c>
      <c r="F13" s="37">
        <v>6</v>
      </c>
      <c r="G13" s="36">
        <v>7</v>
      </c>
      <c r="H13" s="37">
        <v>8</v>
      </c>
      <c r="I13" s="36">
        <v>9</v>
      </c>
      <c r="J13" s="37">
        <v>10</v>
      </c>
      <c r="K13" s="36">
        <v>11</v>
      </c>
      <c r="L13" s="37">
        <v>12</v>
      </c>
      <c r="M13" s="36">
        <v>13</v>
      </c>
      <c r="N13" s="37">
        <v>14</v>
      </c>
      <c r="O13" s="36">
        <v>15</v>
      </c>
      <c r="P13" s="37">
        <v>16</v>
      </c>
      <c r="Q13" s="36">
        <v>17</v>
      </c>
      <c r="R13" s="37">
        <v>18</v>
      </c>
    </row>
    <row r="14" spans="1:18" ht="12.75" hidden="1">
      <c r="A14" s="8" t="s">
        <v>38</v>
      </c>
      <c r="B14" s="9"/>
      <c r="C14" s="32"/>
      <c r="D14" s="8"/>
      <c r="E14" s="9"/>
      <c r="F14" s="11"/>
      <c r="G14" s="104"/>
      <c r="H14" s="38"/>
      <c r="I14" s="109"/>
      <c r="J14" s="8"/>
      <c r="K14" s="9"/>
      <c r="L14" s="9"/>
      <c r="M14" s="9"/>
      <c r="N14" s="9"/>
      <c r="O14" s="116"/>
      <c r="P14" s="121"/>
      <c r="Q14" s="39"/>
      <c r="R14" s="40"/>
    </row>
    <row r="15" spans="1:18" ht="12.75" hidden="1">
      <c r="A15" s="14" t="s">
        <v>39</v>
      </c>
      <c r="B15" s="15">
        <f>Лист1!B9</f>
        <v>1174.4</v>
      </c>
      <c r="C15" s="41">
        <f>Лист1!C9</f>
        <v>10158.560000000001</v>
      </c>
      <c r="D15" s="42">
        <f>Лист1!D9</f>
        <v>2446.9939328000005</v>
      </c>
      <c r="E15" s="16">
        <f>Лист1!S9</f>
        <v>7035.31</v>
      </c>
      <c r="F15" s="18">
        <f>Лист1!T9</f>
        <v>829.51</v>
      </c>
      <c r="G15" s="105">
        <f>Лист1!AF9</f>
        <v>0</v>
      </c>
      <c r="H15" s="43">
        <f>Лист1!AB9</f>
        <v>0</v>
      </c>
      <c r="I15" s="110">
        <f>Лист1!AC9</f>
        <v>3276.5039328000003</v>
      </c>
      <c r="J15" s="44">
        <f>Лист1!AG9</f>
        <v>704.64</v>
      </c>
      <c r="K15" s="16">
        <f>Лист1!AI9+Лист1!AJ9</f>
        <v>1180.4176256</v>
      </c>
      <c r="L15" s="16">
        <f>Лист1!AH9+Лист1!AK9+Лист1!AL9+Лист1!AM9+Лист1!AN9+Лист1!AO9+Лист1!AP9+Лист1!AQ9+Лист1!AR9</f>
        <v>4144.91925664</v>
      </c>
      <c r="M15" s="17">
        <f>Лист1!AS9+Лист1!AT9+Лист1!AU9</f>
        <v>19577.38</v>
      </c>
      <c r="N15" s="17">
        <f>Лист1!AX9</f>
        <v>0</v>
      </c>
      <c r="O15" s="119">
        <f>Лист1!BB9</f>
        <v>25607.35688224</v>
      </c>
      <c r="P15" s="122">
        <f>Лист1!BC9</f>
        <v>0</v>
      </c>
      <c r="Q15" s="45">
        <f>Лист1!BE9</f>
        <v>-22330.85294944</v>
      </c>
      <c r="R15" s="45">
        <f>Лист1!BF9</f>
        <v>-7035.31</v>
      </c>
    </row>
    <row r="16" spans="1:18" ht="12.75" hidden="1">
      <c r="A16" s="14" t="s">
        <v>40</v>
      </c>
      <c r="B16" s="15">
        <f>Лист1!B10</f>
        <v>1174.4</v>
      </c>
      <c r="C16" s="41">
        <f>Лист1!C10</f>
        <v>10158.560000000001</v>
      </c>
      <c r="D16" s="42">
        <f>Лист1!D10</f>
        <v>2446.9939328000005</v>
      </c>
      <c r="E16" s="16">
        <f>Лист1!S10</f>
        <v>7188.750000000001</v>
      </c>
      <c r="F16" s="18">
        <f>Лист1!T10</f>
        <v>862.4</v>
      </c>
      <c r="G16" s="105">
        <f>Лист1!AF10</f>
        <v>0</v>
      </c>
      <c r="H16" s="43">
        <f>Лист1!AB10</f>
        <v>3229.9400000000005</v>
      </c>
      <c r="I16" s="110">
        <f>Лист1!AC10</f>
        <v>6539.333932800001</v>
      </c>
      <c r="J16" s="44">
        <f>Лист1!AG10</f>
        <v>704.64</v>
      </c>
      <c r="K16" s="16">
        <f>Лист1!AI10+Лист1!AJ10</f>
        <v>1180.4176256</v>
      </c>
      <c r="L16" s="16">
        <f>Лист1!AH10+Лист1!AK10+Лист1!AL10+Лист1!AM10+Лист1!AN10+Лист1!AO10+Лист1!AP10+Лист1!AQ10+Лист1!AR10</f>
        <v>4132.40954784</v>
      </c>
      <c r="M16" s="17">
        <f>Лист1!AS10+Лист1!AT10+Лист1!AU10</f>
        <v>2171.2</v>
      </c>
      <c r="N16" s="17">
        <f>Лист1!AX10</f>
        <v>0</v>
      </c>
      <c r="O16" s="119">
        <f>Лист1!BB10</f>
        <v>8188.66717344</v>
      </c>
      <c r="P16" s="122">
        <f>Лист1!BC10</f>
        <v>0</v>
      </c>
      <c r="Q16" s="45">
        <f>Лист1!BE10</f>
        <v>-1649.3332406399986</v>
      </c>
      <c r="R16" s="45">
        <f>Лист1!BF10</f>
        <v>-3958.8100000000004</v>
      </c>
    </row>
    <row r="17" spans="1:20" ht="13.5" hidden="1" thickBot="1">
      <c r="A17" s="46" t="s">
        <v>41</v>
      </c>
      <c r="B17" s="71">
        <f>Лист1!B11</f>
        <v>1174.4</v>
      </c>
      <c r="C17" s="47">
        <f>Лист1!C11</f>
        <v>10158.560000000001</v>
      </c>
      <c r="D17" s="72">
        <f>Лист1!D11</f>
        <v>2441.6098960000004</v>
      </c>
      <c r="E17" s="73">
        <f>Лист1!S11</f>
        <v>7156</v>
      </c>
      <c r="F17" s="76">
        <f>Лист1!T11</f>
        <v>876.01</v>
      </c>
      <c r="G17" s="105">
        <f>Лист1!AF11</f>
        <v>0</v>
      </c>
      <c r="H17" s="74">
        <f>Лист1!AB11</f>
        <v>7849.84</v>
      </c>
      <c r="I17" s="111">
        <f>Лист1!AC11</f>
        <v>11167.459896</v>
      </c>
      <c r="J17" s="75">
        <f>Лист1!AG11</f>
        <v>704.64</v>
      </c>
      <c r="K17" s="73">
        <f>Лист1!AI11+Лист1!AJ11</f>
        <v>1176.98086144</v>
      </c>
      <c r="L17" s="16">
        <f>Лист1!AH11+Лист1!AK11+Лист1!AL11+Лист1!AM11+Лист1!AN11+Лист1!AO11+Лист1!AP11+Лист1!AQ11+Лист1!AR11</f>
        <v>4125.839519712001</v>
      </c>
      <c r="M17" s="17">
        <f>Лист1!AS11+Лист1!AT11+Лист1!AU11</f>
        <v>12519.8</v>
      </c>
      <c r="N17" s="17">
        <f>Лист1!AX11</f>
        <v>0</v>
      </c>
      <c r="O17" s="119">
        <f>Лист1!BB11</f>
        <v>18527.260381152</v>
      </c>
      <c r="P17" s="122">
        <f>Лист1!BC11</f>
        <v>0</v>
      </c>
      <c r="Q17" s="45">
        <f>Лист1!BE11</f>
        <v>-7359.800485151998</v>
      </c>
      <c r="R17" s="45">
        <f>Лист1!BF11</f>
        <v>693.8400000000001</v>
      </c>
      <c r="S17" s="1"/>
      <c r="T17" s="1"/>
    </row>
    <row r="18" spans="1:20" s="24" customFormat="1" ht="13.5" hidden="1" thickBot="1">
      <c r="A18" s="48" t="s">
        <v>3</v>
      </c>
      <c r="B18" s="80"/>
      <c r="C18" s="81">
        <f>SUM(C15:C17)</f>
        <v>30475.680000000004</v>
      </c>
      <c r="D18" s="85">
        <f aca="true" t="shared" si="0" ref="D18:R18">SUM(D15:D17)</f>
        <v>7335.597761600002</v>
      </c>
      <c r="E18" s="81">
        <f t="shared" si="0"/>
        <v>21380.06</v>
      </c>
      <c r="F18" s="82">
        <f t="shared" si="0"/>
        <v>2567.92</v>
      </c>
      <c r="G18" s="106">
        <f>SUM(G15:G17)</f>
        <v>0</v>
      </c>
      <c r="H18" s="84">
        <f t="shared" si="0"/>
        <v>11079.78</v>
      </c>
      <c r="I18" s="112">
        <f t="shared" si="0"/>
        <v>20983.297761600003</v>
      </c>
      <c r="J18" s="81">
        <f t="shared" si="0"/>
        <v>2113.92</v>
      </c>
      <c r="K18" s="81">
        <f t="shared" si="0"/>
        <v>3537.81611264</v>
      </c>
      <c r="L18" s="81">
        <f t="shared" si="0"/>
        <v>12403.168324192</v>
      </c>
      <c r="M18" s="81">
        <f t="shared" si="0"/>
        <v>34268.380000000005</v>
      </c>
      <c r="N18" s="81">
        <f t="shared" si="0"/>
        <v>0</v>
      </c>
      <c r="O18" s="112">
        <f t="shared" si="0"/>
        <v>52323.28443683199</v>
      </c>
      <c r="P18" s="52">
        <f t="shared" si="0"/>
        <v>0</v>
      </c>
      <c r="Q18" s="81">
        <f t="shared" si="0"/>
        <v>-31339.986675231998</v>
      </c>
      <c r="R18" s="82">
        <f t="shared" si="0"/>
        <v>-10300.28</v>
      </c>
      <c r="S18" s="55"/>
      <c r="T18" s="56"/>
    </row>
    <row r="19" spans="1:20" ht="12.75" hidden="1">
      <c r="A19" s="8" t="s">
        <v>42</v>
      </c>
      <c r="B19" s="77"/>
      <c r="C19" s="57"/>
      <c r="D19" s="58"/>
      <c r="E19" s="59"/>
      <c r="F19" s="60"/>
      <c r="G19" s="107"/>
      <c r="H19" s="61"/>
      <c r="I19" s="113"/>
      <c r="J19" s="62"/>
      <c r="K19" s="59"/>
      <c r="L19" s="59"/>
      <c r="M19" s="78"/>
      <c r="N19" s="78"/>
      <c r="O19" s="120"/>
      <c r="P19" s="122"/>
      <c r="Q19" s="79"/>
      <c r="R19" s="79"/>
      <c r="S19" s="1"/>
      <c r="T19" s="1"/>
    </row>
    <row r="20" spans="1:20" ht="12.75" hidden="1">
      <c r="A20" s="14" t="s">
        <v>43</v>
      </c>
      <c r="B20" s="15">
        <f>Лист1!B14</f>
        <v>1174.4</v>
      </c>
      <c r="C20" s="41">
        <f>Лист1!C14</f>
        <v>10158.560000000001</v>
      </c>
      <c r="D20" s="42">
        <f>Лист1!D14</f>
        <v>1269.8200000000002</v>
      </c>
      <c r="E20" s="16">
        <f>Лист1!S14</f>
        <v>7352.240000000001</v>
      </c>
      <c r="F20" s="18">
        <f>Лист1!T14</f>
        <v>876.01</v>
      </c>
      <c r="G20" s="105">
        <f>Лист1!AF14</f>
        <v>0</v>
      </c>
      <c r="H20" s="43">
        <f>Лист1!AB14</f>
        <v>3911.5200000000004</v>
      </c>
      <c r="I20" s="110">
        <f>Лист1!AC14</f>
        <v>6057.35</v>
      </c>
      <c r="J20" s="44">
        <f>Лист1!AG14</f>
        <v>634.176</v>
      </c>
      <c r="K20" s="16">
        <f>Лист1!AI14+Лист1!AJ14</f>
        <v>1021.2358144</v>
      </c>
      <c r="L20" s="16">
        <f>Лист1!AH14+Лист1!AK14+Лист1!AL14+Лист1!AM14+Лист1!AN14+Лист1!AO14+Лист1!AP14+Лист1!AQ14+Лист1!AR14</f>
        <v>3507.2981307520004</v>
      </c>
      <c r="M20" s="17">
        <f>Лист1!AS14+Лист1!AT14+Лист1!AU14</f>
        <v>0</v>
      </c>
      <c r="N20" s="17">
        <f>Лист1!AX14</f>
        <v>0</v>
      </c>
      <c r="O20" s="119">
        <f>Лист1!BB14</f>
        <v>5162.709945152001</v>
      </c>
      <c r="P20" s="122">
        <f>Лист1!BC14</f>
        <v>0</v>
      </c>
      <c r="Q20" s="45">
        <f>Лист1!BE14</f>
        <v>894.6400548479996</v>
      </c>
      <c r="R20" s="45">
        <f>Лист1!BF14</f>
        <v>-3440.7200000000003</v>
      </c>
      <c r="S20" s="1"/>
      <c r="T20" s="1"/>
    </row>
    <row r="21" spans="1:20" ht="12.75" hidden="1">
      <c r="A21" s="14" t="s">
        <v>44</v>
      </c>
      <c r="B21" s="15">
        <f>Лист1!B15</f>
        <v>1174.4</v>
      </c>
      <c r="C21" s="41">
        <f>Лист1!C15</f>
        <v>10158.560000000001</v>
      </c>
      <c r="D21" s="42">
        <f>Лист1!D15</f>
        <v>1269.8200000000002</v>
      </c>
      <c r="E21" s="16">
        <f>Лист1!S15</f>
        <v>7281.19</v>
      </c>
      <c r="F21" s="18">
        <f>Лист1!T15</f>
        <v>876.01</v>
      </c>
      <c r="G21" s="105">
        <f>Лист1!AF15</f>
        <v>0</v>
      </c>
      <c r="H21" s="43">
        <f>Лист1!AB15</f>
        <v>5830.16</v>
      </c>
      <c r="I21" s="110">
        <f>Лист1!AC15</f>
        <v>7975.99</v>
      </c>
      <c r="J21" s="44">
        <f>Лист1!AG15</f>
        <v>634.176</v>
      </c>
      <c r="K21" s="16">
        <f>Лист1!AI15+Лист1!AJ15</f>
        <v>1021.2594144</v>
      </c>
      <c r="L21" s="16">
        <f>Лист1!AH15+Лист1!AK15+Лист1!AL15+Лист1!AM15+Лист1!AN15+Лист1!AO15+Лист1!AP15+Лист1!AQ15+Лист1!AR15</f>
        <v>3512.361321472</v>
      </c>
      <c r="M21" s="17">
        <f>Лист1!AS15+Лист1!AT15+Лист1!AU15</f>
        <v>0</v>
      </c>
      <c r="N21" s="17">
        <f>Лист1!AX15</f>
        <v>0</v>
      </c>
      <c r="O21" s="119">
        <f>Лист1!BB15</f>
        <v>5167.796735872001</v>
      </c>
      <c r="P21" s="122">
        <f>Лист1!BC15</f>
        <v>0</v>
      </c>
      <c r="Q21" s="45">
        <f>Лист1!BE15</f>
        <v>2808.193264127999</v>
      </c>
      <c r="R21" s="45">
        <f>Лист1!BF15</f>
        <v>-1451.0299999999997</v>
      </c>
      <c r="S21" s="1"/>
      <c r="T21" s="1"/>
    </row>
    <row r="22" spans="1:20" ht="12.75" hidden="1">
      <c r="A22" s="14" t="s">
        <v>45</v>
      </c>
      <c r="B22" s="15">
        <f>Лист1!B16</f>
        <v>1174.4</v>
      </c>
      <c r="C22" s="41">
        <f>Лист1!C16</f>
        <v>10158.560000000001</v>
      </c>
      <c r="D22" s="42">
        <f>Лист1!D16</f>
        <v>1269.8200000000002</v>
      </c>
      <c r="E22" s="16">
        <f>Лист1!S16</f>
        <v>7410.2699999999995</v>
      </c>
      <c r="F22" s="18">
        <f>Лист1!T16</f>
        <v>876.01</v>
      </c>
      <c r="G22" s="105">
        <f>Лист1!AF16</f>
        <v>0</v>
      </c>
      <c r="H22" s="43">
        <f>Лист1!AB16</f>
        <v>5765.05</v>
      </c>
      <c r="I22" s="110">
        <f>Лист1!AC16</f>
        <v>7910.88</v>
      </c>
      <c r="J22" s="44">
        <f>Лист1!AG16</f>
        <v>634.176</v>
      </c>
      <c r="K22" s="16">
        <f>Лист1!AI16+Лист1!AJ16</f>
        <v>1021.848376</v>
      </c>
      <c r="L22" s="16">
        <f>Лист1!AH16+Лист1!AK16+Лист1!AL16+Лист1!AM16+Лист1!AN16+Лист1!AO16+Лист1!AP16+Лист1!AQ16+Лист1!AR16</f>
        <v>3395.527429312</v>
      </c>
      <c r="M22" s="17">
        <f>Лист1!AS16+Лист1!AT16+Лист1!AU16</f>
        <v>10100.8</v>
      </c>
      <c r="N22" s="17">
        <f>Лист1!AX16</f>
        <v>0</v>
      </c>
      <c r="O22" s="119">
        <f>Лист1!BB16</f>
        <v>15152.351805311999</v>
      </c>
      <c r="P22" s="122">
        <f>Лист1!BC16</f>
        <v>0</v>
      </c>
      <c r="Q22" s="45">
        <f>Лист1!BE16</f>
        <v>-7241.471805311999</v>
      </c>
      <c r="R22" s="45">
        <f>Лист1!BF16</f>
        <v>-1645.2199999999993</v>
      </c>
      <c r="S22" s="1"/>
      <c r="T22" s="1"/>
    </row>
    <row r="23" spans="1:20" ht="12.75" hidden="1">
      <c r="A23" s="14" t="s">
        <v>46</v>
      </c>
      <c r="B23" s="15">
        <f>Лист1!B17</f>
        <v>1174.4</v>
      </c>
      <c r="C23" s="41">
        <f>Лист1!C17</f>
        <v>10158.560000000001</v>
      </c>
      <c r="D23" s="42">
        <f>Лист1!D17</f>
        <v>1269.8200000000002</v>
      </c>
      <c r="E23" s="16">
        <f>Лист1!S17</f>
        <v>7415.32</v>
      </c>
      <c r="F23" s="18">
        <f>Лист1!T17</f>
        <v>876.01</v>
      </c>
      <c r="G23" s="105">
        <f>Лист1!AF17</f>
        <v>0</v>
      </c>
      <c r="H23" s="43">
        <f>Лист1!AB17</f>
        <v>5305.29</v>
      </c>
      <c r="I23" s="110">
        <f>Лист1!AC17</f>
        <v>7451.12</v>
      </c>
      <c r="J23" s="44">
        <f>Лист1!AG17</f>
        <v>634.176</v>
      </c>
      <c r="K23" s="16">
        <f>Лист1!AI17+Лист1!AJ17</f>
        <v>1052.3565868800001</v>
      </c>
      <c r="L23" s="16">
        <f>Лист1!AH17+Лист1!AK17+Лист1!AL17+Лист1!AM17+Лист1!AN17+Лист1!AO17+Лист1!AP17+Лист1!AQ17+Лист1!AR17</f>
        <v>3443.6383459840004</v>
      </c>
      <c r="M23" s="17">
        <f>Лист1!AS17+Лист1!AT17+Лист1!AU17</f>
        <v>3332.6031999999996</v>
      </c>
      <c r="N23" s="17">
        <f>Лист1!AX17</f>
        <v>1272.7</v>
      </c>
      <c r="O23" s="119">
        <f>Лист1!BA17</f>
        <v>0</v>
      </c>
      <c r="P23" s="122">
        <f>Лист1!BB17</f>
        <v>9735.474132864001</v>
      </c>
      <c r="Q23" s="45">
        <f>Лист1!BD17</f>
        <v>-2284.3541328640013</v>
      </c>
      <c r="R23" s="45">
        <f>Лист1!BE17</f>
        <v>-2284.3541328640013</v>
      </c>
      <c r="S23" s="1"/>
      <c r="T23" s="1"/>
    </row>
    <row r="24" spans="1:20" ht="12.75" hidden="1">
      <c r="A24" s="14" t="s">
        <v>47</v>
      </c>
      <c r="B24" s="15">
        <f>Лист1!B18</f>
        <v>1174.5</v>
      </c>
      <c r="C24" s="41">
        <f>Лист1!C18</f>
        <v>10159.425000000001</v>
      </c>
      <c r="D24" s="42">
        <f>Лист1!D18</f>
        <v>1085.7550000000012</v>
      </c>
      <c r="E24" s="16">
        <f>Лист1!S18</f>
        <v>8177.46</v>
      </c>
      <c r="F24" s="18">
        <f>Лист1!T18</f>
        <v>896.2099999999999</v>
      </c>
      <c r="G24" s="105">
        <f>Лист1!AF18</f>
        <v>0</v>
      </c>
      <c r="H24" s="43">
        <f>Лист1!AB18</f>
        <v>6799.25</v>
      </c>
      <c r="I24" s="110">
        <f>Лист1!AC18</f>
        <v>8781.215</v>
      </c>
      <c r="J24" s="44">
        <f>Лист1!AG18</f>
        <v>704.6999999999999</v>
      </c>
      <c r="K24" s="16">
        <f>Лист1!AI18+Лист1!AJ18</f>
        <v>1178.0234999999998</v>
      </c>
      <c r="L24" s="16">
        <f>Лист1!AH18+Лист1!AK18+Лист1!AL18+Лист1!AM18+Лист1!AN18+Лист1!AO18+Лист1!AP18+Лист1!AQ18+Лист1!AR18</f>
        <v>4034.6423999999997</v>
      </c>
      <c r="M24" s="17">
        <f>Лист1!AS18+Лист1!AT18+Лист1!AU18</f>
        <v>2269.612</v>
      </c>
      <c r="N24" s="17">
        <f>Лист1!AX18</f>
        <v>208.54847999999998</v>
      </c>
      <c r="O24" s="119">
        <f>Лист1!BB18</f>
        <v>8395.52638</v>
      </c>
      <c r="P24" s="122">
        <f>Лист1!BC18</f>
        <v>0</v>
      </c>
      <c r="Q24" s="45">
        <f>Лист1!BE18</f>
        <v>385.6886200000008</v>
      </c>
      <c r="R24" s="45">
        <f>Лист1!BF18</f>
        <v>-1378.21</v>
      </c>
      <c r="S24" s="1"/>
      <c r="T24" s="1"/>
    </row>
    <row r="25" spans="1:20" ht="12.75" hidden="1">
      <c r="A25" s="14" t="s">
        <v>48</v>
      </c>
      <c r="B25" s="15">
        <f>Лист1!B19</f>
        <v>1174.5</v>
      </c>
      <c r="C25" s="41">
        <f>Лист1!C19</f>
        <v>10159.425000000001</v>
      </c>
      <c r="D25" s="42">
        <f>Лист1!D19</f>
        <v>1030.4850000000006</v>
      </c>
      <c r="E25" s="16">
        <f>Лист1!S19</f>
        <v>8193.86</v>
      </c>
      <c r="F25" s="18">
        <f>Лист1!T19</f>
        <v>935.08</v>
      </c>
      <c r="G25" s="105">
        <f>Лист1!AF19</f>
        <v>489.96668000000005</v>
      </c>
      <c r="H25" s="43">
        <f>Лист1!AB19</f>
        <v>4827.76</v>
      </c>
      <c r="I25" s="110">
        <f>Лист1!AC19</f>
        <v>6793.325000000001</v>
      </c>
      <c r="J25" s="44">
        <f>Лист1!AG19</f>
        <v>704.6999999999999</v>
      </c>
      <c r="K25" s="16">
        <f>Лист1!AI19+Лист1!AJ19</f>
        <v>1178.0234999999998</v>
      </c>
      <c r="L25" s="16">
        <f>Лист1!AH19+Лист1!AK19+Лист1!AL19+Лист1!AM19+Лист1!AN19+Лист1!AO19+Лист1!AP19+Лист1!AQ19+Лист1!AR19</f>
        <v>4034.7481049999997</v>
      </c>
      <c r="M25" s="17">
        <f>Лист1!AS19+Лист1!AT19+Лист1!AU19</f>
        <v>0</v>
      </c>
      <c r="N25" s="17">
        <f>Лист1!AX19</f>
        <v>184.75967999999997</v>
      </c>
      <c r="O25" s="119">
        <f>Лист1!BB19</f>
        <v>6102.231285</v>
      </c>
      <c r="P25" s="122">
        <f>Лист1!BC19</f>
        <v>222.00530404</v>
      </c>
      <c r="Q25" s="45">
        <f>Лист1!BE19</f>
        <v>959.0550909600009</v>
      </c>
      <c r="R25" s="45">
        <f>Лист1!BF19</f>
        <v>-3366.1000000000004</v>
      </c>
      <c r="S25" s="1"/>
      <c r="T25" s="1"/>
    </row>
    <row r="26" spans="1:20" ht="12.75" hidden="1">
      <c r="A26" s="14" t="s">
        <v>49</v>
      </c>
      <c r="B26" s="15">
        <f>Лист1!B20</f>
        <v>1174.5</v>
      </c>
      <c r="C26" s="41">
        <f>Лист1!C20</f>
        <v>10159.425000000001</v>
      </c>
      <c r="D26" s="42">
        <f>Лист1!D20</f>
        <v>1030.4650000000015</v>
      </c>
      <c r="E26" s="16">
        <f>Лист1!S20</f>
        <v>8174.4400000000005</v>
      </c>
      <c r="F26" s="18">
        <f>Лист1!T20</f>
        <v>954.5199999999999</v>
      </c>
      <c r="G26" s="105">
        <f>Лист1!AF20</f>
        <v>1382.48334</v>
      </c>
      <c r="H26" s="43">
        <f>Лист1!AB20</f>
        <v>7862.9400000000005</v>
      </c>
      <c r="I26" s="110">
        <f>Лист1!AC20</f>
        <v>9847.925000000003</v>
      </c>
      <c r="J26" s="44">
        <f>Лист1!AG20</f>
        <v>704.6999999999999</v>
      </c>
      <c r="K26" s="16">
        <f>Лист1!AI20+Лист1!AJ20</f>
        <v>1161.1777639499999</v>
      </c>
      <c r="L26" s="16">
        <f>Лист1!AH20+Лист1!AK20+Лист1!AL20+Лист1!AM20+Лист1!AN20+Лист1!AO20+Лист1!AP20+Лист1!AQ20+Лист1!AR20</f>
        <v>3994.8580367000004</v>
      </c>
      <c r="M26" s="17">
        <f>Лист1!AS20+Лист1!AT20+Лист1!AU20</f>
        <v>2586.56</v>
      </c>
      <c r="N26" s="17">
        <f>Лист1!AX20</f>
        <v>196.65408</v>
      </c>
      <c r="O26" s="119">
        <f>Лист1!BB20</f>
        <v>8643.94988065</v>
      </c>
      <c r="P26" s="122">
        <f>Лист1!BC20</f>
        <v>588.1904465800001</v>
      </c>
      <c r="Q26" s="45">
        <f>Лист1!BE20</f>
        <v>1998.2680127700032</v>
      </c>
      <c r="R26" s="45">
        <f>Лист1!BF20</f>
        <v>-311.5</v>
      </c>
      <c r="S26" s="1"/>
      <c r="T26" s="1"/>
    </row>
    <row r="27" spans="1:20" ht="12.75" hidden="1">
      <c r="A27" s="14" t="s">
        <v>50</v>
      </c>
      <c r="B27" s="15">
        <f>Лист1!B21</f>
        <v>1174.5</v>
      </c>
      <c r="C27" s="41">
        <f>Лист1!C21</f>
        <v>10159.425000000001</v>
      </c>
      <c r="D27" s="42">
        <f>Лист1!D21</f>
        <v>999.3950000000023</v>
      </c>
      <c r="E27" s="16">
        <f>Лист1!S21</f>
        <v>8212.050000000001</v>
      </c>
      <c r="F27" s="18">
        <f>Лист1!T21</f>
        <v>947.9799999999999</v>
      </c>
      <c r="G27" s="105">
        <f>Лист1!AF21</f>
        <v>1382.48334</v>
      </c>
      <c r="H27" s="43">
        <f>Лист1!AB21</f>
        <v>6792.72</v>
      </c>
      <c r="I27" s="110">
        <f>Лист1!AC21</f>
        <v>8740.095000000003</v>
      </c>
      <c r="J27" s="44">
        <f>Лист1!AG21</f>
        <v>704.6999999999999</v>
      </c>
      <c r="K27" s="16">
        <f>Лист1!AI21+Лист1!AJ21</f>
        <v>1160.65943361</v>
      </c>
      <c r="L27" s="16">
        <f>Лист1!AH21+Лист1!AK21+Лист1!AL21+Лист1!AM21+Лист1!AN21+Лист1!AO21+Лист1!AP21+Лист1!AQ21+Лист1!AR21</f>
        <v>3994.025841</v>
      </c>
      <c r="M27" s="17">
        <f>Лист1!AS21+Лист1!AT21+Лист1!AU21</f>
        <v>0</v>
      </c>
      <c r="N27" s="17">
        <f>Лист1!AX21</f>
        <v>232.33727999999996</v>
      </c>
      <c r="O27" s="119">
        <f>Лист1!BB21</f>
        <v>6091.72255461</v>
      </c>
      <c r="P27" s="122">
        <f>Лист1!BC21</f>
        <v>587.923192274</v>
      </c>
      <c r="Q27" s="45">
        <f>Лист1!BE21</f>
        <v>3442.932593116003</v>
      </c>
      <c r="R27" s="45">
        <f>Лист1!BF21</f>
        <v>-1419.3300000000008</v>
      </c>
      <c r="S27" s="1"/>
      <c r="T27" s="1"/>
    </row>
    <row r="28" spans="1:20" ht="12.75" hidden="1">
      <c r="A28" s="14" t="s">
        <v>51</v>
      </c>
      <c r="B28" s="15">
        <f>Лист1!B22</f>
        <v>1174.5</v>
      </c>
      <c r="C28" s="41">
        <f>Лист1!C22</f>
        <v>10159.425000000001</v>
      </c>
      <c r="D28" s="42">
        <f>Лист1!D22</f>
        <v>1017.2850000000009</v>
      </c>
      <c r="E28" s="16">
        <f>Лист1!S22</f>
        <v>8195.42</v>
      </c>
      <c r="F28" s="18">
        <f>Лист1!T22</f>
        <v>946.72</v>
      </c>
      <c r="G28" s="105">
        <f>Лист1!AF22</f>
        <v>1382.48334</v>
      </c>
      <c r="H28" s="43">
        <f>Лист1!AB22</f>
        <v>7316.76</v>
      </c>
      <c r="I28" s="110">
        <f>Лист1!AC22</f>
        <v>9280.765000000001</v>
      </c>
      <c r="J28" s="44">
        <f>Лист1!AG22</f>
        <v>704.6999999999999</v>
      </c>
      <c r="K28" s="16">
        <f>Лист1!AI22+Лист1!AJ22</f>
        <v>1160.459169615</v>
      </c>
      <c r="L28" s="16">
        <f>Лист1!AH22+Лист1!AK22+Лист1!AL22+Лист1!AM22+Лист1!AN22+Лист1!AO22+Лист1!AP22+Лист1!AQ22+Лист1!AR22</f>
        <v>3993.501020373</v>
      </c>
      <c r="M28" s="17">
        <f>Лист1!AS22+Лист1!AT22+Лист1!AU22</f>
        <v>0</v>
      </c>
      <c r="N28" s="17">
        <f>Лист1!AX22</f>
        <v>276.74304</v>
      </c>
      <c r="O28" s="119">
        <f>Лист1!BB22</f>
        <v>6135.403229988</v>
      </c>
      <c r="P28" s="122">
        <f>Лист1!BC22</f>
        <v>587.8342723946</v>
      </c>
      <c r="Q28" s="45">
        <f>Лист1!BE22</f>
        <v>3940.010837617401</v>
      </c>
      <c r="R28" s="45">
        <f>Лист1!BF22</f>
        <v>-878.6599999999999</v>
      </c>
      <c r="S28" s="1"/>
      <c r="T28" s="1"/>
    </row>
    <row r="29" spans="1:20" ht="12.75" hidden="1">
      <c r="A29" s="14" t="s">
        <v>39</v>
      </c>
      <c r="B29" s="15">
        <f>Лист1!B23</f>
        <v>1174.5</v>
      </c>
      <c r="C29" s="41">
        <f>Лист1!C23</f>
        <v>10159.425000000001</v>
      </c>
      <c r="D29" s="42">
        <f>Лист1!D23</f>
        <v>1029.1050000000032</v>
      </c>
      <c r="E29" s="16">
        <f>Лист1!S23</f>
        <v>8019.8</v>
      </c>
      <c r="F29" s="18">
        <f>Лист1!T23</f>
        <v>1110.52</v>
      </c>
      <c r="G29" s="105">
        <f>Лист1!AF23</f>
        <v>1382.48334</v>
      </c>
      <c r="H29" s="43">
        <f>Лист1!AB23</f>
        <v>7462.070000000001</v>
      </c>
      <c r="I29" s="110">
        <f>Лист1!AC23</f>
        <v>9601.695000000003</v>
      </c>
      <c r="J29" s="44">
        <f>Лист1!AG23</f>
        <v>704.6999999999999</v>
      </c>
      <c r="K29" s="16">
        <f>Лист1!AI23+Лист1!AJ23</f>
        <v>1173.8657699999999</v>
      </c>
      <c r="L29" s="16">
        <f>Лист1!AH23+Лист1!AK23+Лист1!AL23+Лист1!AM23+Лист1!AN23+Лист1!AO23+Лист1!AP23+Лист1!AQ23+Лист1!AR23</f>
        <v>4027.8302999999996</v>
      </c>
      <c r="M29" s="17">
        <f>Лист1!AS23+Лист1!AT23+Лист1!AU23</f>
        <v>0</v>
      </c>
      <c r="N29" s="17">
        <f>Лист1!AX23</f>
        <v>337.008</v>
      </c>
      <c r="O29" s="119">
        <f>Лист1!BB23</f>
        <v>6243.40407</v>
      </c>
      <c r="P29" s="122">
        <f>Лист1!BC23</f>
        <v>592.4270180000001</v>
      </c>
      <c r="Q29" s="45">
        <f>Лист1!BE23</f>
        <v>4148.347252000003</v>
      </c>
      <c r="R29" s="45">
        <f>Лист1!BF23</f>
        <v>-557.7299999999996</v>
      </c>
      <c r="S29" s="1"/>
      <c r="T29" s="1"/>
    </row>
    <row r="30" spans="1:20" ht="12.75" hidden="1">
      <c r="A30" s="14" t="s">
        <v>40</v>
      </c>
      <c r="B30" s="15">
        <f>Лист1!B24</f>
        <v>1174.5</v>
      </c>
      <c r="C30" s="41">
        <f>Лист1!C24</f>
        <v>10159.425000000001</v>
      </c>
      <c r="D30" s="42">
        <f>Лист1!D24</f>
        <v>1029.1150000000034</v>
      </c>
      <c r="E30" s="16">
        <f>Лист1!S24</f>
        <v>8019.79</v>
      </c>
      <c r="F30" s="18">
        <f>Лист1!T24</f>
        <v>1110.52</v>
      </c>
      <c r="G30" s="105">
        <f>Лист1!AF24</f>
        <v>1382.48334</v>
      </c>
      <c r="H30" s="43">
        <f>Лист1!AB24</f>
        <v>8009.35</v>
      </c>
      <c r="I30" s="110">
        <f>Лист1!AC24</f>
        <v>10148.985000000004</v>
      </c>
      <c r="J30" s="44">
        <f>Лист1!AG24</f>
        <v>704.6999999999999</v>
      </c>
      <c r="K30" s="16">
        <f>Лист1!AI24+Лист1!AJ24</f>
        <v>1178.0234999999998</v>
      </c>
      <c r="L30" s="16">
        <f>Лист1!AH24+Лист1!AK24+Лист1!AL24+Лист1!AM24+Лист1!AN24+Лист1!AO24+Лист1!AP24+Лист1!AQ24+Лист1!AR24</f>
        <v>4032.2933999999996</v>
      </c>
      <c r="M30" s="17">
        <f>Лист1!AS24+Лист1!AT24+Лист1!AU24</f>
        <v>0</v>
      </c>
      <c r="N30" s="17">
        <f>Лист1!AX24</f>
        <v>372.69120000000004</v>
      </c>
      <c r="O30" s="119">
        <f>Лист1!BB24</f>
        <v>6287.7081</v>
      </c>
      <c r="P30" s="122">
        <f>Лист1!BC24</f>
        <v>593.26146</v>
      </c>
      <c r="Q30" s="45">
        <f>Лист1!BE24</f>
        <v>4650.498780000004</v>
      </c>
      <c r="R30" s="45">
        <f>Лист1!BF24</f>
        <v>-10.4399999999996</v>
      </c>
      <c r="S30" s="1"/>
      <c r="T30" s="1"/>
    </row>
    <row r="31" spans="1:20" ht="13.5" hidden="1" thickBot="1">
      <c r="A31" s="46" t="s">
        <v>41</v>
      </c>
      <c r="B31" s="15">
        <f>Лист1!B25</f>
        <v>1174.5</v>
      </c>
      <c r="C31" s="41">
        <f>Лист1!C25</f>
        <v>10159.425000000001</v>
      </c>
      <c r="D31" s="42">
        <f>Лист1!D25</f>
        <v>1028.685000000002</v>
      </c>
      <c r="E31" s="16">
        <f>Лист1!S25</f>
        <v>8017.45</v>
      </c>
      <c r="F31" s="18">
        <f>Лист1!T25</f>
        <v>1113.29</v>
      </c>
      <c r="G31" s="105">
        <f>Лист1!AF25</f>
        <v>1382.48334</v>
      </c>
      <c r="H31" s="43">
        <f>Лист1!AB25</f>
        <v>5490.74</v>
      </c>
      <c r="I31" s="110">
        <f>Лист1!AC25</f>
        <v>7632.715000000002</v>
      </c>
      <c r="J31" s="44">
        <f>Лист1!AG25</f>
        <v>704.6999999999999</v>
      </c>
      <c r="K31" s="16">
        <f>Лист1!AI25+Лист1!AJ25</f>
        <v>1178.0234999999998</v>
      </c>
      <c r="L31" s="16">
        <f>Лист1!AH25+Лист1!AK25+Лист1!AL25+Лист1!AM25+Лист1!AN25+Лист1!AO25+Лист1!AP25+Лист1!AQ25+Лист1!AR25</f>
        <v>4032.2933999999996</v>
      </c>
      <c r="M31" s="17">
        <f>Лист1!AS25+Лист1!AT25+Лист1!AU25</f>
        <v>1646.1</v>
      </c>
      <c r="N31" s="17">
        <f>Лист1!AX25</f>
        <v>407.58144</v>
      </c>
      <c r="O31" s="119">
        <f>Лист1!BB25</f>
        <v>7968.698340000001</v>
      </c>
      <c r="P31" s="122">
        <f>Лист1!BC25</f>
        <v>593.26146</v>
      </c>
      <c r="Q31" s="45">
        <f>Лист1!BE25</f>
        <v>453.2385400000011</v>
      </c>
      <c r="R31" s="45">
        <f>Лист1!BF25</f>
        <v>-2526.71</v>
      </c>
      <c r="S31" s="1"/>
      <c r="T31" s="1"/>
    </row>
    <row r="32" spans="1:20" s="24" customFormat="1" ht="13.5" hidden="1" thickBot="1">
      <c r="A32" s="48" t="s">
        <v>3</v>
      </c>
      <c r="B32" s="49"/>
      <c r="C32" s="50">
        <f aca="true" t="shared" si="1" ref="C32:R32">SUM(C20:C31)</f>
        <v>121909.64000000003</v>
      </c>
      <c r="D32" s="51">
        <f t="shared" si="1"/>
        <v>13329.570000000016</v>
      </c>
      <c r="E32" s="50">
        <f t="shared" si="1"/>
        <v>94469.29000000001</v>
      </c>
      <c r="F32" s="52">
        <f t="shared" si="1"/>
        <v>11518.880000000001</v>
      </c>
      <c r="G32" s="106">
        <f>SUM(G20:G31)</f>
        <v>8784.86672</v>
      </c>
      <c r="H32" s="53">
        <f t="shared" si="1"/>
        <v>75373.61000000002</v>
      </c>
      <c r="I32" s="114">
        <f t="shared" si="1"/>
        <v>100222.06000000001</v>
      </c>
      <c r="J32" s="51">
        <f t="shared" si="1"/>
        <v>8174.303999999999</v>
      </c>
      <c r="K32" s="50">
        <f t="shared" si="1"/>
        <v>13484.956328854998</v>
      </c>
      <c r="L32" s="50">
        <f t="shared" si="1"/>
        <v>46003.017730593005</v>
      </c>
      <c r="M32" s="50">
        <f t="shared" si="1"/>
        <v>19935.675199999998</v>
      </c>
      <c r="N32" s="50">
        <f t="shared" si="1"/>
        <v>3489.0231999999996</v>
      </c>
      <c r="O32" s="117">
        <f t="shared" si="1"/>
        <v>81351.502326584</v>
      </c>
      <c r="P32" s="52">
        <f t="shared" si="1"/>
        <v>13500.377286152601</v>
      </c>
      <c r="Q32" s="54">
        <f>SUM(Q20:Q31)</f>
        <v>14155.047107263415</v>
      </c>
      <c r="R32" s="54">
        <f t="shared" si="1"/>
        <v>-19270.004132863996</v>
      </c>
      <c r="S32" s="56"/>
      <c r="T32" s="56"/>
    </row>
    <row r="33" spans="1:20" ht="13.5" thickBot="1">
      <c r="A33" s="99" t="s">
        <v>95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63"/>
      <c r="S33" s="1"/>
      <c r="T33" s="1"/>
    </row>
    <row r="34" spans="1:20" s="24" customFormat="1" ht="13.5" thickBot="1">
      <c r="A34" s="64" t="s">
        <v>52</v>
      </c>
      <c r="B34" s="65"/>
      <c r="C34" s="66">
        <f>C18+C32</f>
        <v>152385.32000000004</v>
      </c>
      <c r="D34" s="67">
        <f aca="true" t="shared" si="2" ref="D34:N34">D18+D32</f>
        <v>20665.167761600016</v>
      </c>
      <c r="E34" s="65">
        <f>E18+E32</f>
        <v>115849.35</v>
      </c>
      <c r="F34" s="66">
        <f>F18+F32</f>
        <v>14086.800000000001</v>
      </c>
      <c r="G34" s="108">
        <f>G18+G32</f>
        <v>8784.86672</v>
      </c>
      <c r="H34" s="103">
        <f>H18+H32</f>
        <v>86453.39000000001</v>
      </c>
      <c r="I34" s="115">
        <f t="shared" si="2"/>
        <v>121205.35776160001</v>
      </c>
      <c r="J34" s="67">
        <f t="shared" si="2"/>
        <v>10288.223999999998</v>
      </c>
      <c r="K34" s="65">
        <f t="shared" si="2"/>
        <v>17022.772441495</v>
      </c>
      <c r="L34" s="65">
        <f t="shared" si="2"/>
        <v>58406.18605478501</v>
      </c>
      <c r="M34" s="65">
        <f t="shared" si="2"/>
        <v>54204.0552</v>
      </c>
      <c r="N34" s="65">
        <f t="shared" si="2"/>
        <v>3489.0231999999996</v>
      </c>
      <c r="O34" s="118">
        <f>O18+O32</f>
        <v>133674.786763416</v>
      </c>
      <c r="P34" s="123">
        <f>P18+P32</f>
        <v>13500.377286152601</v>
      </c>
      <c r="Q34" s="68">
        <f>Q18+Q32</f>
        <v>-17184.939567968584</v>
      </c>
      <c r="R34" s="68">
        <f>R18+R32</f>
        <v>-29570.284132864</v>
      </c>
      <c r="S34" s="69"/>
      <c r="T34" s="56"/>
    </row>
    <row r="35" spans="1:20" ht="12.75">
      <c r="A35" s="8" t="s">
        <v>93</v>
      </c>
      <c r="B35" s="77"/>
      <c r="C35" s="57"/>
      <c r="D35" s="58"/>
      <c r="E35" s="59"/>
      <c r="F35" s="60"/>
      <c r="G35" s="107"/>
      <c r="H35" s="61"/>
      <c r="I35" s="113"/>
      <c r="J35" s="62"/>
      <c r="K35" s="59"/>
      <c r="L35" s="59"/>
      <c r="M35" s="78"/>
      <c r="N35" s="78"/>
      <c r="O35" s="120"/>
      <c r="P35" s="122"/>
      <c r="Q35" s="79"/>
      <c r="R35" s="79"/>
      <c r="S35" s="1"/>
      <c r="T35" s="1"/>
    </row>
    <row r="36" spans="1:20" ht="12.75">
      <c r="A36" s="14" t="s">
        <v>43</v>
      </c>
      <c r="B36" s="15">
        <f>Лист1!B30</f>
        <v>1174.5</v>
      </c>
      <c r="C36" s="41">
        <f>Лист1!C30</f>
        <v>10159.425000000001</v>
      </c>
      <c r="D36" s="42">
        <f>Лист1!D30</f>
        <v>1027.915000000002</v>
      </c>
      <c r="E36" s="16">
        <f>Лист1!S30</f>
        <v>8013.19</v>
      </c>
      <c r="F36" s="18">
        <f>Лист1!T30</f>
        <v>1118.32</v>
      </c>
      <c r="G36" s="105">
        <f>Лист1!AF30</f>
        <v>1382.48334</v>
      </c>
      <c r="H36" s="43">
        <f>Лист1!AB30</f>
        <v>9222.640000000001</v>
      </c>
      <c r="I36" s="110">
        <f>Лист1!AC30</f>
        <v>11368.875000000004</v>
      </c>
      <c r="J36" s="44">
        <f>Лист1!AG30</f>
        <v>704.6999999999999</v>
      </c>
      <c r="K36" s="16">
        <f>Лист1!AI30+Лист1!AJ30</f>
        <v>1174.5</v>
      </c>
      <c r="L36" s="16">
        <f>Лист1!AH30+Лист1!AK30+Лист1!AL30+Лист1!AM30+Лист1!AN30+Лист1!AO30+Лист1!AP30+Лист1!AQ30+Лист1!AR30</f>
        <v>4028.535</v>
      </c>
      <c r="M36" s="17">
        <f>Лист1!AS30+Лист1!AT30+Лист1!AU30</f>
        <v>1270</v>
      </c>
      <c r="N36" s="17">
        <f>Лист1!AX30</f>
        <v>426.71999999999997</v>
      </c>
      <c r="O36" s="119">
        <f>Лист1!BB30</f>
        <v>7604.455</v>
      </c>
      <c r="P36" s="122">
        <f>Лист1!BC30</f>
        <v>592.559</v>
      </c>
      <c r="Q36" s="45">
        <f>Лист1!BE30</f>
        <v>4554.344340000003</v>
      </c>
      <c r="R36" s="45">
        <f>Лист1!BF30</f>
        <v>1209.4500000000016</v>
      </c>
      <c r="S36" s="1"/>
      <c r="T36" s="1"/>
    </row>
    <row r="37" spans="1:20" ht="12.75">
      <c r="A37" s="14" t="s">
        <v>44</v>
      </c>
      <c r="B37" s="15">
        <f>Лист1!B31</f>
        <v>1174.9</v>
      </c>
      <c r="C37" s="41">
        <f>Лист1!C31</f>
        <v>10162.885000000002</v>
      </c>
      <c r="D37" s="42">
        <f>Лист1!D31</f>
        <v>1028.2550000000022</v>
      </c>
      <c r="E37" s="16">
        <f>Лист1!S31</f>
        <v>8016.3099999999995</v>
      </c>
      <c r="F37" s="18">
        <f>Лист1!T31</f>
        <v>1118.32</v>
      </c>
      <c r="G37" s="105">
        <f>Лист1!AF31</f>
        <v>1382.48334</v>
      </c>
      <c r="H37" s="43">
        <f>Лист1!AB31</f>
        <v>5479.36</v>
      </c>
      <c r="I37" s="110">
        <f>Лист1!AC31</f>
        <v>7625.935000000001</v>
      </c>
      <c r="J37" s="44">
        <f>Лист1!AG31</f>
        <v>704.94</v>
      </c>
      <c r="K37" s="16">
        <f>Лист1!AI31+Лист1!AJ31</f>
        <v>1174.9</v>
      </c>
      <c r="L37" s="16">
        <f>Лист1!AH31+Лист1!AK31+Лист1!AL31+Лист1!AM31+Лист1!AN31+Лист1!AO31+Лист1!AP31+Лист1!AQ31+Лист1!AR31</f>
        <v>5774.107</v>
      </c>
      <c r="M37" s="17">
        <f>Лист1!AS31+Лист1!AT31+Лист1!AU31</f>
        <v>0</v>
      </c>
      <c r="N37" s="17">
        <f>Лист1!AX31</f>
        <v>341.87999999999994</v>
      </c>
      <c r="O37" s="119">
        <f>Лист1!BB31</f>
        <v>7995.826999999999</v>
      </c>
      <c r="P37" s="122">
        <f>Лист1!BC31</f>
        <v>592.559</v>
      </c>
      <c r="Q37" s="45">
        <f>Лист1!BE31</f>
        <v>420.032340000002</v>
      </c>
      <c r="R37" s="45">
        <f>Лист1!BF31</f>
        <v>-2536.95</v>
      </c>
      <c r="S37" s="1"/>
      <c r="T37" s="1"/>
    </row>
    <row r="38" spans="1:20" ht="12.75">
      <c r="A38" s="14" t="s">
        <v>45</v>
      </c>
      <c r="B38" s="15">
        <f>Лист1!B32</f>
        <v>1174.9</v>
      </c>
      <c r="C38" s="41">
        <f>Лист1!C32</f>
        <v>10162.885000000002</v>
      </c>
      <c r="D38" s="42">
        <f>Лист1!D32</f>
        <v>1028.2550000000022</v>
      </c>
      <c r="E38" s="16">
        <f>Лист1!S32</f>
        <v>8016.3099999999995</v>
      </c>
      <c r="F38" s="18">
        <f>Лист1!T32</f>
        <v>1118.32</v>
      </c>
      <c r="G38" s="105">
        <f>Лист1!AF32</f>
        <v>1382.48334</v>
      </c>
      <c r="H38" s="43">
        <f>Лист1!AB32</f>
        <v>7720.549999999999</v>
      </c>
      <c r="I38" s="110">
        <f>Лист1!AC32</f>
        <v>9867.125000000002</v>
      </c>
      <c r="J38" s="44">
        <f>Лист1!AG32</f>
        <v>704.94</v>
      </c>
      <c r="K38" s="16">
        <f>Лист1!AI32+Лист1!AJ32</f>
        <v>1174.9</v>
      </c>
      <c r="L38" s="16">
        <f>Лист1!AH32+Лист1!AK32+Лист1!AL32+Лист1!AM32+Лист1!AN32+Лист1!AO32+Лист1!AP32+Лист1!AQ32+Лист1!AR32</f>
        <v>4029.907</v>
      </c>
      <c r="M38" s="17">
        <f>Лист1!AS32+Лист1!AT32+Лист1!AU32</f>
        <v>2570</v>
      </c>
      <c r="N38" s="17">
        <f>Лист1!AX32</f>
        <v>321.71999999999997</v>
      </c>
      <c r="O38" s="119">
        <f>Лист1!BB32</f>
        <v>8801.466999999999</v>
      </c>
      <c r="P38" s="122">
        <f>Лист1!BC32</f>
        <v>592.559</v>
      </c>
      <c r="Q38" s="45">
        <f>Лист1!BE32</f>
        <v>1855.5823400000031</v>
      </c>
      <c r="R38" s="45">
        <f>Лист1!BF32</f>
        <v>-295.7600000000002</v>
      </c>
      <c r="S38" s="1"/>
      <c r="T38" s="1"/>
    </row>
    <row r="39" spans="1:20" ht="12.75">
      <c r="A39" s="14" t="s">
        <v>46</v>
      </c>
      <c r="B39" s="15">
        <f>Лист1!B33</f>
        <v>1174.9</v>
      </c>
      <c r="C39" s="41">
        <f>Лист1!C33</f>
        <v>10162.885000000002</v>
      </c>
      <c r="D39" s="42">
        <f>Лист1!D33</f>
        <v>1028.2550000000022</v>
      </c>
      <c r="E39" s="16">
        <f>Лист1!S33</f>
        <v>8016.3099999999995</v>
      </c>
      <c r="F39" s="18">
        <f>Лист1!T33</f>
        <v>1118.32</v>
      </c>
      <c r="G39" s="105">
        <f>Лист1!AF33</f>
        <v>1382.48334</v>
      </c>
      <c r="H39" s="43">
        <f>Лист1!AB33</f>
        <v>5305.29</v>
      </c>
      <c r="I39" s="110">
        <f>Лист1!AC33</f>
        <v>7451.865000000002</v>
      </c>
      <c r="J39" s="44">
        <f>Лист1!AG33</f>
        <v>704.94</v>
      </c>
      <c r="K39" s="16">
        <f>Лист1!AI33+Лист1!AJ33</f>
        <v>1174.9</v>
      </c>
      <c r="L39" s="16">
        <f>Лист1!AH33+Лист1!AK33+Лист1!AL33+Лист1!AM33+Лист1!AN33+Лист1!AO33+Лист1!AP33+Лист1!AQ33+Лист1!AR33</f>
        <v>4029.907</v>
      </c>
      <c r="M39" s="17">
        <f>Лист1!AS33+Лист1!AT33+Лист1!AU33</f>
        <v>989</v>
      </c>
      <c r="N39" s="17">
        <f>Лист1!AX33</f>
        <v>257.88</v>
      </c>
      <c r="O39" s="119">
        <f>Лист1!BB33</f>
        <v>7156.627</v>
      </c>
      <c r="P39" s="122">
        <f>Лист1!BC33</f>
        <v>592.559</v>
      </c>
      <c r="Q39" s="45">
        <f>Лист1!BE33</f>
        <v>1085.1623400000012</v>
      </c>
      <c r="R39" s="45">
        <f>Лист1!BF33</f>
        <v>-2711.0199999999995</v>
      </c>
      <c r="S39" s="1"/>
      <c r="T39" s="1"/>
    </row>
    <row r="40" spans="1:20" ht="12.75">
      <c r="A40" s="14" t="s">
        <v>47</v>
      </c>
      <c r="B40" s="15">
        <f>Лист1!B34</f>
        <v>1175.3</v>
      </c>
      <c r="C40" s="41">
        <f>Лист1!C34</f>
        <v>10166.345</v>
      </c>
      <c r="D40" s="42">
        <f>Лист1!D34</f>
        <v>1016.3649999999997</v>
      </c>
      <c r="E40" s="16">
        <f>Лист1!S34</f>
        <v>8086.37</v>
      </c>
      <c r="F40" s="18">
        <f>Лист1!T34</f>
        <v>1063.61</v>
      </c>
      <c r="G40" s="105">
        <f>Лист1!AF34</f>
        <v>1382.48334</v>
      </c>
      <c r="H40" s="43">
        <f>Лист1!AB34</f>
        <v>5923.43</v>
      </c>
      <c r="I40" s="110">
        <f>Лист1!AC34</f>
        <v>8003.405</v>
      </c>
      <c r="J40" s="44">
        <f>Лист1!AG34</f>
        <v>705.18</v>
      </c>
      <c r="K40" s="16">
        <f>Лист1!AI34+Лист1!AJ34</f>
        <v>1175.3</v>
      </c>
      <c r="L40" s="16">
        <f>Лист1!AH34+Лист1!AK34+Лист1!AL34+Лист1!AM34+Лист1!AN34+Лист1!AO34+Лист1!AP34+Лист1!AQ34+Лист1!AR34</f>
        <v>4031.2789999999995</v>
      </c>
      <c r="M40" s="17">
        <f>Лист1!AS34+Лист1!AT34+Лист1!AU34</f>
        <v>3658</v>
      </c>
      <c r="N40" s="17">
        <f>Лист1!AX34</f>
        <v>220.91999999999996</v>
      </c>
      <c r="O40" s="119">
        <f>Лист1!BB34</f>
        <v>9790.679</v>
      </c>
      <c r="P40" s="122">
        <f>Лист1!BC34</f>
        <v>592.559</v>
      </c>
      <c r="Q40" s="45">
        <f>Лист1!BE34</f>
        <v>-997.3496600000003</v>
      </c>
      <c r="R40" s="45">
        <f>Лист1!BF34</f>
        <v>-2162.9399999999996</v>
      </c>
      <c r="S40" s="1"/>
      <c r="T40" s="1"/>
    </row>
    <row r="41" spans="1:20" ht="12.75">
      <c r="A41" s="14" t="s">
        <v>48</v>
      </c>
      <c r="B41" s="15">
        <f>Лист1!B35</f>
        <v>1175.3</v>
      </c>
      <c r="C41" s="41">
        <f>Лист1!C35</f>
        <v>10166.345</v>
      </c>
      <c r="D41" s="42">
        <f>Лист1!D35</f>
        <v>1003.2849999999986</v>
      </c>
      <c r="E41" s="16">
        <f>Лист1!S35</f>
        <v>8173.5</v>
      </c>
      <c r="F41" s="18">
        <f>Лист1!T35</f>
        <v>989.56</v>
      </c>
      <c r="G41" s="105">
        <f>Лист1!AF35</f>
        <v>1382.48334</v>
      </c>
      <c r="H41" s="43">
        <f>Лист1!AB35</f>
        <v>8111.259999999999</v>
      </c>
      <c r="I41" s="110">
        <f>Лист1!AC35</f>
        <v>10104.104999999998</v>
      </c>
      <c r="J41" s="44">
        <f>Лист1!AG35</f>
        <v>705.18</v>
      </c>
      <c r="K41" s="16">
        <f>Лист1!AI35+Лист1!AJ35</f>
        <v>1175.3</v>
      </c>
      <c r="L41" s="16">
        <f>Лист1!AH35+Лист1!AK35+Лист1!AL35+Лист1!AM35+Лист1!AN35+Лист1!AO35+Лист1!AP35+Лист1!AQ35+Лист1!AR35</f>
        <v>4031.2789999999995</v>
      </c>
      <c r="M41" s="17">
        <f>Лист1!AS35+Лист1!AT35+Лист1!AU35</f>
        <v>0</v>
      </c>
      <c r="N41" s="17">
        <f>Лист1!AX35</f>
        <v>195.71999999999997</v>
      </c>
      <c r="O41" s="119">
        <f>Лист1!BB35</f>
        <v>6107.479</v>
      </c>
      <c r="P41" s="122">
        <f>Лист1!BC35</f>
        <v>592.559</v>
      </c>
      <c r="Q41" s="45">
        <f>Лист1!BE35</f>
        <v>4786.550339999998</v>
      </c>
      <c r="R41" s="45">
        <f>Лист1!BF35</f>
        <v>-62.24000000000069</v>
      </c>
      <c r="S41" s="1"/>
      <c r="T41" s="1"/>
    </row>
    <row r="42" spans="1:20" ht="12.75">
      <c r="A42" s="14" t="s">
        <v>49</v>
      </c>
      <c r="B42" s="15">
        <f>Лист1!B36</f>
        <v>1175.3</v>
      </c>
      <c r="C42" s="41">
        <f>Лист1!C36</f>
        <v>10166.345</v>
      </c>
      <c r="D42" s="42">
        <f>Лист1!D36</f>
        <v>995.8049999999997</v>
      </c>
      <c r="E42" s="16">
        <f>Лист1!S36</f>
        <v>9006.74</v>
      </c>
      <c r="F42" s="18">
        <f>Лист1!T36</f>
        <v>163.8</v>
      </c>
      <c r="G42" s="105">
        <f>Лист1!AF36</f>
        <v>1382.50334</v>
      </c>
      <c r="H42" s="43">
        <f>Лист1!AB36</f>
        <v>6354.65</v>
      </c>
      <c r="I42" s="110">
        <f>Лист1!AC36</f>
        <v>7514.254999999999</v>
      </c>
      <c r="J42" s="44">
        <f>Лист1!AG36</f>
        <v>705.18</v>
      </c>
      <c r="K42" s="16">
        <f>Лист1!AI36+Лист1!AJ36</f>
        <v>1175.3</v>
      </c>
      <c r="L42" s="16">
        <f>Лист1!AH36+Лист1!AK36+Лист1!AL36+Лист1!AM36+Лист1!AN36+Лист1!AO36+Лист1!AP36+Лист1!AQ36+Лист1!AR36</f>
        <v>4031.2789999999995</v>
      </c>
      <c r="M42" s="17">
        <f>Лист1!AS36+Лист1!AT36+Лист1!AU36</f>
        <v>0</v>
      </c>
      <c r="N42" s="17">
        <f>Лист1!AX36</f>
        <v>208.31999999999996</v>
      </c>
      <c r="O42" s="119">
        <f>Лист1!BB36</f>
        <v>6120.079</v>
      </c>
      <c r="P42" s="122">
        <f>Лист1!BC36</f>
        <v>592.559</v>
      </c>
      <c r="Q42" s="45">
        <f>Лист1!BE36</f>
        <v>2184.1203399999995</v>
      </c>
      <c r="R42" s="45">
        <f>Лист1!BF36</f>
        <v>-2652.09</v>
      </c>
      <c r="S42" s="1"/>
      <c r="T42" s="1"/>
    </row>
    <row r="43" spans="1:20" ht="12.75">
      <c r="A43" s="14" t="s">
        <v>50</v>
      </c>
      <c r="B43" s="15">
        <f>Лист1!B37</f>
        <v>1175.3</v>
      </c>
      <c r="C43" s="41">
        <f>Лист1!C37</f>
        <v>10166.345</v>
      </c>
      <c r="D43" s="42">
        <f>Лист1!D37</f>
        <v>995.8249999999999</v>
      </c>
      <c r="E43" s="16">
        <f>Лист1!S37</f>
        <v>9006.72</v>
      </c>
      <c r="F43" s="18">
        <f>Лист1!T37</f>
        <v>163.8</v>
      </c>
      <c r="G43" s="105">
        <f>Лист1!AF37</f>
        <v>1382.50334</v>
      </c>
      <c r="H43" s="43">
        <f>Лист1!AB37</f>
        <v>13780.64</v>
      </c>
      <c r="I43" s="110">
        <f>Лист1!AC37</f>
        <v>14940.265</v>
      </c>
      <c r="J43" s="44">
        <f>Лист1!AG37</f>
        <v>705.18</v>
      </c>
      <c r="K43" s="16">
        <f>Лист1!AI37+Лист1!AJ37</f>
        <v>1175.3</v>
      </c>
      <c r="L43" s="16">
        <f>Лист1!AH37+Лист1!AK37+Лист1!AL37+Лист1!AM37+Лист1!AN37+Лист1!AO37+Лист1!AP37+Лист1!AQ37+Лист1!AR37</f>
        <v>4031.2789999999995</v>
      </c>
      <c r="M43" s="17">
        <f>Лист1!AS37+Лист1!AT37+Лист1!AU37</f>
        <v>5035.8</v>
      </c>
      <c r="N43" s="17">
        <f>Лист1!AX37</f>
        <v>246.11999999999995</v>
      </c>
      <c r="O43" s="119">
        <f>Лист1!BB37</f>
        <v>11193.679</v>
      </c>
      <c r="P43" s="122">
        <f>Лист1!BC37</f>
        <v>592.559</v>
      </c>
      <c r="Q43" s="45">
        <f>Лист1!BE37</f>
        <v>4536.530339999999</v>
      </c>
      <c r="R43" s="45">
        <f>Лист1!BF37</f>
        <v>4773.92</v>
      </c>
      <c r="S43" s="1"/>
      <c r="T43" s="1"/>
    </row>
    <row r="44" spans="1:20" ht="12.75">
      <c r="A44" s="14" t="s">
        <v>51</v>
      </c>
      <c r="B44" s="15">
        <f>Лист1!B38</f>
        <v>1175.3</v>
      </c>
      <c r="C44" s="41">
        <f>Лист1!C38</f>
        <v>10166.345</v>
      </c>
      <c r="D44" s="42">
        <f>Лист1!D38</f>
        <v>995.8249999999999</v>
      </c>
      <c r="E44" s="16">
        <f>Лист1!S38</f>
        <v>9006.72</v>
      </c>
      <c r="F44" s="18">
        <f>Лист1!T38</f>
        <v>163.8</v>
      </c>
      <c r="G44" s="105">
        <f>Лист1!AF38</f>
        <v>1382.50334</v>
      </c>
      <c r="H44" s="43">
        <f>Лист1!AB38</f>
        <v>7668.55</v>
      </c>
      <c r="I44" s="110">
        <f>Лист1!AC38</f>
        <v>8828.175</v>
      </c>
      <c r="J44" s="44">
        <f>Лист1!AG38</f>
        <v>705.18</v>
      </c>
      <c r="K44" s="16">
        <f>Лист1!AI38+Лист1!AJ38</f>
        <v>1175.3</v>
      </c>
      <c r="L44" s="16">
        <f>Лист1!AH38+Лист1!AK38+Лист1!AL38+Лист1!AM38+Лист1!AN38+Лист1!AO38+Лист1!AP38+Лист1!AQ38+Лист1!AR38</f>
        <v>4031.2789999999995</v>
      </c>
      <c r="M44" s="17">
        <f>Лист1!AS38+Лист1!AT38+Лист1!AU38</f>
        <v>0</v>
      </c>
      <c r="N44" s="17">
        <f>Лист1!AX38</f>
        <v>293.15999999999997</v>
      </c>
      <c r="O44" s="119">
        <f>Лист1!BB38</f>
        <v>6204.919</v>
      </c>
      <c r="P44" s="122">
        <f>Лист1!BC38</f>
        <v>592.559</v>
      </c>
      <c r="Q44" s="45">
        <f>Лист1!BE38</f>
        <v>3413.2003399999994</v>
      </c>
      <c r="R44" s="45">
        <f>Лист1!BF38</f>
        <v>-1338.1699999999992</v>
      </c>
      <c r="S44" s="1"/>
      <c r="T44" s="1"/>
    </row>
    <row r="45" spans="1:20" ht="12.75">
      <c r="A45" s="14" t="s">
        <v>39</v>
      </c>
      <c r="B45" s="15">
        <f>Лист1!B39</f>
        <v>1175.3</v>
      </c>
      <c r="C45" s="41">
        <f>Лист1!C39</f>
        <v>10166.345</v>
      </c>
      <c r="D45" s="42">
        <f>Лист1!D39</f>
        <v>996.0850000000004</v>
      </c>
      <c r="E45" s="16">
        <f>Лист1!S39</f>
        <v>9006.460000000001</v>
      </c>
      <c r="F45" s="18">
        <f>Лист1!T39</f>
        <v>163.8</v>
      </c>
      <c r="G45" s="105">
        <f>Лист1!AF39</f>
        <v>1482.50334</v>
      </c>
      <c r="H45" s="43">
        <f>Лист1!AB39</f>
        <v>15308.26</v>
      </c>
      <c r="I45" s="110">
        <f>Лист1!AC39</f>
        <v>16468.145</v>
      </c>
      <c r="J45" s="44">
        <f>Лист1!AG39</f>
        <v>705.18</v>
      </c>
      <c r="K45" s="16">
        <f>Лист1!AI39+Лист1!AJ39</f>
        <v>1175.3</v>
      </c>
      <c r="L45" s="16">
        <f>Лист1!AH39+Лист1!AK39+Лист1!AL39+Лист1!AM39+Лист1!AN39+Лист1!AO39+Лист1!AP39+Лист1!AQ39+Лист1!AR39</f>
        <v>4031.2789999999995</v>
      </c>
      <c r="M45" s="17">
        <f>Лист1!AS39+Лист1!AT39+Лист1!AU39</f>
        <v>1520</v>
      </c>
      <c r="N45" s="17">
        <f>Лист1!AX39</f>
        <v>357</v>
      </c>
      <c r="O45" s="119">
        <f>Лист1!BB39</f>
        <v>7788.759</v>
      </c>
      <c r="P45" s="122">
        <f>Лист1!BC39</f>
        <v>617.559</v>
      </c>
      <c r="Q45" s="45">
        <f>Лист1!BE39</f>
        <v>9544.33034</v>
      </c>
      <c r="R45" s="45">
        <f>Лист1!BF39</f>
        <v>6301.799999999999</v>
      </c>
      <c r="S45" s="1"/>
      <c r="T45" s="1"/>
    </row>
    <row r="46" spans="1:20" ht="12.75">
      <c r="A46" s="14" t="s">
        <v>40</v>
      </c>
      <c r="B46" s="15">
        <f>Лист1!B40</f>
        <v>1175.3</v>
      </c>
      <c r="C46" s="41">
        <f>Лист1!C40</f>
        <v>10166.345</v>
      </c>
      <c r="D46" s="42">
        <f>Лист1!D40</f>
        <v>996.125000000001</v>
      </c>
      <c r="E46" s="16">
        <f>Лист1!S40</f>
        <v>9006.42</v>
      </c>
      <c r="F46" s="18">
        <f>Лист1!T40</f>
        <v>163.8</v>
      </c>
      <c r="G46" s="105">
        <f>Лист1!AF40</f>
        <v>1482.50334</v>
      </c>
      <c r="H46" s="43">
        <f>Лист1!AB40</f>
        <v>8634.61</v>
      </c>
      <c r="I46" s="110">
        <f>Лист1!AC40</f>
        <v>9794.535000000002</v>
      </c>
      <c r="J46" s="44">
        <f>Лист1!AG40</f>
        <v>705.18</v>
      </c>
      <c r="K46" s="16">
        <f>Лист1!AI40+Лист1!AJ40</f>
        <v>1175.3</v>
      </c>
      <c r="L46" s="16">
        <f>Лист1!AH40+Лист1!AK40+Лист1!AL40+Лист1!AM40+Лист1!AN40+Лист1!AO40+Лист1!AP40+Лист1!AQ40+Лист1!AR40</f>
        <v>4031.2789999999995</v>
      </c>
      <c r="M46" s="17">
        <f>Лист1!AS40+Лист1!AT40+Лист1!AU40</f>
        <v>193</v>
      </c>
      <c r="N46" s="17">
        <f>Лист1!AX40</f>
        <v>394.79999999999995</v>
      </c>
      <c r="O46" s="119">
        <f>Лист1!BB40</f>
        <v>6499.559</v>
      </c>
      <c r="P46" s="122">
        <f>Лист1!BC40</f>
        <v>617.559</v>
      </c>
      <c r="Q46" s="45">
        <f>Лист1!BE40</f>
        <v>4159.9203400000015</v>
      </c>
      <c r="R46" s="45">
        <f>Лист1!BF40</f>
        <v>-371.8099999999995</v>
      </c>
      <c r="S46" s="1"/>
      <c r="T46" s="1"/>
    </row>
    <row r="47" spans="1:20" ht="13.5" thickBot="1">
      <c r="A47" s="46" t="s">
        <v>41</v>
      </c>
      <c r="B47" s="15">
        <f>Лист1!B41</f>
        <v>1175.3</v>
      </c>
      <c r="C47" s="41">
        <f>Лист1!C41</f>
        <v>10166.345</v>
      </c>
      <c r="D47" s="42">
        <f>Лист1!D41</f>
        <v>1024.0849999999991</v>
      </c>
      <c r="E47" s="16">
        <f>Лист1!S41</f>
        <v>8978.46</v>
      </c>
      <c r="F47" s="18">
        <f>Лист1!T41</f>
        <v>163.8</v>
      </c>
      <c r="G47" s="105">
        <f>Лист1!AF41</f>
        <v>1482.50334</v>
      </c>
      <c r="H47" s="43">
        <f>Лист1!AB41</f>
        <v>13636.96</v>
      </c>
      <c r="I47" s="110">
        <f>Лист1!AC41</f>
        <v>14824.844999999998</v>
      </c>
      <c r="J47" s="44">
        <f>Лист1!AG41</f>
        <v>705.18</v>
      </c>
      <c r="K47" s="16">
        <f>Лист1!AI41+Лист1!AJ41</f>
        <v>1175.3</v>
      </c>
      <c r="L47" s="16">
        <f>Лист1!AH41+Лист1!AK41+Лист1!AL41+Лист1!AM41+Лист1!AN41+Лист1!AO41+Лист1!AP41+Лист1!AQ41+Лист1!AR41</f>
        <v>4031.2789999999995</v>
      </c>
      <c r="M47" s="17">
        <f>Лист1!AS41+Лист1!AT41+Лист1!AU41</f>
        <v>47762.1638</v>
      </c>
      <c r="N47" s="17">
        <f>Лист1!AX41</f>
        <v>431.75999999999993</v>
      </c>
      <c r="O47" s="119">
        <f>Лист1!BB41</f>
        <v>54105.6828</v>
      </c>
      <c r="P47" s="122">
        <f>Лист1!BC41</f>
        <v>617.559</v>
      </c>
      <c r="Q47" s="45">
        <f>Лист1!BE41</f>
        <v>-38415.89346000001</v>
      </c>
      <c r="R47" s="45">
        <f>Лист1!BF41</f>
        <v>4658.5</v>
      </c>
      <c r="S47" s="1"/>
      <c r="T47" s="1"/>
    </row>
    <row r="48" spans="1:20" s="24" customFormat="1" ht="13.5" thickBot="1">
      <c r="A48" s="48" t="s">
        <v>3</v>
      </c>
      <c r="B48" s="49"/>
      <c r="C48" s="50">
        <f aca="true" t="shared" si="3" ref="C48:R48">SUM(C36:C47)</f>
        <v>121978.84000000001</v>
      </c>
      <c r="D48" s="51">
        <f t="shared" si="3"/>
        <v>12136.080000000009</v>
      </c>
      <c r="E48" s="50">
        <f t="shared" si="3"/>
        <v>102333.51000000001</v>
      </c>
      <c r="F48" s="52">
        <f t="shared" si="3"/>
        <v>7509.25</v>
      </c>
      <c r="G48" s="106">
        <f t="shared" si="3"/>
        <v>16889.920079999996</v>
      </c>
      <c r="H48" s="53">
        <f t="shared" si="3"/>
        <v>107146.20000000001</v>
      </c>
      <c r="I48" s="114">
        <f t="shared" si="3"/>
        <v>126791.53</v>
      </c>
      <c r="J48" s="51">
        <f t="shared" si="3"/>
        <v>8460.960000000001</v>
      </c>
      <c r="K48" s="50">
        <f t="shared" si="3"/>
        <v>14101.599999999997</v>
      </c>
      <c r="L48" s="50">
        <f t="shared" si="3"/>
        <v>50112.688</v>
      </c>
      <c r="M48" s="50">
        <f t="shared" si="3"/>
        <v>62997.9638</v>
      </c>
      <c r="N48" s="50">
        <f t="shared" si="3"/>
        <v>3695.9999999999995</v>
      </c>
      <c r="O48" s="117">
        <f t="shared" si="3"/>
        <v>139369.2118</v>
      </c>
      <c r="P48" s="52">
        <f t="shared" si="3"/>
        <v>7185.708000000001</v>
      </c>
      <c r="Q48" s="54">
        <f t="shared" si="3"/>
        <v>-2873.469720000001</v>
      </c>
      <c r="R48" s="54">
        <f t="shared" si="3"/>
        <v>4812.690000000001</v>
      </c>
      <c r="S48" s="56"/>
      <c r="T48" s="56"/>
    </row>
    <row r="49" spans="1:20" ht="13.5" thickBot="1">
      <c r="A49" s="99" t="s">
        <v>66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1"/>
      <c r="R49" s="63"/>
      <c r="S49" s="1"/>
      <c r="T49" s="1"/>
    </row>
    <row r="50" spans="1:20" s="24" customFormat="1" ht="13.5" thickBot="1">
      <c r="A50" s="64" t="s">
        <v>52</v>
      </c>
      <c r="B50" s="65"/>
      <c r="C50" s="66">
        <f aca="true" t="shared" si="4" ref="C50:H50">C34+C48</f>
        <v>274364.16000000003</v>
      </c>
      <c r="D50" s="67">
        <f t="shared" si="4"/>
        <v>32801.247761600025</v>
      </c>
      <c r="E50" s="65">
        <f t="shared" si="4"/>
        <v>218182.86000000002</v>
      </c>
      <c r="F50" s="66">
        <f t="shared" si="4"/>
        <v>21596.050000000003</v>
      </c>
      <c r="G50" s="108">
        <f t="shared" si="4"/>
        <v>25674.786799999994</v>
      </c>
      <c r="H50" s="103">
        <f t="shared" si="4"/>
        <v>193599.59000000003</v>
      </c>
      <c r="I50" s="115">
        <f aca="true" t="shared" si="5" ref="I50:N50">I34+I48</f>
        <v>247996.88776160002</v>
      </c>
      <c r="J50" s="67">
        <f t="shared" si="5"/>
        <v>18749.184</v>
      </c>
      <c r="K50" s="65">
        <f t="shared" si="5"/>
        <v>31124.372441494997</v>
      </c>
      <c r="L50" s="65">
        <f t="shared" si="5"/>
        <v>108518.874054785</v>
      </c>
      <c r="M50" s="65">
        <f t="shared" si="5"/>
        <v>117202.019</v>
      </c>
      <c r="N50" s="65">
        <f t="shared" si="5"/>
        <v>7185.0232</v>
      </c>
      <c r="O50" s="118">
        <f>O34+O48</f>
        <v>273043.99856341595</v>
      </c>
      <c r="P50" s="123">
        <f>P34+P48</f>
        <v>20686.085286152604</v>
      </c>
      <c r="Q50" s="68">
        <f>Q34+Q48</f>
        <v>-20058.409287968585</v>
      </c>
      <c r="R50" s="68">
        <f>R34+R48</f>
        <v>-24757.594132863996</v>
      </c>
      <c r="S50" s="69"/>
      <c r="T50" s="56"/>
    </row>
    <row r="53" spans="1:20" ht="12.75">
      <c r="A53" s="24" t="s">
        <v>67</v>
      </c>
      <c r="D53" s="2" t="s">
        <v>94</v>
      </c>
      <c r="S53" s="1"/>
      <c r="T53" s="1"/>
    </row>
    <row r="54" spans="1:20" ht="12.75">
      <c r="A54" s="26" t="s">
        <v>68</v>
      </c>
      <c r="B54" s="26" t="s">
        <v>69</v>
      </c>
      <c r="C54" s="394" t="s">
        <v>70</v>
      </c>
      <c r="D54" s="394"/>
      <c r="S54" s="1"/>
      <c r="T54" s="1"/>
    </row>
    <row r="55" spans="1:20" ht="12.75">
      <c r="A55" s="126">
        <v>73091.32</v>
      </c>
      <c r="B55" s="126">
        <v>16074</v>
      </c>
      <c r="C55" s="395">
        <f>A55-B55</f>
        <v>57017.32000000001</v>
      </c>
      <c r="D55" s="396"/>
      <c r="S55" s="1"/>
      <c r="T55" s="1"/>
    </row>
    <row r="56" spans="1:20" ht="12.75">
      <c r="A56" s="70"/>
      <c r="S56" s="1"/>
      <c r="T56" s="1"/>
    </row>
    <row r="57" spans="1:20" ht="12.75">
      <c r="A57" s="2" t="s">
        <v>71</v>
      </c>
      <c r="H57" s="2" t="s">
        <v>72</v>
      </c>
      <c r="S57" s="1"/>
      <c r="T57" s="1"/>
    </row>
    <row r="58" ht="12.75">
      <c r="A58" s="1"/>
    </row>
    <row r="59" ht="12.75">
      <c r="A59" s="1"/>
    </row>
    <row r="60" ht="12.75">
      <c r="A60" s="1" t="s">
        <v>80</v>
      </c>
    </row>
    <row r="61" ht="12.75">
      <c r="A61" s="2" t="s">
        <v>73</v>
      </c>
    </row>
  </sheetData>
  <sheetProtection/>
  <mergeCells count="22">
    <mergeCell ref="N11:N12"/>
    <mergeCell ref="O11:O12"/>
    <mergeCell ref="J9:O10"/>
    <mergeCell ref="Q9:Q12"/>
    <mergeCell ref="E9:F10"/>
    <mergeCell ref="R9:R12"/>
    <mergeCell ref="E11:F11"/>
    <mergeCell ref="I11:I12"/>
    <mergeCell ref="J11:J12"/>
    <mergeCell ref="K11:K12"/>
    <mergeCell ref="L11:L12"/>
    <mergeCell ref="M11:M12"/>
    <mergeCell ref="C54:D54"/>
    <mergeCell ref="C55:D55"/>
    <mergeCell ref="G9:G12"/>
    <mergeCell ref="A5:Q5"/>
    <mergeCell ref="A9:A12"/>
    <mergeCell ref="B9:B12"/>
    <mergeCell ref="C9:C12"/>
    <mergeCell ref="D9:D12"/>
    <mergeCell ref="P9:P12"/>
    <mergeCell ref="H9:I10"/>
  </mergeCells>
  <printOptions/>
  <pageMargins left="0.23" right="0.2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1"/>
  <sheetViews>
    <sheetView zoomScalePageLayoutView="0" workbookViewId="0" topLeftCell="A1">
      <pane xSplit="2" ySplit="7" topLeftCell="AU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38" sqref="C38:BG38"/>
    </sheetView>
  </sheetViews>
  <sheetFormatPr defaultColWidth="9.00390625" defaultRowHeight="12.75"/>
  <cols>
    <col min="1" max="1" width="8.75390625" style="199" bestFit="1" customWidth="1"/>
    <col min="2" max="2" width="9.125" style="199" customWidth="1"/>
    <col min="3" max="3" width="11.375" style="199" customWidth="1"/>
    <col min="4" max="4" width="10.375" style="199" customWidth="1"/>
    <col min="5" max="5" width="10.125" style="199" bestFit="1" customWidth="1"/>
    <col min="6" max="6" width="9.125" style="199" customWidth="1"/>
    <col min="7" max="7" width="10.25390625" style="199" customWidth="1"/>
    <col min="8" max="8" width="9.125" style="199" customWidth="1"/>
    <col min="9" max="9" width="9.875" style="199" customWidth="1"/>
    <col min="10" max="10" width="9.125" style="199" customWidth="1"/>
    <col min="11" max="11" width="10.375" style="199" customWidth="1"/>
    <col min="12" max="12" width="9.125" style="199" customWidth="1"/>
    <col min="13" max="13" width="10.125" style="199" bestFit="1" customWidth="1"/>
    <col min="14" max="14" width="9.125" style="199" customWidth="1"/>
    <col min="15" max="15" width="10.125" style="199" bestFit="1" customWidth="1"/>
    <col min="16" max="18" width="9.125" style="199" customWidth="1"/>
    <col min="19" max="19" width="10.125" style="199" bestFit="1" customWidth="1"/>
    <col min="20" max="20" width="10.125" style="199" customWidth="1"/>
    <col min="21" max="21" width="10.125" style="199" bestFit="1" customWidth="1"/>
    <col min="22" max="22" width="10.25390625" style="199" customWidth="1"/>
    <col min="23" max="23" width="10.625" style="199" customWidth="1"/>
    <col min="24" max="24" width="10.125" style="199" customWidth="1"/>
    <col min="25" max="28" width="10.125" style="199" bestFit="1" customWidth="1"/>
    <col min="29" max="30" width="11.375" style="199" customWidth="1"/>
    <col min="31" max="31" width="9.25390625" style="199" bestFit="1" customWidth="1"/>
    <col min="32" max="32" width="10.125" style="199" bestFit="1" customWidth="1"/>
    <col min="33" max="33" width="12.00390625" style="199" customWidth="1"/>
    <col min="34" max="34" width="14.25390625" style="199" customWidth="1"/>
    <col min="35" max="35" width="9.25390625" style="199" bestFit="1" customWidth="1"/>
    <col min="36" max="36" width="12.625" style="199" customWidth="1"/>
    <col min="37" max="38" width="9.25390625" style="199" bestFit="1" customWidth="1"/>
    <col min="39" max="39" width="10.125" style="199" bestFit="1" customWidth="1"/>
    <col min="40" max="40" width="9.25390625" style="199" bestFit="1" customWidth="1"/>
    <col min="41" max="42" width="10.125" style="199" bestFit="1" customWidth="1"/>
    <col min="43" max="44" width="9.25390625" style="199" customWidth="1"/>
    <col min="45" max="45" width="10.125" style="199" bestFit="1" customWidth="1"/>
    <col min="46" max="46" width="11.625" style="199" customWidth="1"/>
    <col min="47" max="47" width="10.875" style="199" customWidth="1"/>
    <col min="48" max="48" width="10.625" style="199" customWidth="1"/>
    <col min="49" max="49" width="10.25390625" style="199" customWidth="1"/>
    <col min="50" max="50" width="10.625" style="199" customWidth="1"/>
    <col min="51" max="51" width="9.25390625" style="199" bestFit="1" customWidth="1"/>
    <col min="52" max="53" width="10.125" style="199" bestFit="1" customWidth="1"/>
    <col min="54" max="54" width="11.625" style="199" customWidth="1"/>
    <col min="55" max="55" width="11.75390625" style="199" customWidth="1"/>
    <col min="56" max="56" width="12.125" style="199" customWidth="1"/>
    <col min="57" max="57" width="13.625" style="199" customWidth="1"/>
    <col min="58" max="58" width="11.00390625" style="199" customWidth="1"/>
    <col min="59" max="59" width="11.375" style="199" customWidth="1"/>
    <col min="60" max="16384" width="9.125" style="199" customWidth="1"/>
  </cols>
  <sheetData>
    <row r="1" spans="1:18" ht="21" customHeight="1">
      <c r="A1" s="359" t="s">
        <v>129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198"/>
      <c r="P1" s="198"/>
      <c r="Q1" s="198"/>
      <c r="R1" s="198"/>
    </row>
    <row r="2" spans="1:18" ht="13.5" thickBot="1">
      <c r="A2" s="198"/>
      <c r="B2" s="200"/>
      <c r="C2" s="201"/>
      <c r="D2" s="201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59" ht="29.25" customHeight="1" thickBot="1">
      <c r="A3" s="352" t="s">
        <v>96</v>
      </c>
      <c r="B3" s="361" t="s">
        <v>0</v>
      </c>
      <c r="C3" s="363" t="s">
        <v>1</v>
      </c>
      <c r="D3" s="365" t="s">
        <v>2</v>
      </c>
      <c r="E3" s="352" t="s">
        <v>97</v>
      </c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3"/>
      <c r="S3" s="352"/>
      <c r="T3" s="356"/>
      <c r="U3" s="352" t="s">
        <v>3</v>
      </c>
      <c r="V3" s="356"/>
      <c r="W3" s="386" t="s">
        <v>4</v>
      </c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439"/>
      <c r="AJ3" s="441" t="s">
        <v>76</v>
      </c>
      <c r="AK3" s="343" t="s">
        <v>8</v>
      </c>
      <c r="AL3" s="444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5"/>
      <c r="BF3" s="446" t="s">
        <v>9</v>
      </c>
      <c r="BG3" s="452" t="s">
        <v>10</v>
      </c>
    </row>
    <row r="4" spans="1:59" ht="51.75" customHeight="1" hidden="1" thickBot="1">
      <c r="A4" s="360"/>
      <c r="B4" s="362"/>
      <c r="C4" s="364"/>
      <c r="D4" s="366"/>
      <c r="E4" s="360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8"/>
      <c r="S4" s="354"/>
      <c r="T4" s="385"/>
      <c r="U4" s="354"/>
      <c r="V4" s="385"/>
      <c r="W4" s="388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440"/>
      <c r="AJ4" s="442"/>
      <c r="AK4" s="337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9"/>
      <c r="BF4" s="447"/>
      <c r="BG4" s="453"/>
    </row>
    <row r="5" spans="1:59" ht="19.5" customHeight="1">
      <c r="A5" s="360"/>
      <c r="B5" s="362"/>
      <c r="C5" s="364"/>
      <c r="D5" s="366"/>
      <c r="E5" s="455" t="s">
        <v>11</v>
      </c>
      <c r="F5" s="456"/>
      <c r="G5" s="455" t="s">
        <v>98</v>
      </c>
      <c r="H5" s="456"/>
      <c r="I5" s="455" t="s">
        <v>12</v>
      </c>
      <c r="J5" s="456"/>
      <c r="K5" s="455" t="s">
        <v>14</v>
      </c>
      <c r="L5" s="456"/>
      <c r="M5" s="455" t="s">
        <v>13</v>
      </c>
      <c r="N5" s="456"/>
      <c r="O5" s="459" t="s">
        <v>15</v>
      </c>
      <c r="P5" s="459"/>
      <c r="Q5" s="455" t="s">
        <v>99</v>
      </c>
      <c r="R5" s="456"/>
      <c r="S5" s="459" t="s">
        <v>100</v>
      </c>
      <c r="T5" s="456"/>
      <c r="U5" s="341" t="s">
        <v>18</v>
      </c>
      <c r="V5" s="377" t="s">
        <v>19</v>
      </c>
      <c r="W5" s="450" t="s">
        <v>20</v>
      </c>
      <c r="X5" s="450" t="s">
        <v>101</v>
      </c>
      <c r="Y5" s="450" t="s">
        <v>21</v>
      </c>
      <c r="Z5" s="450" t="s">
        <v>23</v>
      </c>
      <c r="AA5" s="450" t="s">
        <v>22</v>
      </c>
      <c r="AB5" s="450" t="s">
        <v>24</v>
      </c>
      <c r="AC5" s="450" t="s">
        <v>25</v>
      </c>
      <c r="AD5" s="463" t="s">
        <v>26</v>
      </c>
      <c r="AE5" s="463" t="s">
        <v>102</v>
      </c>
      <c r="AF5" s="465" t="s">
        <v>27</v>
      </c>
      <c r="AG5" s="467" t="s">
        <v>83</v>
      </c>
      <c r="AH5" s="469" t="s">
        <v>6</v>
      </c>
      <c r="AI5" s="471" t="s">
        <v>7</v>
      </c>
      <c r="AJ5" s="442"/>
      <c r="AK5" s="473" t="s">
        <v>103</v>
      </c>
      <c r="AL5" s="474" t="s">
        <v>104</v>
      </c>
      <c r="AM5" s="474" t="s">
        <v>105</v>
      </c>
      <c r="AN5" s="323" t="s">
        <v>106</v>
      </c>
      <c r="AO5" s="474" t="s">
        <v>107</v>
      </c>
      <c r="AP5" s="323" t="s">
        <v>108</v>
      </c>
      <c r="AQ5" s="323" t="s">
        <v>109</v>
      </c>
      <c r="AR5" s="323" t="s">
        <v>110</v>
      </c>
      <c r="AS5" s="323" t="s">
        <v>111</v>
      </c>
      <c r="AT5" s="323" t="s">
        <v>34</v>
      </c>
      <c r="AU5" s="475" t="s">
        <v>112</v>
      </c>
      <c r="AV5" s="392" t="s">
        <v>113</v>
      </c>
      <c r="AW5" s="475" t="s">
        <v>114</v>
      </c>
      <c r="AX5" s="476" t="s">
        <v>115</v>
      </c>
      <c r="AY5" s="202"/>
      <c r="AZ5" s="346" t="s">
        <v>17</v>
      </c>
      <c r="BA5" s="323" t="s">
        <v>36</v>
      </c>
      <c r="BB5" s="323" t="s">
        <v>31</v>
      </c>
      <c r="BC5" s="478" t="s">
        <v>37</v>
      </c>
      <c r="BD5" s="330" t="s">
        <v>79</v>
      </c>
      <c r="BE5" s="323" t="s">
        <v>85</v>
      </c>
      <c r="BF5" s="447"/>
      <c r="BG5" s="453"/>
    </row>
    <row r="6" spans="1:59" ht="56.25" customHeight="1" thickBot="1">
      <c r="A6" s="360"/>
      <c r="B6" s="362"/>
      <c r="C6" s="364"/>
      <c r="D6" s="366"/>
      <c r="E6" s="457"/>
      <c r="F6" s="458"/>
      <c r="G6" s="457"/>
      <c r="H6" s="458"/>
      <c r="I6" s="457"/>
      <c r="J6" s="458"/>
      <c r="K6" s="457"/>
      <c r="L6" s="458"/>
      <c r="M6" s="457"/>
      <c r="N6" s="458"/>
      <c r="O6" s="460"/>
      <c r="P6" s="460"/>
      <c r="Q6" s="457"/>
      <c r="R6" s="458"/>
      <c r="S6" s="461"/>
      <c r="T6" s="458"/>
      <c r="U6" s="462"/>
      <c r="V6" s="449"/>
      <c r="W6" s="451"/>
      <c r="X6" s="451"/>
      <c r="Y6" s="451"/>
      <c r="Z6" s="451"/>
      <c r="AA6" s="451"/>
      <c r="AB6" s="451"/>
      <c r="AC6" s="451"/>
      <c r="AD6" s="464"/>
      <c r="AE6" s="464"/>
      <c r="AF6" s="466"/>
      <c r="AG6" s="468"/>
      <c r="AH6" s="470"/>
      <c r="AI6" s="472"/>
      <c r="AJ6" s="443"/>
      <c r="AK6" s="351"/>
      <c r="AL6" s="373"/>
      <c r="AM6" s="373"/>
      <c r="AN6" s="324"/>
      <c r="AO6" s="373"/>
      <c r="AP6" s="324"/>
      <c r="AQ6" s="324"/>
      <c r="AR6" s="324"/>
      <c r="AS6" s="324"/>
      <c r="AT6" s="324"/>
      <c r="AU6" s="349"/>
      <c r="AV6" s="393"/>
      <c r="AW6" s="349"/>
      <c r="AX6" s="477"/>
      <c r="AY6" s="129" t="s">
        <v>116</v>
      </c>
      <c r="AZ6" s="347"/>
      <c r="BA6" s="324"/>
      <c r="BB6" s="324"/>
      <c r="BC6" s="479"/>
      <c r="BD6" s="332"/>
      <c r="BE6" s="324"/>
      <c r="BF6" s="448"/>
      <c r="BG6" s="454"/>
    </row>
    <row r="7" spans="1:59" ht="19.5" customHeight="1" thickBot="1">
      <c r="A7" s="203">
        <v>1</v>
      </c>
      <c r="B7" s="204">
        <v>2</v>
      </c>
      <c r="C7" s="204">
        <v>3</v>
      </c>
      <c r="D7" s="203">
        <v>4</v>
      </c>
      <c r="E7" s="204">
        <v>5</v>
      </c>
      <c r="F7" s="204">
        <v>6</v>
      </c>
      <c r="G7" s="203">
        <v>7</v>
      </c>
      <c r="H7" s="204">
        <v>8</v>
      </c>
      <c r="I7" s="204">
        <v>9</v>
      </c>
      <c r="J7" s="203">
        <v>10</v>
      </c>
      <c r="K7" s="204">
        <v>11</v>
      </c>
      <c r="L7" s="204">
        <v>12</v>
      </c>
      <c r="M7" s="203">
        <v>13</v>
      </c>
      <c r="N7" s="204">
        <v>14</v>
      </c>
      <c r="O7" s="204">
        <v>15</v>
      </c>
      <c r="P7" s="203">
        <v>16</v>
      </c>
      <c r="Q7" s="204">
        <v>17</v>
      </c>
      <c r="R7" s="204">
        <v>18</v>
      </c>
      <c r="S7" s="203">
        <v>19</v>
      </c>
      <c r="T7" s="204">
        <v>20</v>
      </c>
      <c r="U7" s="204">
        <v>21</v>
      </c>
      <c r="V7" s="203">
        <v>22</v>
      </c>
      <c r="W7" s="204">
        <v>23</v>
      </c>
      <c r="X7" s="203">
        <v>24</v>
      </c>
      <c r="Y7" s="204">
        <v>25</v>
      </c>
      <c r="Z7" s="203">
        <v>26</v>
      </c>
      <c r="AA7" s="204">
        <v>27</v>
      </c>
      <c r="AB7" s="203">
        <v>28</v>
      </c>
      <c r="AC7" s="204">
        <v>29</v>
      </c>
      <c r="AD7" s="203">
        <v>30</v>
      </c>
      <c r="AE7" s="203">
        <v>31</v>
      </c>
      <c r="AF7" s="204">
        <v>32</v>
      </c>
      <c r="AG7" s="203">
        <v>33</v>
      </c>
      <c r="AH7" s="204">
        <v>34</v>
      </c>
      <c r="AI7" s="203">
        <v>35</v>
      </c>
      <c r="AJ7" s="204">
        <v>36</v>
      </c>
      <c r="AK7" s="203">
        <v>37</v>
      </c>
      <c r="AL7" s="204">
        <v>38</v>
      </c>
      <c r="AM7" s="203">
        <v>39</v>
      </c>
      <c r="AN7" s="203">
        <v>40</v>
      </c>
      <c r="AO7" s="204">
        <v>41</v>
      </c>
      <c r="AP7" s="203">
        <v>42</v>
      </c>
      <c r="AQ7" s="204">
        <v>43</v>
      </c>
      <c r="AR7" s="203"/>
      <c r="AS7" s="203">
        <v>44</v>
      </c>
      <c r="AT7" s="204">
        <v>45</v>
      </c>
      <c r="AU7" s="203">
        <v>46</v>
      </c>
      <c r="AV7" s="204">
        <v>47</v>
      </c>
      <c r="AW7" s="203">
        <v>48</v>
      </c>
      <c r="AX7" s="203">
        <v>49</v>
      </c>
      <c r="AY7" s="204"/>
      <c r="AZ7" s="204">
        <v>50</v>
      </c>
      <c r="BA7" s="204">
        <v>51</v>
      </c>
      <c r="BB7" s="204">
        <v>52</v>
      </c>
      <c r="BC7" s="204">
        <v>53</v>
      </c>
      <c r="BD7" s="204">
        <v>54</v>
      </c>
      <c r="BE7" s="204"/>
      <c r="BF7" s="204">
        <v>55</v>
      </c>
      <c r="BG7" s="204">
        <v>56</v>
      </c>
    </row>
    <row r="8" spans="1:59" s="24" customFormat="1" ht="13.5" thickBot="1">
      <c r="A8" s="27" t="s">
        <v>52</v>
      </c>
      <c r="B8" s="205"/>
      <c r="C8" s="205">
        <f>Лист1!C44</f>
        <v>274364.16000000003</v>
      </c>
      <c r="D8" s="205">
        <f>Лист1!D44</f>
        <v>32801.247761600025</v>
      </c>
      <c r="E8" s="205">
        <f>Лист1!E44</f>
        <v>25253.090000000004</v>
      </c>
      <c r="F8" s="205">
        <f>Лист1!F44</f>
        <v>2500.31</v>
      </c>
      <c r="G8" s="205">
        <f>0</f>
        <v>0</v>
      </c>
      <c r="H8" s="205">
        <f>0</f>
        <v>0</v>
      </c>
      <c r="I8" s="205">
        <f>Лист1!G44</f>
        <v>34175.55</v>
      </c>
      <c r="J8" s="205">
        <f>Лист1!H44</f>
        <v>3385.2699999999995</v>
      </c>
      <c r="K8" s="205">
        <f>Лист1!K44</f>
        <v>56903.259999999995</v>
      </c>
      <c r="L8" s="205">
        <f>Лист1!L44</f>
        <v>5635.260000000001</v>
      </c>
      <c r="M8" s="205">
        <f>Лист1!I44</f>
        <v>82156.25</v>
      </c>
      <c r="N8" s="205">
        <f>Лист1!J44</f>
        <v>8135.300000000001</v>
      </c>
      <c r="O8" s="205">
        <f>Лист1!M44</f>
        <v>19694.71</v>
      </c>
      <c r="P8" s="205">
        <f>Лист1!N44</f>
        <v>1939.9099999999999</v>
      </c>
      <c r="Q8" s="205">
        <f>'[9]Лист1'!O44</f>
        <v>0</v>
      </c>
      <c r="R8" s="205">
        <f>'[9]Лист1'!P44</f>
        <v>0</v>
      </c>
      <c r="S8" s="205">
        <f>'[9]Лист1'!Q44</f>
        <v>0</v>
      </c>
      <c r="T8" s="205">
        <f>'[9]Лист1'!R44</f>
        <v>0</v>
      </c>
      <c r="U8" s="205">
        <f>Лист1!S44</f>
        <v>218182.86000000002</v>
      </c>
      <c r="V8" s="205">
        <f>Лист1!T44</f>
        <v>21596.050000000003</v>
      </c>
      <c r="W8" s="205">
        <f>Лист1!U44</f>
        <v>22339.67</v>
      </c>
      <c r="X8" s="205">
        <v>0</v>
      </c>
      <c r="Y8" s="205">
        <f>Лист1!V44</f>
        <v>30212.170000000006</v>
      </c>
      <c r="Z8" s="205">
        <f>Лист1!X44</f>
        <v>50278.59999999999</v>
      </c>
      <c r="AA8" s="205">
        <f>Лист1!W44</f>
        <v>73374.87</v>
      </c>
      <c r="AB8" s="205">
        <f>Лист1!Y44</f>
        <v>17394.280000000002</v>
      </c>
      <c r="AC8" s="205">
        <f>'[10]Лист1'!Z42</f>
        <v>0</v>
      </c>
      <c r="AD8" s="205">
        <f>'[10]Лист1'!AA42</f>
        <v>0</v>
      </c>
      <c r="AE8" s="205">
        <f>0</f>
        <v>0</v>
      </c>
      <c r="AF8" s="205">
        <f>Лист1!AB44</f>
        <v>193599.59000000003</v>
      </c>
      <c r="AG8" s="205">
        <f>Лист1!AC44</f>
        <v>247996.88776160002</v>
      </c>
      <c r="AH8" s="205">
        <f>'[11]2010 печать'!AD44</f>
        <v>0</v>
      </c>
      <c r="AI8" s="205">
        <f>'[10]Лист1'!AE42</f>
        <v>0</v>
      </c>
      <c r="AJ8" s="205">
        <f>Лист1!AF44</f>
        <v>25674.786799999994</v>
      </c>
      <c r="AK8" s="205">
        <f>Лист1!AG44</f>
        <v>18749.184</v>
      </c>
      <c r="AL8" s="205">
        <f>Лист1!AH44</f>
        <v>6282.508116</v>
      </c>
      <c r="AM8" s="205">
        <f>Лист1!AI44+Лист1!AJ44</f>
        <v>31124.372441495</v>
      </c>
      <c r="AN8" s="205">
        <v>0</v>
      </c>
      <c r="AO8" s="205">
        <f>Лист1!AK44+Лист1!AL44</f>
        <v>31043.871660065397</v>
      </c>
      <c r="AP8" s="205">
        <f>Лист1!AM44+Лист1!AN44</f>
        <v>69448.2942787196</v>
      </c>
      <c r="AQ8" s="205">
        <v>0</v>
      </c>
      <c r="AR8" s="205">
        <v>0</v>
      </c>
      <c r="AS8" s="205">
        <v>0</v>
      </c>
      <c r="AT8" s="205">
        <f>Лист1!AO44</f>
        <v>1744.2</v>
      </c>
      <c r="AU8" s="205">
        <f>Лист1!AS44+Лист1!AU44</f>
        <v>76457.809</v>
      </c>
      <c r="AV8" s="205">
        <v>0</v>
      </c>
      <c r="AW8" s="205">
        <f>Лист1!AT44</f>
        <v>40744.21000000001</v>
      </c>
      <c r="AX8" s="205">
        <f>Лист1!AQ44+Лист1!AR44</f>
        <v>0</v>
      </c>
      <c r="AY8" s="206">
        <f>Лист1!AX44</f>
        <v>7185.0232</v>
      </c>
      <c r="AZ8" s="206">
        <f>'[9]Лист1'!AY44</f>
        <v>0</v>
      </c>
      <c r="BA8" s="206">
        <f>'[12]Лист1'!AZ44</f>
        <v>0</v>
      </c>
      <c r="BB8" s="206">
        <v>0</v>
      </c>
      <c r="BC8" s="206">
        <f>Лист1!BB44</f>
        <v>282779.47269628</v>
      </c>
      <c r="BD8" s="205">
        <f>Лист1!BC44</f>
        <v>10950.611153288603</v>
      </c>
      <c r="BE8" s="205">
        <f>Лист1!BB44+Лист1!BC44</f>
        <v>293730.0838495686</v>
      </c>
      <c r="BF8" s="207">
        <f>Лист1!BE44</f>
        <v>-20058.409287968585</v>
      </c>
      <c r="BG8" s="207">
        <f>Лист1!BF44</f>
        <v>-24583.269999999997</v>
      </c>
    </row>
    <row r="9" spans="1:59" ht="12.75">
      <c r="A9" s="5" t="s">
        <v>117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9"/>
      <c r="BF9" s="207"/>
      <c r="BG9" s="210"/>
    </row>
    <row r="10" spans="1:59" ht="12.75">
      <c r="A10" s="211" t="s">
        <v>43</v>
      </c>
      <c r="B10" s="212">
        <v>1175.3</v>
      </c>
      <c r="C10" s="170">
        <f aca="true" t="shared" si="0" ref="C10:C19">B10*8.55</f>
        <v>10048.815</v>
      </c>
      <c r="D10" s="187">
        <v>235.21</v>
      </c>
      <c r="E10" s="213">
        <v>0</v>
      </c>
      <c r="F10" s="213">
        <v>0</v>
      </c>
      <c r="G10" s="214">
        <v>6198.46</v>
      </c>
      <c r="H10" s="214">
        <v>0</v>
      </c>
      <c r="I10" s="214">
        <v>0</v>
      </c>
      <c r="J10" s="214">
        <v>0</v>
      </c>
      <c r="K10" s="214">
        <v>0</v>
      </c>
      <c r="L10" s="214">
        <v>0</v>
      </c>
      <c r="M10" s="214">
        <v>2890.64</v>
      </c>
      <c r="N10" s="214">
        <v>52.71</v>
      </c>
      <c r="O10" s="215">
        <v>1002.53</v>
      </c>
      <c r="P10" s="233">
        <v>18.27</v>
      </c>
      <c r="Q10" s="217">
        <v>0</v>
      </c>
      <c r="R10" s="218">
        <v>0</v>
      </c>
      <c r="S10" s="219">
        <v>0</v>
      </c>
      <c r="T10" s="220">
        <v>0</v>
      </c>
      <c r="U10" s="221">
        <f aca="true" t="shared" si="1" ref="U10:V21">E10+G10+I10+K10+M10+O10+Q10+S10</f>
        <v>10091.630000000001</v>
      </c>
      <c r="V10" s="222">
        <f t="shared" si="1"/>
        <v>70.98</v>
      </c>
      <c r="W10" s="214">
        <v>940.83</v>
      </c>
      <c r="X10" s="214"/>
      <c r="Y10" s="214">
        <v>1274.16</v>
      </c>
      <c r="Z10" s="214">
        <v>2120.93</v>
      </c>
      <c r="AA10" s="214">
        <v>3061.79</v>
      </c>
      <c r="AB10" s="214">
        <v>752.43</v>
      </c>
      <c r="AC10" s="214">
        <v>0</v>
      </c>
      <c r="AD10" s="213">
        <v>0</v>
      </c>
      <c r="AE10" s="223">
        <v>0</v>
      </c>
      <c r="AF10" s="223">
        <f>SUM(W10:AE10)</f>
        <v>8150.14</v>
      </c>
      <c r="AG10" s="224">
        <f>AF10+V10+D10</f>
        <v>8456.33</v>
      </c>
      <c r="AH10" s="225">
        <f aca="true" t="shared" si="2" ref="AH10:AI21">AC10</f>
        <v>0</v>
      </c>
      <c r="AI10" s="225">
        <f t="shared" si="2"/>
        <v>0</v>
      </c>
      <c r="AJ10" s="226">
        <f>'[16]Т01'!$I$42+'[16]Т01'!$I$90+'[16]Т01'!$I$153</f>
        <v>1481.434</v>
      </c>
      <c r="AK10" s="227">
        <f aca="true" t="shared" si="3" ref="AK10:AK21">0.67*B10</f>
        <v>787.451</v>
      </c>
      <c r="AL10" s="227">
        <f aca="true" t="shared" si="4" ref="AL10:AL21">B10*0.2</f>
        <v>235.06</v>
      </c>
      <c r="AM10" s="227">
        <f aca="true" t="shared" si="5" ref="AM10:AM21">B10*1</f>
        <v>1175.3</v>
      </c>
      <c r="AN10" s="227">
        <f aca="true" t="shared" si="6" ref="AN10:AN21">B10*0.21</f>
        <v>246.813</v>
      </c>
      <c r="AO10" s="227">
        <f aca="true" t="shared" si="7" ref="AO10:AO21">2.02*B10</f>
        <v>2374.1059999999998</v>
      </c>
      <c r="AP10" s="227">
        <f aca="true" t="shared" si="8" ref="AP10:AP21">B10*1.03</f>
        <v>1210.559</v>
      </c>
      <c r="AQ10" s="227">
        <f aca="true" t="shared" si="9" ref="AQ10:AQ21">B10*0.75</f>
        <v>881.4749999999999</v>
      </c>
      <c r="AR10" s="227">
        <f aca="true" t="shared" si="10" ref="AR10:AR21">B10*0.75</f>
        <v>881.4749999999999</v>
      </c>
      <c r="AS10" s="227">
        <f>B10*1.15</f>
        <v>1351.5949999999998</v>
      </c>
      <c r="AT10" s="228"/>
      <c r="AU10" s="229"/>
      <c r="AV10" s="235"/>
      <c r="AW10" s="229"/>
      <c r="AX10" s="229"/>
      <c r="AY10" s="228"/>
      <c r="AZ10" s="196"/>
      <c r="BA10" s="196"/>
      <c r="BB10" s="230">
        <f>BA10*0.18</f>
        <v>0</v>
      </c>
      <c r="BC10" s="230">
        <f aca="true" t="shared" si="11" ref="BC10:BC21">SUM(AK10:BB10)</f>
        <v>9143.833999999999</v>
      </c>
      <c r="BD10" s="231">
        <f>'[16]Т01'!$R$42+'[16]Т01'!$R$90+'[16]Т01'!$R$153</f>
        <v>921.203</v>
      </c>
      <c r="BE10" s="231">
        <f>BC10+BD10</f>
        <v>10065.036999999998</v>
      </c>
      <c r="BF10" s="231">
        <f>AG10+AJ10-BE10</f>
        <v>-127.27299999999923</v>
      </c>
      <c r="BG10" s="232">
        <f>AF10-U10</f>
        <v>-1941.4900000000007</v>
      </c>
    </row>
    <row r="11" spans="1:59" ht="12.75">
      <c r="A11" s="211" t="s">
        <v>44</v>
      </c>
      <c r="B11" s="212">
        <v>1175.3</v>
      </c>
      <c r="C11" s="170">
        <f t="shared" si="0"/>
        <v>10048.815</v>
      </c>
      <c r="D11" s="187">
        <v>191.96</v>
      </c>
      <c r="E11" s="213">
        <v>0</v>
      </c>
      <c r="F11" s="213">
        <v>0</v>
      </c>
      <c r="G11" s="214">
        <v>5720.18</v>
      </c>
      <c r="H11" s="214">
        <v>0</v>
      </c>
      <c r="I11" s="214">
        <v>0</v>
      </c>
      <c r="J11" s="214">
        <v>0</v>
      </c>
      <c r="K11" s="214">
        <v>0</v>
      </c>
      <c r="L11" s="214">
        <v>0</v>
      </c>
      <c r="M11" s="214">
        <v>2897.22</v>
      </c>
      <c r="N11" s="214">
        <v>0</v>
      </c>
      <c r="O11" s="215">
        <v>1004.88</v>
      </c>
      <c r="P11" s="233">
        <v>0</v>
      </c>
      <c r="Q11" s="213">
        <v>0</v>
      </c>
      <c r="R11" s="213">
        <v>0</v>
      </c>
      <c r="S11" s="213">
        <v>0</v>
      </c>
      <c r="T11" s="214">
        <v>0</v>
      </c>
      <c r="U11" s="234">
        <f t="shared" si="1"/>
        <v>9622.279999999999</v>
      </c>
      <c r="V11" s="222">
        <f t="shared" si="1"/>
        <v>0</v>
      </c>
      <c r="W11" s="214">
        <v>63.55</v>
      </c>
      <c r="X11" s="213">
        <v>3692.34</v>
      </c>
      <c r="Y11" s="214">
        <v>86.14</v>
      </c>
      <c r="Z11" s="214">
        <v>143.38</v>
      </c>
      <c r="AA11" s="214">
        <v>2023.95</v>
      </c>
      <c r="AB11" s="214">
        <v>689.61</v>
      </c>
      <c r="AC11" s="214">
        <v>0</v>
      </c>
      <c r="AD11" s="213">
        <v>0</v>
      </c>
      <c r="AE11" s="213">
        <v>0</v>
      </c>
      <c r="AF11" s="223">
        <f>SUM(W11:AE11)</f>
        <v>6698.97</v>
      </c>
      <c r="AG11" s="224">
        <f>AF11+V11+D11</f>
        <v>6890.93</v>
      </c>
      <c r="AH11" s="225">
        <f t="shared" si="2"/>
        <v>0</v>
      </c>
      <c r="AI11" s="225">
        <f t="shared" si="2"/>
        <v>0</v>
      </c>
      <c r="AJ11" s="226">
        <f>'[16]Т02'!$J$42+'[16]Т02'!$J$90+'[16]Т02'!$J$155</f>
        <v>1481.434</v>
      </c>
      <c r="AK11" s="227">
        <f t="shared" si="3"/>
        <v>787.451</v>
      </c>
      <c r="AL11" s="227">
        <f t="shared" si="4"/>
        <v>235.06</v>
      </c>
      <c r="AM11" s="227">
        <f t="shared" si="5"/>
        <v>1175.3</v>
      </c>
      <c r="AN11" s="227">
        <f t="shared" si="6"/>
        <v>246.813</v>
      </c>
      <c r="AO11" s="227">
        <f t="shared" si="7"/>
        <v>2374.1059999999998</v>
      </c>
      <c r="AP11" s="227">
        <f t="shared" si="8"/>
        <v>1210.559</v>
      </c>
      <c r="AQ11" s="227">
        <f t="shared" si="9"/>
        <v>881.4749999999999</v>
      </c>
      <c r="AR11" s="227">
        <f t="shared" si="10"/>
        <v>881.4749999999999</v>
      </c>
      <c r="AS11" s="227">
        <f>B11*1.15</f>
        <v>1351.5949999999998</v>
      </c>
      <c r="AT11" s="227">
        <f aca="true" t="shared" si="12" ref="AT11:AT21">0.45*323</f>
        <v>145.35</v>
      </c>
      <c r="AU11" s="236">
        <v>906</v>
      </c>
      <c r="AV11" s="235"/>
      <c r="AW11" s="229"/>
      <c r="AX11" s="236">
        <f>22.56+209+15+17+8</f>
        <v>271.56</v>
      </c>
      <c r="AY11" s="228"/>
      <c r="AZ11" s="196"/>
      <c r="BA11" s="196"/>
      <c r="BB11" s="230">
        <f>BA11*0.18</f>
        <v>0</v>
      </c>
      <c r="BC11" s="230">
        <f t="shared" si="11"/>
        <v>10466.743999999999</v>
      </c>
      <c r="BD11" s="231">
        <f>'[16]Т02'!$S$42+'[16]Т02'!$S$90+'[16]Т02'!$S$154</f>
        <v>921.203</v>
      </c>
      <c r="BE11" s="231">
        <f aca="true" t="shared" si="13" ref="BE11:BE21">BC11+BD11</f>
        <v>11387.946999999998</v>
      </c>
      <c r="BF11" s="231">
        <f aca="true" t="shared" si="14" ref="BF11:BF21">AG11+AJ11-BE11</f>
        <v>-3015.5829999999987</v>
      </c>
      <c r="BG11" s="232">
        <f aca="true" t="shared" si="15" ref="BG11:BG21">AF11-U11</f>
        <v>-2923.3099999999986</v>
      </c>
    </row>
    <row r="12" spans="1:59" ht="12.75">
      <c r="A12" s="211" t="s">
        <v>45</v>
      </c>
      <c r="B12" s="212">
        <v>1175.3</v>
      </c>
      <c r="C12" s="170">
        <f t="shared" si="0"/>
        <v>10048.815</v>
      </c>
      <c r="D12" s="187">
        <v>191.96</v>
      </c>
      <c r="E12" s="213">
        <v>0</v>
      </c>
      <c r="F12" s="213">
        <v>0</v>
      </c>
      <c r="G12" s="214">
        <v>5958.94</v>
      </c>
      <c r="H12" s="214">
        <v>108.57</v>
      </c>
      <c r="I12" s="214">
        <v>0</v>
      </c>
      <c r="J12" s="214">
        <v>0</v>
      </c>
      <c r="K12" s="214">
        <v>0</v>
      </c>
      <c r="L12" s="214">
        <v>0</v>
      </c>
      <c r="M12" s="214">
        <v>2893.75</v>
      </c>
      <c r="N12" s="214">
        <v>52.71</v>
      </c>
      <c r="O12" s="215">
        <v>1003.65</v>
      </c>
      <c r="P12" s="215">
        <v>18.27</v>
      </c>
      <c r="Q12" s="238">
        <v>0</v>
      </c>
      <c r="R12" s="238">
        <v>0</v>
      </c>
      <c r="S12" s="238">
        <v>0</v>
      </c>
      <c r="T12" s="214">
        <v>0</v>
      </c>
      <c r="U12" s="214">
        <f t="shared" si="1"/>
        <v>9856.339999999998</v>
      </c>
      <c r="V12" s="239">
        <f t="shared" si="1"/>
        <v>179.55</v>
      </c>
      <c r="W12" s="240">
        <v>85.1</v>
      </c>
      <c r="X12" s="213">
        <v>5133.75</v>
      </c>
      <c r="Y12" s="214">
        <v>115.26</v>
      </c>
      <c r="Z12" s="214">
        <v>191.84</v>
      </c>
      <c r="AA12" s="214">
        <v>2674.2</v>
      </c>
      <c r="AB12" s="214">
        <v>898.77</v>
      </c>
      <c r="AC12" s="214">
        <v>0</v>
      </c>
      <c r="AD12" s="213">
        <v>0</v>
      </c>
      <c r="AE12" s="214">
        <v>0</v>
      </c>
      <c r="AF12" s="241">
        <f>SUM(W12:AE12)</f>
        <v>9098.920000000002</v>
      </c>
      <c r="AG12" s="224">
        <f>AF12+V12+D12</f>
        <v>9470.43</v>
      </c>
      <c r="AH12" s="225">
        <f t="shared" si="2"/>
        <v>0</v>
      </c>
      <c r="AI12" s="225">
        <f t="shared" si="2"/>
        <v>0</v>
      </c>
      <c r="AJ12" s="226">
        <f>'[16]Т03'!$J$42+'[16]Т03'!$J$90+'[16]Т03'!$J$155</f>
        <v>1481.434</v>
      </c>
      <c r="AK12" s="227">
        <f t="shared" si="3"/>
        <v>787.451</v>
      </c>
      <c r="AL12" s="227">
        <f t="shared" si="4"/>
        <v>235.06</v>
      </c>
      <c r="AM12" s="227">
        <f t="shared" si="5"/>
        <v>1175.3</v>
      </c>
      <c r="AN12" s="227">
        <f t="shared" si="6"/>
        <v>246.813</v>
      </c>
      <c r="AO12" s="227">
        <f t="shared" si="7"/>
        <v>2374.1059999999998</v>
      </c>
      <c r="AP12" s="227">
        <f t="shared" si="8"/>
        <v>1210.559</v>
      </c>
      <c r="AQ12" s="227">
        <f t="shared" si="9"/>
        <v>881.4749999999999</v>
      </c>
      <c r="AR12" s="227">
        <f t="shared" si="10"/>
        <v>881.4749999999999</v>
      </c>
      <c r="AS12" s="227">
        <f>B12*1.15</f>
        <v>1351.5949999999998</v>
      </c>
      <c r="AT12" s="227">
        <f t="shared" si="12"/>
        <v>145.35</v>
      </c>
      <c r="AU12" s="229"/>
      <c r="AV12" s="235"/>
      <c r="AW12" s="229"/>
      <c r="AX12" s="229"/>
      <c r="AY12" s="228"/>
      <c r="AZ12" s="196"/>
      <c r="BA12" s="196"/>
      <c r="BB12" s="230">
        <f>BA12*0.18</f>
        <v>0</v>
      </c>
      <c r="BC12" s="230">
        <f t="shared" si="11"/>
        <v>9289.184</v>
      </c>
      <c r="BD12" s="231">
        <f>'[16]Т03'!$S$42+'[16]Т03'!$S$90+'[16]Т03'!$S$155</f>
        <v>921.203</v>
      </c>
      <c r="BE12" s="231">
        <f t="shared" si="13"/>
        <v>10210.386999999999</v>
      </c>
      <c r="BF12" s="231">
        <f t="shared" si="14"/>
        <v>741.4770000000008</v>
      </c>
      <c r="BG12" s="232">
        <f t="shared" si="15"/>
        <v>-757.4199999999964</v>
      </c>
    </row>
    <row r="13" spans="1:59" ht="12.75">
      <c r="A13" s="211" t="s">
        <v>46</v>
      </c>
      <c r="B13" s="212">
        <v>1175.3</v>
      </c>
      <c r="C13" s="170">
        <f t="shared" si="0"/>
        <v>10048.815</v>
      </c>
      <c r="D13" s="187">
        <v>191.96</v>
      </c>
      <c r="E13" s="219">
        <v>0</v>
      </c>
      <c r="F13" s="213">
        <v>0</v>
      </c>
      <c r="G13" s="240">
        <v>5948.12</v>
      </c>
      <c r="H13" s="214">
        <v>108.57</v>
      </c>
      <c r="I13" s="214">
        <v>0</v>
      </c>
      <c r="J13" s="214">
        <v>0</v>
      </c>
      <c r="K13" s="214">
        <v>0</v>
      </c>
      <c r="L13" s="214">
        <v>0</v>
      </c>
      <c r="M13" s="214">
        <v>2888.43</v>
      </c>
      <c r="N13" s="214">
        <v>52.71</v>
      </c>
      <c r="O13" s="215">
        <v>1001.74</v>
      </c>
      <c r="P13" s="233">
        <v>18.27</v>
      </c>
      <c r="Q13" s="237">
        <v>0</v>
      </c>
      <c r="R13" s="216">
        <v>0</v>
      </c>
      <c r="S13" s="243">
        <v>0</v>
      </c>
      <c r="T13" s="220">
        <v>0</v>
      </c>
      <c r="U13" s="234">
        <f t="shared" si="1"/>
        <v>9838.289999999999</v>
      </c>
      <c r="V13" s="239">
        <f t="shared" si="1"/>
        <v>179.55</v>
      </c>
      <c r="W13" s="214">
        <v>-1.33</v>
      </c>
      <c r="X13" s="213">
        <v>4408.5</v>
      </c>
      <c r="Y13" s="214">
        <v>-1.8</v>
      </c>
      <c r="Z13" s="214">
        <v>-2.98</v>
      </c>
      <c r="AA13" s="214">
        <v>2167.61</v>
      </c>
      <c r="AB13" s="213">
        <v>747.34</v>
      </c>
      <c r="AC13" s="214">
        <v>0</v>
      </c>
      <c r="AD13" s="213">
        <v>0</v>
      </c>
      <c r="AE13" s="213">
        <v>0</v>
      </c>
      <c r="AF13" s="223">
        <f>SUM(W13:AD13)</f>
        <v>7317.34</v>
      </c>
      <c r="AG13" s="244">
        <f>AF13+V13+D13</f>
        <v>7688.85</v>
      </c>
      <c r="AH13" s="245">
        <f t="shared" si="2"/>
        <v>0</v>
      </c>
      <c r="AI13" s="245">
        <f t="shared" si="2"/>
        <v>0</v>
      </c>
      <c r="AJ13" s="246">
        <f>'[13]Т04'!$J$42+'[13]Т04'!$J$91+'[13]Т04'!$J$157</f>
        <v>1481.434</v>
      </c>
      <c r="AK13" s="227">
        <f t="shared" si="3"/>
        <v>787.451</v>
      </c>
      <c r="AL13" s="227">
        <f t="shared" si="4"/>
        <v>235.06</v>
      </c>
      <c r="AM13" s="227">
        <f t="shared" si="5"/>
        <v>1175.3</v>
      </c>
      <c r="AN13" s="227">
        <f t="shared" si="6"/>
        <v>246.813</v>
      </c>
      <c r="AO13" s="227">
        <f t="shared" si="7"/>
        <v>2374.1059999999998</v>
      </c>
      <c r="AP13" s="227">
        <f t="shared" si="8"/>
        <v>1210.559</v>
      </c>
      <c r="AQ13" s="227">
        <f t="shared" si="9"/>
        <v>881.4749999999999</v>
      </c>
      <c r="AR13" s="227">
        <f t="shared" si="10"/>
        <v>881.4749999999999</v>
      </c>
      <c r="AS13" s="227"/>
      <c r="AT13" s="247">
        <f t="shared" si="12"/>
        <v>145.35</v>
      </c>
      <c r="AU13" s="248"/>
      <c r="AV13" s="248"/>
      <c r="AW13" s="248"/>
      <c r="AX13" s="248">
        <f>45</f>
        <v>45</v>
      </c>
      <c r="AY13" s="228"/>
      <c r="AZ13" s="228"/>
      <c r="BA13" s="247"/>
      <c r="BB13" s="247"/>
      <c r="BC13" s="238">
        <f t="shared" si="11"/>
        <v>7982.589</v>
      </c>
      <c r="BD13" s="249">
        <f>'[16]Т04'!$S$42+'[16]Т04'!$S$91+'[16]Т04'!$S$157</f>
        <v>921.203</v>
      </c>
      <c r="BE13" s="231">
        <f t="shared" si="13"/>
        <v>8903.792</v>
      </c>
      <c r="BF13" s="231">
        <f t="shared" si="14"/>
        <v>266.4920000000002</v>
      </c>
      <c r="BG13" s="232">
        <f t="shared" si="15"/>
        <v>-2520.949999999999</v>
      </c>
    </row>
    <row r="14" spans="1:59" ht="12.75">
      <c r="A14" s="211" t="s">
        <v>47</v>
      </c>
      <c r="B14" s="250">
        <v>1175.3</v>
      </c>
      <c r="C14" s="170">
        <f t="shared" si="0"/>
        <v>10048.815</v>
      </c>
      <c r="D14" s="187">
        <v>191.96</v>
      </c>
      <c r="E14" s="251">
        <v>0</v>
      </c>
      <c r="F14" s="213">
        <v>0</v>
      </c>
      <c r="G14" s="214">
        <v>5948.12</v>
      </c>
      <c r="H14" s="214">
        <v>108.57</v>
      </c>
      <c r="I14" s="214">
        <v>0</v>
      </c>
      <c r="J14" s="214">
        <v>0</v>
      </c>
      <c r="K14" s="214">
        <v>0</v>
      </c>
      <c r="L14" s="214">
        <v>0</v>
      </c>
      <c r="M14" s="214">
        <v>2888.43</v>
      </c>
      <c r="N14" s="214">
        <v>52.71</v>
      </c>
      <c r="O14" s="215">
        <v>1001.74</v>
      </c>
      <c r="P14" s="233">
        <v>18.27</v>
      </c>
      <c r="Q14" s="238">
        <v>0</v>
      </c>
      <c r="R14" s="252">
        <v>0</v>
      </c>
      <c r="S14" s="238">
        <v>0</v>
      </c>
      <c r="T14" s="213">
        <v>0</v>
      </c>
      <c r="U14" s="219">
        <f t="shared" si="1"/>
        <v>9838.289999999999</v>
      </c>
      <c r="V14" s="253">
        <f>F14+H14+J14+L14+N14++R14+T14</f>
        <v>161.28</v>
      </c>
      <c r="W14" s="214">
        <v>1273.74</v>
      </c>
      <c r="X14" s="213">
        <v>4586.65</v>
      </c>
      <c r="Y14" s="214">
        <v>235.05</v>
      </c>
      <c r="Z14" s="214">
        <v>391.45</v>
      </c>
      <c r="AA14" s="214">
        <v>1750.5</v>
      </c>
      <c r="AB14" s="214">
        <v>827.7</v>
      </c>
      <c r="AC14" s="214">
        <v>0</v>
      </c>
      <c r="AD14" s="213">
        <v>0</v>
      </c>
      <c r="AE14" s="223">
        <v>0</v>
      </c>
      <c r="AF14" s="254">
        <f>SUM(W14:AE14)</f>
        <v>9065.09</v>
      </c>
      <c r="AG14" s="244">
        <f aca="true" t="shared" si="16" ref="AG14:AG21">D14+V14+AF14</f>
        <v>9418.33</v>
      </c>
      <c r="AH14" s="245">
        <f t="shared" si="2"/>
        <v>0</v>
      </c>
      <c r="AI14" s="245">
        <f t="shared" si="2"/>
        <v>0</v>
      </c>
      <c r="AJ14" s="246">
        <f>'[16]Т05'!$J$42+'[16]Т05'!$J$89+'[16]Т05'!$J$155</f>
        <v>1481.434</v>
      </c>
      <c r="AK14" s="227">
        <f t="shared" si="3"/>
        <v>787.451</v>
      </c>
      <c r="AL14" s="227">
        <f t="shared" si="4"/>
        <v>235.06</v>
      </c>
      <c r="AM14" s="227">
        <f t="shared" si="5"/>
        <v>1175.3</v>
      </c>
      <c r="AN14" s="227">
        <f t="shared" si="6"/>
        <v>246.813</v>
      </c>
      <c r="AO14" s="227">
        <f t="shared" si="7"/>
        <v>2374.1059999999998</v>
      </c>
      <c r="AP14" s="227">
        <f t="shared" si="8"/>
        <v>1210.559</v>
      </c>
      <c r="AQ14" s="227">
        <f t="shared" si="9"/>
        <v>881.4749999999999</v>
      </c>
      <c r="AR14" s="227">
        <f t="shared" si="10"/>
        <v>881.4749999999999</v>
      </c>
      <c r="AS14" s="227"/>
      <c r="AT14" s="247">
        <f t="shared" si="12"/>
        <v>145.35</v>
      </c>
      <c r="AU14" s="248">
        <v>817</v>
      </c>
      <c r="AV14" s="248"/>
      <c r="AW14" s="248"/>
      <c r="AX14" s="248">
        <f>34+13+273+7.98+39.83</f>
        <v>367.81</v>
      </c>
      <c r="AY14" s="228"/>
      <c r="AZ14" s="228"/>
      <c r="BA14" s="247"/>
      <c r="BB14" s="247"/>
      <c r="BC14" s="238">
        <f t="shared" si="11"/>
        <v>9122.399</v>
      </c>
      <c r="BD14" s="249">
        <f>'[16]Т05'!$S$42+'[16]Т05'!$S$89+'[16]Т05'!$S$155</f>
        <v>921.203</v>
      </c>
      <c r="BE14" s="231">
        <f t="shared" si="13"/>
        <v>10043.601999999999</v>
      </c>
      <c r="BF14" s="231">
        <f t="shared" si="14"/>
        <v>856.1620000000003</v>
      </c>
      <c r="BG14" s="232">
        <f t="shared" si="15"/>
        <v>-773.1999999999989</v>
      </c>
    </row>
    <row r="15" spans="1:59" ht="12.75">
      <c r="A15" s="211" t="s">
        <v>48</v>
      </c>
      <c r="B15" s="212">
        <v>1175.3</v>
      </c>
      <c r="C15" s="170">
        <f t="shared" si="0"/>
        <v>10048.815</v>
      </c>
      <c r="D15" s="242">
        <v>156.47</v>
      </c>
      <c r="E15" s="255">
        <v>0</v>
      </c>
      <c r="F15" s="255"/>
      <c r="G15" s="255">
        <v>5904.49</v>
      </c>
      <c r="H15" s="255">
        <v>156.13</v>
      </c>
      <c r="I15" s="256">
        <v>0</v>
      </c>
      <c r="J15" s="256"/>
      <c r="K15" s="256">
        <v>0</v>
      </c>
      <c r="L15" s="256"/>
      <c r="M15" s="256">
        <v>2867.28</v>
      </c>
      <c r="N15" s="256">
        <v>75.8</v>
      </c>
      <c r="O15" s="256">
        <v>994.42</v>
      </c>
      <c r="P15" s="256">
        <v>26.27</v>
      </c>
      <c r="Q15" s="256">
        <v>0</v>
      </c>
      <c r="R15" s="257"/>
      <c r="S15" s="257">
        <v>0</v>
      </c>
      <c r="T15" s="256"/>
      <c r="U15" s="258">
        <f t="shared" si="1"/>
        <v>9766.19</v>
      </c>
      <c r="V15" s="259">
        <f t="shared" si="1"/>
        <v>258.2</v>
      </c>
      <c r="W15" s="260">
        <v>-754.66</v>
      </c>
      <c r="X15" s="255">
        <v>5810.99</v>
      </c>
      <c r="Y15" s="255">
        <v>0</v>
      </c>
      <c r="Z15" s="255">
        <v>0</v>
      </c>
      <c r="AA15" s="255">
        <v>3064.68</v>
      </c>
      <c r="AB15" s="255">
        <v>62.86</v>
      </c>
      <c r="AC15" s="255">
        <v>0</v>
      </c>
      <c r="AD15" s="255">
        <v>0</v>
      </c>
      <c r="AE15" s="261">
        <v>0</v>
      </c>
      <c r="AF15" s="262">
        <f aca="true" t="shared" si="17" ref="AF15:AF21">SUM(W15:AE15)</f>
        <v>8183.87</v>
      </c>
      <c r="AG15" s="244">
        <f t="shared" si="16"/>
        <v>8598.539999999999</v>
      </c>
      <c r="AH15" s="245">
        <f t="shared" si="2"/>
        <v>0</v>
      </c>
      <c r="AI15" s="245">
        <f t="shared" si="2"/>
        <v>0</v>
      </c>
      <c r="AJ15" s="246">
        <f>'[16]Т06'!$J$42+'[16]Т06'!$J$89+'[16]Т06'!$J$155</f>
        <v>1481.434</v>
      </c>
      <c r="AK15" s="227">
        <f t="shared" si="3"/>
        <v>787.451</v>
      </c>
      <c r="AL15" s="227">
        <f t="shared" si="4"/>
        <v>235.06</v>
      </c>
      <c r="AM15" s="227">
        <f t="shared" si="5"/>
        <v>1175.3</v>
      </c>
      <c r="AN15" s="227">
        <f t="shared" si="6"/>
        <v>246.813</v>
      </c>
      <c r="AO15" s="227">
        <f t="shared" si="7"/>
        <v>2374.1059999999998</v>
      </c>
      <c r="AP15" s="227">
        <f t="shared" si="8"/>
        <v>1210.559</v>
      </c>
      <c r="AQ15" s="227">
        <f t="shared" si="9"/>
        <v>881.4749999999999</v>
      </c>
      <c r="AR15" s="227">
        <f t="shared" si="10"/>
        <v>881.4749999999999</v>
      </c>
      <c r="AS15" s="227"/>
      <c r="AT15" s="247">
        <f t="shared" si="12"/>
        <v>145.35</v>
      </c>
      <c r="AU15" s="248"/>
      <c r="AV15" s="248"/>
      <c r="AW15" s="248"/>
      <c r="AX15" s="248"/>
      <c r="AY15" s="227"/>
      <c r="AZ15" s="227"/>
      <c r="BA15" s="247"/>
      <c r="BB15" s="247"/>
      <c r="BC15" s="263">
        <f t="shared" si="11"/>
        <v>7937.589</v>
      </c>
      <c r="BD15" s="249">
        <f>'[16]Т06'!$S$42+'[16]Т06'!$S$89+'[16]Т06'!$S$155</f>
        <v>921.203</v>
      </c>
      <c r="BE15" s="231">
        <f t="shared" si="13"/>
        <v>8858.792</v>
      </c>
      <c r="BF15" s="231">
        <f t="shared" si="14"/>
        <v>1221.1819999999989</v>
      </c>
      <c r="BG15" s="232">
        <f t="shared" si="15"/>
        <v>-1582.3200000000006</v>
      </c>
    </row>
    <row r="16" spans="1:59" ht="12.75">
      <c r="A16" s="211" t="s">
        <v>49</v>
      </c>
      <c r="B16" s="212">
        <v>1175.3</v>
      </c>
      <c r="C16" s="170">
        <f t="shared" si="0"/>
        <v>10048.815</v>
      </c>
      <c r="D16" s="242">
        <v>156.47</v>
      </c>
      <c r="E16" s="264"/>
      <c r="F16" s="264"/>
      <c r="G16" s="264">
        <v>5891.21</v>
      </c>
      <c r="H16" s="264">
        <v>170.61</v>
      </c>
      <c r="I16" s="264"/>
      <c r="J16" s="264"/>
      <c r="K16" s="264"/>
      <c r="L16" s="264"/>
      <c r="M16" s="264">
        <v>2860.83</v>
      </c>
      <c r="N16" s="264">
        <v>82.83</v>
      </c>
      <c r="O16" s="264">
        <v>992.2</v>
      </c>
      <c r="P16" s="264">
        <v>28.71</v>
      </c>
      <c r="Q16" s="264"/>
      <c r="R16" s="264"/>
      <c r="S16" s="265"/>
      <c r="T16" s="260"/>
      <c r="U16" s="266">
        <f t="shared" si="1"/>
        <v>9744.240000000002</v>
      </c>
      <c r="V16" s="267">
        <f t="shared" si="1"/>
        <v>282.15</v>
      </c>
      <c r="W16" s="268">
        <v>0.01</v>
      </c>
      <c r="X16" s="264">
        <v>4301.62</v>
      </c>
      <c r="Y16" s="264">
        <v>929.56</v>
      </c>
      <c r="Z16" s="264">
        <v>215.64</v>
      </c>
      <c r="AA16" s="264">
        <v>2413.87</v>
      </c>
      <c r="AB16" s="264">
        <v>802.84</v>
      </c>
      <c r="AC16" s="255"/>
      <c r="AD16" s="264"/>
      <c r="AE16" s="265"/>
      <c r="AF16" s="262">
        <f t="shared" si="17"/>
        <v>8663.54</v>
      </c>
      <c r="AG16" s="269">
        <f t="shared" si="16"/>
        <v>9102.160000000002</v>
      </c>
      <c r="AH16" s="245">
        <f t="shared" si="2"/>
        <v>0</v>
      </c>
      <c r="AI16" s="245">
        <f t="shared" si="2"/>
        <v>0</v>
      </c>
      <c r="AJ16" s="246">
        <f>'[16]Т07'!$J$42+'[16]Т07'!$J$89+'[16]Т07'!$J$159</f>
        <v>1481.434</v>
      </c>
      <c r="AK16" s="227">
        <f t="shared" si="3"/>
        <v>787.451</v>
      </c>
      <c r="AL16" s="227">
        <f t="shared" si="4"/>
        <v>235.06</v>
      </c>
      <c r="AM16" s="227">
        <f t="shared" si="5"/>
        <v>1175.3</v>
      </c>
      <c r="AN16" s="227">
        <f t="shared" si="6"/>
        <v>246.813</v>
      </c>
      <c r="AO16" s="227">
        <f t="shared" si="7"/>
        <v>2374.1059999999998</v>
      </c>
      <c r="AP16" s="227">
        <f t="shared" si="8"/>
        <v>1210.559</v>
      </c>
      <c r="AQ16" s="227">
        <f t="shared" si="9"/>
        <v>881.4749999999999</v>
      </c>
      <c r="AR16" s="227">
        <f t="shared" si="10"/>
        <v>881.4749999999999</v>
      </c>
      <c r="AS16" s="227"/>
      <c r="AT16" s="247">
        <f t="shared" si="12"/>
        <v>145.35</v>
      </c>
      <c r="AU16" s="248"/>
      <c r="AV16" s="248"/>
      <c r="AW16" s="248"/>
      <c r="AX16" s="248">
        <f>111.43+9.43</f>
        <v>120.86000000000001</v>
      </c>
      <c r="AY16" s="228"/>
      <c r="AZ16" s="228"/>
      <c r="BA16" s="247"/>
      <c r="BB16" s="247"/>
      <c r="BC16" s="238">
        <f t="shared" si="11"/>
        <v>8058.449</v>
      </c>
      <c r="BD16" s="249">
        <f>'[16]Т07'!$S$42+'[16]Т07'!$S$89+'[16]Т07'!$S$159</f>
        <v>921.203</v>
      </c>
      <c r="BE16" s="231">
        <f t="shared" si="13"/>
        <v>8979.652</v>
      </c>
      <c r="BF16" s="231">
        <f t="shared" si="14"/>
        <v>1603.942000000001</v>
      </c>
      <c r="BG16" s="232">
        <f t="shared" si="15"/>
        <v>-1080.7000000000007</v>
      </c>
    </row>
    <row r="17" spans="1:59" ht="12.75">
      <c r="A17" s="211" t="s">
        <v>50</v>
      </c>
      <c r="B17" s="212">
        <v>1175.3</v>
      </c>
      <c r="C17" s="170">
        <f t="shared" si="0"/>
        <v>10048.815</v>
      </c>
      <c r="D17" s="242">
        <v>156.47</v>
      </c>
      <c r="E17" s="264"/>
      <c r="F17" s="264"/>
      <c r="G17" s="264">
        <v>5894.52</v>
      </c>
      <c r="H17" s="264">
        <v>170.61</v>
      </c>
      <c r="I17" s="264"/>
      <c r="J17" s="264"/>
      <c r="K17" s="264"/>
      <c r="L17" s="264"/>
      <c r="M17" s="264">
        <v>2858.64</v>
      </c>
      <c r="N17" s="264">
        <v>82.83</v>
      </c>
      <c r="O17" s="264">
        <v>991.85</v>
      </c>
      <c r="P17" s="264">
        <v>28.71</v>
      </c>
      <c r="Q17" s="264"/>
      <c r="R17" s="264"/>
      <c r="S17" s="265"/>
      <c r="T17" s="261"/>
      <c r="U17" s="270">
        <f t="shared" si="1"/>
        <v>9745.01</v>
      </c>
      <c r="V17" s="271">
        <f t="shared" si="1"/>
        <v>282.15</v>
      </c>
      <c r="W17" s="264">
        <v>0</v>
      </c>
      <c r="X17" s="264">
        <v>3980.38</v>
      </c>
      <c r="Y17" s="264">
        <v>148.13</v>
      </c>
      <c r="Z17" s="264">
        <v>246.57</v>
      </c>
      <c r="AA17" s="264">
        <v>2288.72</v>
      </c>
      <c r="AB17" s="264">
        <v>756.06</v>
      </c>
      <c r="AC17" s="264"/>
      <c r="AD17" s="264"/>
      <c r="AE17" s="265"/>
      <c r="AF17" s="262">
        <f t="shared" si="17"/>
        <v>7419.859999999999</v>
      </c>
      <c r="AG17" s="269">
        <f t="shared" si="16"/>
        <v>7858.479999999999</v>
      </c>
      <c r="AH17" s="245">
        <f t="shared" si="2"/>
        <v>0</v>
      </c>
      <c r="AI17" s="245">
        <f t="shared" si="2"/>
        <v>0</v>
      </c>
      <c r="AJ17" s="246">
        <f>'[16]Т08'!$J$42+'[16]Т08'!$J$89+'[16]Т08'!$J$163</f>
        <v>1481.434</v>
      </c>
      <c r="AK17" s="227">
        <f t="shared" si="3"/>
        <v>787.451</v>
      </c>
      <c r="AL17" s="227">
        <f t="shared" si="4"/>
        <v>235.06</v>
      </c>
      <c r="AM17" s="227">
        <f t="shared" si="5"/>
        <v>1175.3</v>
      </c>
      <c r="AN17" s="227">
        <f t="shared" si="6"/>
        <v>246.813</v>
      </c>
      <c r="AO17" s="227">
        <f t="shared" si="7"/>
        <v>2374.1059999999998</v>
      </c>
      <c r="AP17" s="227">
        <f t="shared" si="8"/>
        <v>1210.559</v>
      </c>
      <c r="AQ17" s="227">
        <f t="shared" si="9"/>
        <v>881.4749999999999</v>
      </c>
      <c r="AR17" s="227">
        <f t="shared" si="10"/>
        <v>881.4749999999999</v>
      </c>
      <c r="AS17" s="227"/>
      <c r="AT17" s="247">
        <f t="shared" si="12"/>
        <v>145.35</v>
      </c>
      <c r="AU17" s="248"/>
      <c r="AV17" s="248"/>
      <c r="AW17" s="248"/>
      <c r="AX17" s="248">
        <f>30.4</f>
        <v>30.4</v>
      </c>
      <c r="AY17" s="228"/>
      <c r="AZ17" s="228"/>
      <c r="BA17" s="247"/>
      <c r="BB17" s="247"/>
      <c r="BC17" s="238">
        <f t="shared" si="11"/>
        <v>7967.989</v>
      </c>
      <c r="BD17" s="249">
        <f>'[16]Т08'!$S$42+'[16]Т08'!$S$89+'[16]Т08'!$S$163</f>
        <v>921.203</v>
      </c>
      <c r="BE17" s="231">
        <f t="shared" si="13"/>
        <v>8889.192</v>
      </c>
      <c r="BF17" s="231">
        <f t="shared" si="14"/>
        <v>450.72199999999975</v>
      </c>
      <c r="BG17" s="232">
        <f t="shared" si="15"/>
        <v>-2325.1500000000015</v>
      </c>
    </row>
    <row r="18" spans="1:59" ht="12.75">
      <c r="A18" s="211" t="s">
        <v>51</v>
      </c>
      <c r="B18" s="212">
        <v>1175.3</v>
      </c>
      <c r="C18" s="170">
        <f t="shared" si="0"/>
        <v>10048.815</v>
      </c>
      <c r="D18" s="242">
        <v>156.47</v>
      </c>
      <c r="E18" s="264"/>
      <c r="F18" s="264"/>
      <c r="G18" s="264">
        <v>6202.81</v>
      </c>
      <c r="H18" s="264">
        <v>0</v>
      </c>
      <c r="I18" s="264"/>
      <c r="J18" s="264"/>
      <c r="K18" s="264"/>
      <c r="L18" s="264"/>
      <c r="M18" s="264">
        <v>3012.15</v>
      </c>
      <c r="N18" s="264">
        <v>0</v>
      </c>
      <c r="O18" s="264">
        <v>1044.74</v>
      </c>
      <c r="P18" s="264">
        <v>0</v>
      </c>
      <c r="Q18" s="264"/>
      <c r="R18" s="264"/>
      <c r="S18" s="265"/>
      <c r="T18" s="272"/>
      <c r="U18" s="272">
        <f t="shared" si="1"/>
        <v>10259.7</v>
      </c>
      <c r="V18" s="273">
        <f t="shared" si="1"/>
        <v>0</v>
      </c>
      <c r="W18" s="264">
        <v>0</v>
      </c>
      <c r="X18" s="264">
        <v>5816.59</v>
      </c>
      <c r="Y18" s="264">
        <v>100.3</v>
      </c>
      <c r="Z18" s="264">
        <v>166.95</v>
      </c>
      <c r="AA18" s="264">
        <v>3065.62</v>
      </c>
      <c r="AB18" s="264">
        <v>1037.76</v>
      </c>
      <c r="AC18" s="264"/>
      <c r="AD18" s="264"/>
      <c r="AE18" s="265"/>
      <c r="AF18" s="262">
        <f t="shared" si="17"/>
        <v>10187.22</v>
      </c>
      <c r="AG18" s="269">
        <f t="shared" si="16"/>
        <v>10343.689999999999</v>
      </c>
      <c r="AH18" s="245">
        <f t="shared" si="2"/>
        <v>0</v>
      </c>
      <c r="AI18" s="245">
        <f t="shared" si="2"/>
        <v>0</v>
      </c>
      <c r="AJ18" s="246">
        <f>'[16]Т09'!$J$42+'[16]Т09'!$J$89+'[16]Т09'!$J$163</f>
        <v>1481.434</v>
      </c>
      <c r="AK18" s="227">
        <f t="shared" si="3"/>
        <v>787.451</v>
      </c>
      <c r="AL18" s="227">
        <f t="shared" si="4"/>
        <v>235.06</v>
      </c>
      <c r="AM18" s="227">
        <f t="shared" si="5"/>
        <v>1175.3</v>
      </c>
      <c r="AN18" s="227">
        <f t="shared" si="6"/>
        <v>246.813</v>
      </c>
      <c r="AO18" s="227">
        <f t="shared" si="7"/>
        <v>2374.1059999999998</v>
      </c>
      <c r="AP18" s="227">
        <f t="shared" si="8"/>
        <v>1210.559</v>
      </c>
      <c r="AQ18" s="227">
        <f t="shared" si="9"/>
        <v>881.4749999999999</v>
      </c>
      <c r="AR18" s="227">
        <f t="shared" si="10"/>
        <v>881.4749999999999</v>
      </c>
      <c r="AS18" s="227"/>
      <c r="AT18" s="247">
        <f t="shared" si="12"/>
        <v>145.35</v>
      </c>
      <c r="AU18" s="248">
        <v>3290</v>
      </c>
      <c r="AV18" s="248"/>
      <c r="AW18" s="248">
        <v>1024</v>
      </c>
      <c r="AX18" s="274">
        <f>213.34</f>
        <v>213.34</v>
      </c>
      <c r="AY18" s="228"/>
      <c r="AZ18" s="228"/>
      <c r="BA18" s="247"/>
      <c r="BB18" s="247"/>
      <c r="BC18" s="238">
        <f t="shared" si="11"/>
        <v>12464.929</v>
      </c>
      <c r="BD18" s="249">
        <f>'[16]Т08'!$S$42+'[16]Т08'!$S$89+'[16]Т08'!$S$163</f>
        <v>921.203</v>
      </c>
      <c r="BE18" s="231">
        <f t="shared" si="13"/>
        <v>13386.132</v>
      </c>
      <c r="BF18" s="231">
        <f t="shared" si="14"/>
        <v>-1561.0080000000016</v>
      </c>
      <c r="BG18" s="232">
        <f t="shared" si="15"/>
        <v>-72.48000000000138</v>
      </c>
    </row>
    <row r="19" spans="1:59" ht="12.75">
      <c r="A19" s="211" t="s">
        <v>39</v>
      </c>
      <c r="B19" s="212">
        <v>1175.3</v>
      </c>
      <c r="C19" s="170">
        <f t="shared" si="0"/>
        <v>10048.815</v>
      </c>
      <c r="D19" s="242">
        <v>156.47</v>
      </c>
      <c r="E19" s="255"/>
      <c r="F19" s="255"/>
      <c r="G19" s="255">
        <v>5861.59</v>
      </c>
      <c r="H19" s="255">
        <v>0</v>
      </c>
      <c r="I19" s="255"/>
      <c r="J19" s="255"/>
      <c r="K19" s="255"/>
      <c r="L19" s="255"/>
      <c r="M19" s="255">
        <v>2846.5</v>
      </c>
      <c r="N19" s="255">
        <v>0</v>
      </c>
      <c r="O19" s="255">
        <v>987.31</v>
      </c>
      <c r="P19" s="255">
        <v>0</v>
      </c>
      <c r="Q19" s="255"/>
      <c r="R19" s="255"/>
      <c r="S19" s="261"/>
      <c r="T19" s="275"/>
      <c r="U19" s="276">
        <f t="shared" si="1"/>
        <v>9695.4</v>
      </c>
      <c r="V19" s="277">
        <f t="shared" si="1"/>
        <v>0</v>
      </c>
      <c r="W19" s="255">
        <v>0</v>
      </c>
      <c r="X19" s="255">
        <v>7605.64</v>
      </c>
      <c r="Y19" s="255">
        <v>0</v>
      </c>
      <c r="Z19" s="255">
        <v>0</v>
      </c>
      <c r="AA19" s="255">
        <v>3693.25</v>
      </c>
      <c r="AB19" s="255">
        <v>1280.93</v>
      </c>
      <c r="AC19" s="255"/>
      <c r="AD19" s="255"/>
      <c r="AE19" s="261"/>
      <c r="AF19" s="262">
        <f t="shared" si="17"/>
        <v>12579.82</v>
      </c>
      <c r="AG19" s="269">
        <f t="shared" si="16"/>
        <v>12736.289999999999</v>
      </c>
      <c r="AH19" s="245">
        <f t="shared" si="2"/>
        <v>0</v>
      </c>
      <c r="AI19" s="245">
        <f t="shared" si="2"/>
        <v>0</v>
      </c>
      <c r="AJ19" s="246">
        <f>'[14]Т10'!$J$42+'[14]Т10'!$J$89+'[14]Т10'!$J$163</f>
        <v>1481.434</v>
      </c>
      <c r="AK19" s="227">
        <f t="shared" si="3"/>
        <v>787.451</v>
      </c>
      <c r="AL19" s="227">
        <f t="shared" si="4"/>
        <v>235.06</v>
      </c>
      <c r="AM19" s="227">
        <f t="shared" si="5"/>
        <v>1175.3</v>
      </c>
      <c r="AN19" s="227">
        <f t="shared" si="6"/>
        <v>246.813</v>
      </c>
      <c r="AO19" s="227">
        <f t="shared" si="7"/>
        <v>2374.1059999999998</v>
      </c>
      <c r="AP19" s="227">
        <f t="shared" si="8"/>
        <v>1210.559</v>
      </c>
      <c r="AQ19" s="227">
        <f t="shared" si="9"/>
        <v>881.4749999999999</v>
      </c>
      <c r="AR19" s="227">
        <f t="shared" si="10"/>
        <v>881.4749999999999</v>
      </c>
      <c r="AS19" s="278">
        <f>B19*1.15</f>
        <v>1351.5949999999998</v>
      </c>
      <c r="AT19" s="247">
        <f t="shared" si="12"/>
        <v>145.35</v>
      </c>
      <c r="AU19" s="248"/>
      <c r="AV19" s="248"/>
      <c r="AW19" s="248"/>
      <c r="AX19" s="248"/>
      <c r="AY19" s="228"/>
      <c r="AZ19" s="228"/>
      <c r="BA19" s="247"/>
      <c r="BB19" s="247"/>
      <c r="BC19" s="238">
        <f t="shared" si="11"/>
        <v>9289.184</v>
      </c>
      <c r="BD19" s="249">
        <f>'[14]Т10'!$S$42+'[14]Т10'!$S$89+'[14]Т10'!$S$163</f>
        <v>921.203</v>
      </c>
      <c r="BE19" s="231">
        <f t="shared" si="13"/>
        <v>10210.386999999999</v>
      </c>
      <c r="BF19" s="231">
        <f t="shared" si="14"/>
        <v>4007.3369999999995</v>
      </c>
      <c r="BG19" s="232">
        <f t="shared" si="15"/>
        <v>2884.42</v>
      </c>
    </row>
    <row r="20" spans="1:59" ht="12.75">
      <c r="A20" s="211" t="s">
        <v>40</v>
      </c>
      <c r="B20" s="212">
        <v>1175.3</v>
      </c>
      <c r="C20" s="170">
        <f>B20*8.55</f>
        <v>10048.815</v>
      </c>
      <c r="D20" s="242">
        <v>156.47</v>
      </c>
      <c r="E20" s="255"/>
      <c r="F20" s="255"/>
      <c r="G20" s="255">
        <v>6032.2</v>
      </c>
      <c r="H20" s="255">
        <v>0</v>
      </c>
      <c r="I20" s="255"/>
      <c r="J20" s="255"/>
      <c r="K20" s="255"/>
      <c r="L20" s="255"/>
      <c r="M20" s="255">
        <v>2929.32</v>
      </c>
      <c r="N20" s="255">
        <v>0</v>
      </c>
      <c r="O20" s="255">
        <v>1016.03</v>
      </c>
      <c r="P20" s="255">
        <v>0</v>
      </c>
      <c r="Q20" s="255"/>
      <c r="R20" s="255"/>
      <c r="S20" s="261"/>
      <c r="T20" s="275"/>
      <c r="U20" s="276">
        <f t="shared" si="1"/>
        <v>9977.550000000001</v>
      </c>
      <c r="V20" s="277">
        <f t="shared" si="1"/>
        <v>0</v>
      </c>
      <c r="W20" s="255">
        <v>0</v>
      </c>
      <c r="X20" s="255">
        <v>5467.88</v>
      </c>
      <c r="Y20" s="255">
        <v>0</v>
      </c>
      <c r="Z20" s="255">
        <v>0</v>
      </c>
      <c r="AA20" s="255">
        <v>2655.35</v>
      </c>
      <c r="AB20" s="255">
        <v>921.08</v>
      </c>
      <c r="AC20" s="255"/>
      <c r="AD20" s="255"/>
      <c r="AE20" s="261"/>
      <c r="AF20" s="262">
        <f t="shared" si="17"/>
        <v>9044.31</v>
      </c>
      <c r="AG20" s="269">
        <f t="shared" si="16"/>
        <v>9200.779999999999</v>
      </c>
      <c r="AH20" s="245">
        <f t="shared" si="2"/>
        <v>0</v>
      </c>
      <c r="AI20" s="245">
        <f t="shared" si="2"/>
        <v>0</v>
      </c>
      <c r="AJ20" s="246">
        <f>'[14]Т11'!$J$42+'[14]Т11'!$J$89+'[14]Т11'!$J$163</f>
        <v>1481.434</v>
      </c>
      <c r="AK20" s="227">
        <f t="shared" si="3"/>
        <v>787.451</v>
      </c>
      <c r="AL20" s="227">
        <f t="shared" si="4"/>
        <v>235.06</v>
      </c>
      <c r="AM20" s="227">
        <f t="shared" si="5"/>
        <v>1175.3</v>
      </c>
      <c r="AN20" s="227">
        <f t="shared" si="6"/>
        <v>246.813</v>
      </c>
      <c r="AO20" s="227">
        <f t="shared" si="7"/>
        <v>2374.1059999999998</v>
      </c>
      <c r="AP20" s="227">
        <f t="shared" si="8"/>
        <v>1210.559</v>
      </c>
      <c r="AQ20" s="227">
        <f t="shared" si="9"/>
        <v>881.4749999999999</v>
      </c>
      <c r="AR20" s="227">
        <f t="shared" si="10"/>
        <v>881.4749999999999</v>
      </c>
      <c r="AS20" s="278">
        <f>B20*1.15</f>
        <v>1351.5949999999998</v>
      </c>
      <c r="AT20" s="247">
        <f t="shared" si="12"/>
        <v>145.35</v>
      </c>
      <c r="AU20" s="248"/>
      <c r="AV20" s="248"/>
      <c r="AW20" s="248"/>
      <c r="AX20" s="248"/>
      <c r="AY20" s="228"/>
      <c r="AZ20" s="228"/>
      <c r="BA20" s="247"/>
      <c r="BB20" s="247"/>
      <c r="BC20" s="238">
        <f t="shared" si="11"/>
        <v>9289.184</v>
      </c>
      <c r="BD20" s="249">
        <f>'[14]Т11'!$S$42+'[14]Т11'!$S$89+'[14]Т11'!$S$163</f>
        <v>921.203</v>
      </c>
      <c r="BE20" s="231">
        <f t="shared" si="13"/>
        <v>10210.386999999999</v>
      </c>
      <c r="BF20" s="231">
        <f t="shared" si="14"/>
        <v>471.8269999999993</v>
      </c>
      <c r="BG20" s="232">
        <f t="shared" si="15"/>
        <v>-933.2400000000016</v>
      </c>
    </row>
    <row r="21" spans="1:59" ht="13.5" thickBot="1">
      <c r="A21" s="211" t="s">
        <v>41</v>
      </c>
      <c r="B21" s="212">
        <v>1175.3</v>
      </c>
      <c r="C21" s="170">
        <f>B21*8.55</f>
        <v>10048.815</v>
      </c>
      <c r="D21" s="242">
        <v>156.47</v>
      </c>
      <c r="E21" s="280"/>
      <c r="F21" s="280"/>
      <c r="G21" s="280">
        <v>6032.05</v>
      </c>
      <c r="H21" s="280">
        <v>0</v>
      </c>
      <c r="I21" s="280"/>
      <c r="J21" s="280"/>
      <c r="K21" s="280"/>
      <c r="L21" s="280"/>
      <c r="M21" s="280">
        <v>2929.25</v>
      </c>
      <c r="N21" s="280">
        <v>0</v>
      </c>
      <c r="O21" s="280">
        <v>1016</v>
      </c>
      <c r="P21" s="280">
        <v>0</v>
      </c>
      <c r="Q21" s="280"/>
      <c r="R21" s="280"/>
      <c r="S21" s="281"/>
      <c r="T21" s="282"/>
      <c r="U21" s="276">
        <f t="shared" si="1"/>
        <v>9977.3</v>
      </c>
      <c r="V21" s="277">
        <f t="shared" si="1"/>
        <v>0</v>
      </c>
      <c r="W21" s="255">
        <v>0</v>
      </c>
      <c r="X21" s="255">
        <v>5746.9</v>
      </c>
      <c r="Y21" s="255">
        <v>0</v>
      </c>
      <c r="Z21" s="255">
        <v>0</v>
      </c>
      <c r="AA21" s="255">
        <v>2790.7</v>
      </c>
      <c r="AB21" s="255">
        <v>967.88</v>
      </c>
      <c r="AC21" s="255"/>
      <c r="AD21" s="255"/>
      <c r="AE21" s="261"/>
      <c r="AF21" s="262">
        <f t="shared" si="17"/>
        <v>9505.479999999998</v>
      </c>
      <c r="AG21" s="269">
        <f t="shared" si="16"/>
        <v>9661.949999999997</v>
      </c>
      <c r="AH21" s="245">
        <f t="shared" si="2"/>
        <v>0</v>
      </c>
      <c r="AI21" s="245">
        <f t="shared" si="2"/>
        <v>0</v>
      </c>
      <c r="AJ21" s="246">
        <f>'[14]Т12'!$J$42+'[14]Т12'!$J$89+'[14]Т12'!$J$187</f>
        <v>1481.434</v>
      </c>
      <c r="AK21" s="227">
        <f t="shared" si="3"/>
        <v>787.451</v>
      </c>
      <c r="AL21" s="227">
        <f t="shared" si="4"/>
        <v>235.06</v>
      </c>
      <c r="AM21" s="227">
        <f t="shared" si="5"/>
        <v>1175.3</v>
      </c>
      <c r="AN21" s="227">
        <f t="shared" si="6"/>
        <v>246.813</v>
      </c>
      <c r="AO21" s="227">
        <f t="shared" si="7"/>
        <v>2374.1059999999998</v>
      </c>
      <c r="AP21" s="227">
        <f t="shared" si="8"/>
        <v>1210.559</v>
      </c>
      <c r="AQ21" s="227">
        <f t="shared" si="9"/>
        <v>881.4749999999999</v>
      </c>
      <c r="AR21" s="227">
        <f t="shared" si="10"/>
        <v>881.4749999999999</v>
      </c>
      <c r="AS21" s="278">
        <f>B21*1.15</f>
        <v>1351.5949999999998</v>
      </c>
      <c r="AT21" s="247">
        <f t="shared" si="12"/>
        <v>145.35</v>
      </c>
      <c r="AU21" s="248"/>
      <c r="AV21" s="248">
        <v>54</v>
      </c>
      <c r="AW21" s="248"/>
      <c r="AX21" s="248">
        <f>72</f>
        <v>72</v>
      </c>
      <c r="AY21" s="228"/>
      <c r="AZ21" s="228"/>
      <c r="BA21" s="247"/>
      <c r="BB21" s="247"/>
      <c r="BC21" s="238">
        <f t="shared" si="11"/>
        <v>9415.184</v>
      </c>
      <c r="BD21" s="249">
        <f>'[14]Т12'!$S$42+'[14]Т12'!$S$89+'[14]Т12'!$S$187</f>
        <v>921.203</v>
      </c>
      <c r="BE21" s="231">
        <f t="shared" si="13"/>
        <v>10336.386999999999</v>
      </c>
      <c r="BF21" s="231">
        <f t="shared" si="14"/>
        <v>806.9969999999976</v>
      </c>
      <c r="BG21" s="232">
        <f t="shared" si="15"/>
        <v>-471.8200000000015</v>
      </c>
    </row>
    <row r="22" spans="1:59" s="24" customFormat="1" ht="13.5" thickBot="1">
      <c r="A22" s="283" t="s">
        <v>3</v>
      </c>
      <c r="B22" s="284"/>
      <c r="C22" s="285">
        <f aca="true" t="shared" si="18" ref="C22:BF22">SUM(C10:C21)</f>
        <v>120585.78000000001</v>
      </c>
      <c r="D22" s="285">
        <f t="shared" si="18"/>
        <v>2098.34</v>
      </c>
      <c r="E22" s="285">
        <f t="shared" si="18"/>
        <v>0</v>
      </c>
      <c r="F22" s="285">
        <f t="shared" si="18"/>
        <v>0</v>
      </c>
      <c r="G22" s="285">
        <f t="shared" si="18"/>
        <v>71592.68999999999</v>
      </c>
      <c r="H22" s="285">
        <f t="shared" si="18"/>
        <v>823.0600000000001</v>
      </c>
      <c r="I22" s="285">
        <f t="shared" si="18"/>
        <v>0</v>
      </c>
      <c r="J22" s="285">
        <f t="shared" si="18"/>
        <v>0</v>
      </c>
      <c r="K22" s="285">
        <f t="shared" si="18"/>
        <v>0</v>
      </c>
      <c r="L22" s="285">
        <f t="shared" si="18"/>
        <v>0</v>
      </c>
      <c r="M22" s="285">
        <f t="shared" si="18"/>
        <v>34762.44</v>
      </c>
      <c r="N22" s="285">
        <f t="shared" si="18"/>
        <v>452.29999999999995</v>
      </c>
      <c r="O22" s="285">
        <f t="shared" si="18"/>
        <v>12057.09</v>
      </c>
      <c r="P22" s="285">
        <f t="shared" si="18"/>
        <v>156.77</v>
      </c>
      <c r="Q22" s="285">
        <f t="shared" si="18"/>
        <v>0</v>
      </c>
      <c r="R22" s="285">
        <f t="shared" si="18"/>
        <v>0</v>
      </c>
      <c r="S22" s="285">
        <f t="shared" si="18"/>
        <v>0</v>
      </c>
      <c r="T22" s="285">
        <f t="shared" si="18"/>
        <v>0</v>
      </c>
      <c r="U22" s="285">
        <f t="shared" si="18"/>
        <v>118412.22</v>
      </c>
      <c r="V22" s="285">
        <f t="shared" si="18"/>
        <v>1413.8600000000001</v>
      </c>
      <c r="W22" s="285">
        <f t="shared" si="18"/>
        <v>1607.2400000000005</v>
      </c>
      <c r="X22" s="285">
        <f t="shared" si="18"/>
        <v>56551.23999999999</v>
      </c>
      <c r="Y22" s="285">
        <f t="shared" si="18"/>
        <v>2886.8</v>
      </c>
      <c r="Z22" s="285">
        <f t="shared" si="18"/>
        <v>3473.7799999999997</v>
      </c>
      <c r="AA22" s="285">
        <f t="shared" si="18"/>
        <v>31650.239999999998</v>
      </c>
      <c r="AB22" s="285">
        <f t="shared" si="18"/>
        <v>9745.26</v>
      </c>
      <c r="AC22" s="285">
        <f t="shared" si="18"/>
        <v>0</v>
      </c>
      <c r="AD22" s="285">
        <f t="shared" si="18"/>
        <v>0</v>
      </c>
      <c r="AE22" s="285">
        <f t="shared" si="18"/>
        <v>0</v>
      </c>
      <c r="AF22" s="285">
        <f t="shared" si="18"/>
        <v>105914.56000000001</v>
      </c>
      <c r="AG22" s="285">
        <f t="shared" si="18"/>
        <v>109426.76</v>
      </c>
      <c r="AH22" s="285">
        <f t="shared" si="18"/>
        <v>0</v>
      </c>
      <c r="AI22" s="285">
        <f t="shared" si="18"/>
        <v>0</v>
      </c>
      <c r="AJ22" s="285">
        <f t="shared" si="18"/>
        <v>17777.207999999995</v>
      </c>
      <c r="AK22" s="285">
        <f t="shared" si="18"/>
        <v>9449.412</v>
      </c>
      <c r="AL22" s="285">
        <f t="shared" si="18"/>
        <v>2820.72</v>
      </c>
      <c r="AM22" s="285">
        <f t="shared" si="18"/>
        <v>14103.599999999997</v>
      </c>
      <c r="AN22" s="285">
        <f t="shared" si="18"/>
        <v>2961.7560000000008</v>
      </c>
      <c r="AO22" s="285">
        <f t="shared" si="18"/>
        <v>28489.271999999997</v>
      </c>
      <c r="AP22" s="285">
        <f t="shared" si="18"/>
        <v>14526.707999999997</v>
      </c>
      <c r="AQ22" s="285">
        <f t="shared" si="18"/>
        <v>10577.700000000003</v>
      </c>
      <c r="AR22" s="285">
        <f t="shared" si="18"/>
        <v>10577.700000000003</v>
      </c>
      <c r="AS22" s="285">
        <f t="shared" si="18"/>
        <v>8109.569999999998</v>
      </c>
      <c r="AT22" s="285">
        <f t="shared" si="18"/>
        <v>1598.8499999999997</v>
      </c>
      <c r="AU22" s="285">
        <f t="shared" si="18"/>
        <v>5013</v>
      </c>
      <c r="AV22" s="285">
        <f t="shared" si="18"/>
        <v>54</v>
      </c>
      <c r="AW22" s="285">
        <f t="shared" si="18"/>
        <v>1024</v>
      </c>
      <c r="AX22" s="285">
        <f t="shared" si="18"/>
        <v>1120.97</v>
      </c>
      <c r="AY22" s="285">
        <f t="shared" si="18"/>
        <v>0</v>
      </c>
      <c r="AZ22" s="285">
        <f t="shared" si="18"/>
        <v>0</v>
      </c>
      <c r="BA22" s="285">
        <f t="shared" si="18"/>
        <v>0</v>
      </c>
      <c r="BB22" s="285">
        <f t="shared" si="18"/>
        <v>0</v>
      </c>
      <c r="BC22" s="285">
        <f t="shared" si="18"/>
        <v>110427.25799999997</v>
      </c>
      <c r="BD22" s="285">
        <f t="shared" si="18"/>
        <v>11054.435999999996</v>
      </c>
      <c r="BE22" s="285">
        <f t="shared" si="18"/>
        <v>121481.69399999999</v>
      </c>
      <c r="BF22" s="285">
        <f t="shared" si="18"/>
        <v>5722.273999999998</v>
      </c>
      <c r="BG22" s="285">
        <f>SUM(BG10:BG21)</f>
        <v>-12497.660000000002</v>
      </c>
    </row>
    <row r="23" spans="1:59" s="24" customFormat="1" ht="13.5" thickBot="1">
      <c r="A23" s="286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8"/>
      <c r="BF23" s="287"/>
      <c r="BG23" s="289"/>
    </row>
    <row r="24" spans="1:59" s="24" customFormat="1" ht="13.5" thickBot="1">
      <c r="A24" s="27" t="s">
        <v>52</v>
      </c>
      <c r="B24" s="287"/>
      <c r="C24" s="290">
        <f aca="true" t="shared" si="19" ref="C24:L24">C22+C8</f>
        <v>394949.94000000006</v>
      </c>
      <c r="D24" s="290">
        <f t="shared" si="19"/>
        <v>34899.58776160002</v>
      </c>
      <c r="E24" s="290">
        <f t="shared" si="19"/>
        <v>25253.090000000004</v>
      </c>
      <c r="F24" s="290">
        <f t="shared" si="19"/>
        <v>2500.31</v>
      </c>
      <c r="G24" s="290">
        <f t="shared" si="19"/>
        <v>71592.68999999999</v>
      </c>
      <c r="H24" s="290">
        <f t="shared" si="19"/>
        <v>823.0600000000001</v>
      </c>
      <c r="I24" s="290">
        <f t="shared" si="19"/>
        <v>34175.55</v>
      </c>
      <c r="J24" s="290">
        <f t="shared" si="19"/>
        <v>3385.2699999999995</v>
      </c>
      <c r="K24" s="290">
        <f t="shared" si="19"/>
        <v>56903.259999999995</v>
      </c>
      <c r="L24" s="290">
        <f t="shared" si="19"/>
        <v>5635.260000000001</v>
      </c>
      <c r="M24" s="290" t="e">
        <f>#REF!</f>
        <v>#REF!</v>
      </c>
      <c r="N24" s="290">
        <f aca="true" t="shared" si="20" ref="N24:BG24">N22+N8</f>
        <v>8587.6</v>
      </c>
      <c r="O24" s="290">
        <f t="shared" si="20"/>
        <v>31751.8</v>
      </c>
      <c r="P24" s="290">
        <f t="shared" si="20"/>
        <v>2096.68</v>
      </c>
      <c r="Q24" s="290">
        <f t="shared" si="20"/>
        <v>0</v>
      </c>
      <c r="R24" s="290">
        <f t="shared" si="20"/>
        <v>0</v>
      </c>
      <c r="S24" s="290">
        <f t="shared" si="20"/>
        <v>0</v>
      </c>
      <c r="T24" s="290">
        <f t="shared" si="20"/>
        <v>0</v>
      </c>
      <c r="U24" s="290">
        <f t="shared" si="20"/>
        <v>336595.08</v>
      </c>
      <c r="V24" s="290">
        <f t="shared" si="20"/>
        <v>23009.910000000003</v>
      </c>
      <c r="W24" s="290">
        <f t="shared" si="20"/>
        <v>23946.91</v>
      </c>
      <c r="X24" s="290">
        <f t="shared" si="20"/>
        <v>56551.23999999999</v>
      </c>
      <c r="Y24" s="290">
        <f t="shared" si="20"/>
        <v>33098.97000000001</v>
      </c>
      <c r="Z24" s="290">
        <f t="shared" si="20"/>
        <v>53752.37999999999</v>
      </c>
      <c r="AA24" s="290">
        <f t="shared" si="20"/>
        <v>105025.10999999999</v>
      </c>
      <c r="AB24" s="290">
        <f t="shared" si="20"/>
        <v>27139.54</v>
      </c>
      <c r="AC24" s="290">
        <f t="shared" si="20"/>
        <v>0</v>
      </c>
      <c r="AD24" s="290">
        <f t="shared" si="20"/>
        <v>0</v>
      </c>
      <c r="AE24" s="290">
        <f t="shared" si="20"/>
        <v>0</v>
      </c>
      <c r="AF24" s="290">
        <f t="shared" si="20"/>
        <v>299514.15</v>
      </c>
      <c r="AG24" s="290">
        <f t="shared" si="20"/>
        <v>357423.64776160003</v>
      </c>
      <c r="AH24" s="290">
        <f t="shared" si="20"/>
        <v>0</v>
      </c>
      <c r="AI24" s="290">
        <f t="shared" si="20"/>
        <v>0</v>
      </c>
      <c r="AJ24" s="290">
        <f t="shared" si="20"/>
        <v>43451.994799999986</v>
      </c>
      <c r="AK24" s="290">
        <f t="shared" si="20"/>
        <v>28198.596</v>
      </c>
      <c r="AL24" s="290">
        <f t="shared" si="20"/>
        <v>9103.228116</v>
      </c>
      <c r="AM24" s="290">
        <f t="shared" si="20"/>
        <v>45227.972441494996</v>
      </c>
      <c r="AN24" s="290">
        <f t="shared" si="20"/>
        <v>2961.7560000000008</v>
      </c>
      <c r="AO24" s="290">
        <f t="shared" si="20"/>
        <v>59533.1436600654</v>
      </c>
      <c r="AP24" s="290">
        <f t="shared" si="20"/>
        <v>83975.00227871959</v>
      </c>
      <c r="AQ24" s="290">
        <f t="shared" si="20"/>
        <v>10577.700000000003</v>
      </c>
      <c r="AR24" s="290">
        <f t="shared" si="20"/>
        <v>10577.700000000003</v>
      </c>
      <c r="AS24" s="290">
        <f t="shared" si="20"/>
        <v>8109.569999999998</v>
      </c>
      <c r="AT24" s="290">
        <f t="shared" si="20"/>
        <v>3343.0499999999997</v>
      </c>
      <c r="AU24" s="290">
        <f t="shared" si="20"/>
        <v>81470.809</v>
      </c>
      <c r="AV24" s="290">
        <f t="shared" si="20"/>
        <v>54</v>
      </c>
      <c r="AW24" s="291">
        <f t="shared" si="20"/>
        <v>41768.21000000001</v>
      </c>
      <c r="AX24" s="291">
        <f t="shared" si="20"/>
        <v>1120.97</v>
      </c>
      <c r="AY24" s="291">
        <f t="shared" si="20"/>
        <v>7185.0232</v>
      </c>
      <c r="AZ24" s="291">
        <f t="shared" si="20"/>
        <v>0</v>
      </c>
      <c r="BA24" s="291">
        <f t="shared" si="20"/>
        <v>0</v>
      </c>
      <c r="BB24" s="291">
        <f t="shared" si="20"/>
        <v>0</v>
      </c>
      <c r="BC24" s="291">
        <f t="shared" si="20"/>
        <v>393206.73069627996</v>
      </c>
      <c r="BD24" s="291">
        <f t="shared" si="20"/>
        <v>22005.0471532886</v>
      </c>
      <c r="BE24" s="291">
        <f t="shared" si="20"/>
        <v>415211.77784956864</v>
      </c>
      <c r="BF24" s="291">
        <f t="shared" si="20"/>
        <v>-14336.135287968587</v>
      </c>
      <c r="BG24" s="291">
        <f t="shared" si="20"/>
        <v>-37080.93</v>
      </c>
    </row>
    <row r="25" spans="1:59" ht="12.75">
      <c r="A25" s="5" t="s">
        <v>128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9"/>
      <c r="BF25" s="207"/>
      <c r="BG25" s="210"/>
    </row>
    <row r="26" spans="1:65" ht="12.75">
      <c r="A26" s="211" t="s">
        <v>43</v>
      </c>
      <c r="B26" s="212">
        <v>1175.3</v>
      </c>
      <c r="C26" s="170">
        <f aca="true" t="shared" si="21" ref="C26:C31">B26*8.55</f>
        <v>10048.815</v>
      </c>
      <c r="D26" s="279">
        <v>156.46799999999996</v>
      </c>
      <c r="E26" s="255"/>
      <c r="F26" s="255"/>
      <c r="G26" s="255">
        <v>6031.97</v>
      </c>
      <c r="H26" s="255">
        <v>0</v>
      </c>
      <c r="I26" s="255"/>
      <c r="J26" s="255"/>
      <c r="K26" s="255"/>
      <c r="L26" s="255"/>
      <c r="M26" s="255">
        <v>2929.21</v>
      </c>
      <c r="N26" s="255">
        <v>0</v>
      </c>
      <c r="O26" s="255">
        <v>1015.99</v>
      </c>
      <c r="P26" s="255">
        <v>0</v>
      </c>
      <c r="Q26" s="255"/>
      <c r="R26" s="255"/>
      <c r="S26" s="261"/>
      <c r="T26" s="282"/>
      <c r="U26" s="276">
        <f aca="true" t="shared" si="22" ref="U26:V31">E26+G26+I26+K26+M26+O26+Q26+S26</f>
        <v>9977.17</v>
      </c>
      <c r="V26" s="277">
        <f t="shared" si="22"/>
        <v>0</v>
      </c>
      <c r="W26" s="255">
        <v>0</v>
      </c>
      <c r="X26" s="255">
        <v>3761.65</v>
      </c>
      <c r="Y26" s="255">
        <v>0</v>
      </c>
      <c r="Z26" s="255">
        <v>0</v>
      </c>
      <c r="AA26" s="255">
        <v>1826.62</v>
      </c>
      <c r="AB26" s="255">
        <v>633.6</v>
      </c>
      <c r="AC26" s="255"/>
      <c r="AD26" s="255"/>
      <c r="AE26" s="261"/>
      <c r="AF26" s="262">
        <f aca="true" t="shared" si="23" ref="AF26:AF31">SUM(W26:AE26)</f>
        <v>6221.870000000001</v>
      </c>
      <c r="AG26" s="269">
        <f aca="true" t="shared" si="24" ref="AG26:AG31">D26+V26+AF26</f>
        <v>6378.338000000001</v>
      </c>
      <c r="AH26" s="245">
        <f aca="true" t="shared" si="25" ref="AH26:AI31">AC26</f>
        <v>0</v>
      </c>
      <c r="AI26" s="245">
        <f t="shared" si="25"/>
        <v>0</v>
      </c>
      <c r="AJ26" s="246">
        <f>'[17]Т01'!$J$24+'[17]Т01'!$J$63+'[17]Т01'!$J$185</f>
        <v>1829.2650000000003</v>
      </c>
      <c r="AK26" s="227">
        <f aca="true" t="shared" si="26" ref="AK26:AK31">0.67*B26</f>
        <v>787.451</v>
      </c>
      <c r="AL26" s="227">
        <f aca="true" t="shared" si="27" ref="AL26:AL31">B26*0.2</f>
        <v>235.06</v>
      </c>
      <c r="AM26" s="227">
        <f aca="true" t="shared" si="28" ref="AM26:AM31">B26*1</f>
        <v>1175.3</v>
      </c>
      <c r="AN26" s="227">
        <f aca="true" t="shared" si="29" ref="AN26:AN31">B26*0.21</f>
        <v>246.813</v>
      </c>
      <c r="AO26" s="227">
        <f aca="true" t="shared" si="30" ref="AO26:AO31">2.02*B26</f>
        <v>2374.1059999999998</v>
      </c>
      <c r="AP26" s="227">
        <f aca="true" t="shared" si="31" ref="AP26:AP31">B26*1.03</f>
        <v>1210.559</v>
      </c>
      <c r="AQ26" s="227">
        <f aca="true" t="shared" si="32" ref="AQ26:AQ31">B26*0.75</f>
        <v>881.4749999999999</v>
      </c>
      <c r="AR26" s="227">
        <f aca="true" t="shared" si="33" ref="AR26:AR31">B26*0.75</f>
        <v>881.4749999999999</v>
      </c>
      <c r="AS26" s="278">
        <f>B26*1.15</f>
        <v>1351.5949999999998</v>
      </c>
      <c r="AT26" s="247">
        <f aca="true" t="shared" si="34" ref="AT26:AT32">0.45*323</f>
        <v>145.35</v>
      </c>
      <c r="AU26" s="313"/>
      <c r="AV26" s="248"/>
      <c r="AW26" s="248"/>
      <c r="AX26" s="248"/>
      <c r="AY26" s="228"/>
      <c r="AZ26" s="228"/>
      <c r="BA26" s="228"/>
      <c r="BB26" s="247"/>
      <c r="BC26" s="263">
        <f aca="true" t="shared" si="35" ref="BC26:BC32">SUM(AK26:BB26)</f>
        <v>9289.184</v>
      </c>
      <c r="BD26" s="249">
        <f>'[17]Т01'!$S$24+'[17]Т01'!$S$63+'[17]Т01'!$S$185</f>
        <v>921.203</v>
      </c>
      <c r="BE26" s="230">
        <f>BD26+BC26</f>
        <v>10210.386999999999</v>
      </c>
      <c r="BF26" s="231">
        <f>AG26+AJ26-BE26</f>
        <v>-2002.7839999999978</v>
      </c>
      <c r="BG26" s="320">
        <f>U26-AF26</f>
        <v>3755.2999999999993</v>
      </c>
      <c r="BH26" s="198"/>
      <c r="BI26" s="198"/>
      <c r="BJ26" s="198"/>
      <c r="BK26" s="198"/>
      <c r="BL26" s="198"/>
      <c r="BM26" s="198"/>
    </row>
    <row r="27" spans="1:65" ht="12.75">
      <c r="A27" s="211" t="s">
        <v>44</v>
      </c>
      <c r="B27" s="212">
        <v>1175.3</v>
      </c>
      <c r="C27" s="170">
        <f t="shared" si="21"/>
        <v>10048.815</v>
      </c>
      <c r="D27" s="279">
        <v>156.46799999999996</v>
      </c>
      <c r="E27" s="264"/>
      <c r="F27" s="264"/>
      <c r="G27" s="264">
        <v>6031.97</v>
      </c>
      <c r="H27" s="264">
        <v>0</v>
      </c>
      <c r="I27" s="264"/>
      <c r="J27" s="264"/>
      <c r="K27" s="264"/>
      <c r="L27" s="264"/>
      <c r="M27" s="264">
        <v>2929.21</v>
      </c>
      <c r="N27" s="264">
        <v>0</v>
      </c>
      <c r="O27" s="264">
        <v>1015.99</v>
      </c>
      <c r="P27" s="264">
        <v>0</v>
      </c>
      <c r="Q27" s="264"/>
      <c r="R27" s="264"/>
      <c r="S27" s="265"/>
      <c r="T27" s="282"/>
      <c r="U27" s="276">
        <f t="shared" si="22"/>
        <v>9977.17</v>
      </c>
      <c r="V27" s="277">
        <f t="shared" si="22"/>
        <v>0</v>
      </c>
      <c r="W27" s="264">
        <v>0</v>
      </c>
      <c r="X27" s="264">
        <v>4554.37</v>
      </c>
      <c r="Y27" s="264">
        <v>0</v>
      </c>
      <c r="Z27" s="264">
        <v>0</v>
      </c>
      <c r="AA27" s="264">
        <v>2211.72</v>
      </c>
      <c r="AB27" s="264">
        <v>767.14</v>
      </c>
      <c r="AC27" s="264"/>
      <c r="AD27" s="264"/>
      <c r="AE27" s="265"/>
      <c r="AF27" s="262">
        <f t="shared" si="23"/>
        <v>7533.2300000000005</v>
      </c>
      <c r="AG27" s="269">
        <f t="shared" si="24"/>
        <v>7689.698</v>
      </c>
      <c r="AH27" s="245">
        <f t="shared" si="25"/>
        <v>0</v>
      </c>
      <c r="AI27" s="245">
        <f t="shared" si="25"/>
        <v>0</v>
      </c>
      <c r="AJ27" s="246">
        <f>'[17]Т02'!$J$62+'[17]Т02'!$J$184</f>
        <v>1202.6350000000002</v>
      </c>
      <c r="AK27" s="214">
        <f t="shared" si="26"/>
        <v>787.451</v>
      </c>
      <c r="AL27" s="227">
        <f t="shared" si="27"/>
        <v>235.06</v>
      </c>
      <c r="AM27" s="227">
        <f t="shared" si="28"/>
        <v>1175.3</v>
      </c>
      <c r="AN27" s="227">
        <f t="shared" si="29"/>
        <v>246.813</v>
      </c>
      <c r="AO27" s="227">
        <f t="shared" si="30"/>
        <v>2374.1059999999998</v>
      </c>
      <c r="AP27" s="227">
        <f t="shared" si="31"/>
        <v>1210.559</v>
      </c>
      <c r="AQ27" s="227">
        <f t="shared" si="32"/>
        <v>881.4749999999999</v>
      </c>
      <c r="AR27" s="227">
        <f t="shared" si="33"/>
        <v>881.4749999999999</v>
      </c>
      <c r="AS27" s="278">
        <f>B27*1.15</f>
        <v>1351.5949999999998</v>
      </c>
      <c r="AT27" s="247">
        <f t="shared" si="34"/>
        <v>145.35</v>
      </c>
      <c r="AU27" s="313"/>
      <c r="AV27" s="248"/>
      <c r="AW27" s="248"/>
      <c r="AX27" s="248"/>
      <c r="AY27" s="228"/>
      <c r="AZ27" s="228"/>
      <c r="BA27" s="228"/>
      <c r="BB27" s="247"/>
      <c r="BC27" s="263">
        <f t="shared" si="35"/>
        <v>9289.184</v>
      </c>
      <c r="BD27" s="249">
        <f>'[17]Т02'!$S$62+'[17]Т02'!$S$184</f>
        <v>568.417</v>
      </c>
      <c r="BE27" s="230">
        <f>BD27+BC27</f>
        <v>9857.600999999999</v>
      </c>
      <c r="BF27" s="231">
        <f>AG27+AJ27-BE27</f>
        <v>-965.2679999999982</v>
      </c>
      <c r="BG27" s="320">
        <f>U27-AF27</f>
        <v>2443.9399999999996</v>
      </c>
      <c r="BH27" s="198"/>
      <c r="BI27" s="198"/>
      <c r="BJ27" s="198"/>
      <c r="BK27" s="198"/>
      <c r="BL27" s="198"/>
      <c r="BM27" s="198"/>
    </row>
    <row r="28" spans="1:65" ht="12.75">
      <c r="A28" s="211" t="s">
        <v>45</v>
      </c>
      <c r="B28" s="212">
        <v>1175.3</v>
      </c>
      <c r="C28" s="170">
        <f t="shared" si="21"/>
        <v>10048.815</v>
      </c>
      <c r="D28" s="279">
        <v>156.46799999999996</v>
      </c>
      <c r="E28" s="264"/>
      <c r="F28" s="264"/>
      <c r="G28" s="264">
        <v>6031.03</v>
      </c>
      <c r="H28" s="264">
        <v>0</v>
      </c>
      <c r="I28" s="264"/>
      <c r="J28" s="264"/>
      <c r="K28" s="264"/>
      <c r="L28" s="264"/>
      <c r="M28" s="264">
        <v>2928.75</v>
      </c>
      <c r="N28" s="264">
        <v>0</v>
      </c>
      <c r="O28" s="264">
        <v>1015.82</v>
      </c>
      <c r="P28" s="264">
        <v>0</v>
      </c>
      <c r="Q28" s="264"/>
      <c r="R28" s="264"/>
      <c r="S28" s="265"/>
      <c r="T28" s="282"/>
      <c r="U28" s="276">
        <f t="shared" si="22"/>
        <v>9975.599999999999</v>
      </c>
      <c r="V28" s="277">
        <f t="shared" si="22"/>
        <v>0</v>
      </c>
      <c r="W28" s="255">
        <v>0</v>
      </c>
      <c r="X28" s="255">
        <v>4373.69</v>
      </c>
      <c r="Y28" s="255">
        <v>0</v>
      </c>
      <c r="Z28" s="255">
        <v>0</v>
      </c>
      <c r="AA28" s="255">
        <v>1836.85</v>
      </c>
      <c r="AB28" s="255">
        <v>637.02</v>
      </c>
      <c r="AC28" s="255"/>
      <c r="AD28" s="255"/>
      <c r="AE28" s="261"/>
      <c r="AF28" s="262">
        <f t="shared" si="23"/>
        <v>6847.5599999999995</v>
      </c>
      <c r="AG28" s="269">
        <f t="shared" si="24"/>
        <v>7004.027999999999</v>
      </c>
      <c r="AH28" s="245">
        <f t="shared" si="25"/>
        <v>0</v>
      </c>
      <c r="AI28" s="245">
        <f t="shared" si="25"/>
        <v>0</v>
      </c>
      <c r="AJ28" s="246">
        <f>'[17]Т02'!$J$62+'[17]Т02'!$J$184</f>
        <v>1202.6350000000002</v>
      </c>
      <c r="AK28" s="214">
        <f t="shared" si="26"/>
        <v>787.451</v>
      </c>
      <c r="AL28" s="227">
        <f t="shared" si="27"/>
        <v>235.06</v>
      </c>
      <c r="AM28" s="227">
        <f t="shared" si="28"/>
        <v>1175.3</v>
      </c>
      <c r="AN28" s="227">
        <f t="shared" si="29"/>
        <v>246.813</v>
      </c>
      <c r="AO28" s="227">
        <f t="shared" si="30"/>
        <v>2374.1059999999998</v>
      </c>
      <c r="AP28" s="227">
        <f t="shared" si="31"/>
        <v>1210.559</v>
      </c>
      <c r="AQ28" s="227">
        <f t="shared" si="32"/>
        <v>881.4749999999999</v>
      </c>
      <c r="AR28" s="227">
        <f t="shared" si="33"/>
        <v>881.4749999999999</v>
      </c>
      <c r="AS28" s="278">
        <f>B28*1.15</f>
        <v>1351.5949999999998</v>
      </c>
      <c r="AT28" s="247">
        <f t="shared" si="34"/>
        <v>145.35</v>
      </c>
      <c r="AU28" s="313">
        <v>2593</v>
      </c>
      <c r="AV28" s="248"/>
      <c r="AW28" s="248"/>
      <c r="AX28" s="248">
        <f>276+56.95</f>
        <v>332.95</v>
      </c>
      <c r="AY28" s="228"/>
      <c r="AZ28" s="228"/>
      <c r="BA28" s="228"/>
      <c r="BB28" s="247"/>
      <c r="BC28" s="263">
        <f t="shared" si="35"/>
        <v>12215.134</v>
      </c>
      <c r="BD28" s="249">
        <f>'[17]Т02'!$S$62+'[17]Т02'!$S$184</f>
        <v>568.417</v>
      </c>
      <c r="BE28" s="230">
        <f>BD28+BC28</f>
        <v>12783.551</v>
      </c>
      <c r="BF28" s="231">
        <f>AG28+AJ28-BE28</f>
        <v>-4576.887999999999</v>
      </c>
      <c r="BG28" s="320">
        <f>U28-AF28</f>
        <v>3128.039999999999</v>
      </c>
      <c r="BH28" s="198"/>
      <c r="BI28" s="198"/>
      <c r="BJ28" s="198"/>
      <c r="BK28" s="198"/>
      <c r="BL28" s="198"/>
      <c r="BM28" s="198"/>
    </row>
    <row r="29" spans="1:65" ht="12.75">
      <c r="A29" s="211" t="s">
        <v>46</v>
      </c>
      <c r="B29" s="212">
        <v>1175.3</v>
      </c>
      <c r="C29" s="170">
        <f t="shared" si="21"/>
        <v>10048.815</v>
      </c>
      <c r="D29" s="279">
        <v>156.46799999999996</v>
      </c>
      <c r="E29" s="264"/>
      <c r="F29" s="264"/>
      <c r="G29" s="264">
        <v>6030.26</v>
      </c>
      <c r="H29" s="264">
        <v>0</v>
      </c>
      <c r="I29" s="264"/>
      <c r="J29" s="264"/>
      <c r="K29" s="264"/>
      <c r="L29" s="264"/>
      <c r="M29" s="264">
        <v>2928.37</v>
      </c>
      <c r="N29" s="264">
        <v>0</v>
      </c>
      <c r="O29" s="264">
        <v>1015.69</v>
      </c>
      <c r="P29" s="264">
        <v>0</v>
      </c>
      <c r="Q29" s="264"/>
      <c r="R29" s="264"/>
      <c r="S29" s="265"/>
      <c r="T29" s="282"/>
      <c r="U29" s="276">
        <f t="shared" si="22"/>
        <v>9974.320000000002</v>
      </c>
      <c r="V29" s="277">
        <f t="shared" si="22"/>
        <v>0</v>
      </c>
      <c r="W29" s="280">
        <v>0</v>
      </c>
      <c r="X29" s="280">
        <v>4891.07</v>
      </c>
      <c r="Y29" s="280">
        <v>0</v>
      </c>
      <c r="Z29" s="280">
        <v>0</v>
      </c>
      <c r="AA29" s="280">
        <v>1919.78</v>
      </c>
      <c r="AB29" s="280">
        <v>665.78</v>
      </c>
      <c r="AC29" s="280"/>
      <c r="AD29" s="280"/>
      <c r="AE29" s="281"/>
      <c r="AF29" s="262">
        <f t="shared" si="23"/>
        <v>7476.629999999999</v>
      </c>
      <c r="AG29" s="269">
        <f t="shared" si="24"/>
        <v>7633.097999999999</v>
      </c>
      <c r="AH29" s="245">
        <f t="shared" si="25"/>
        <v>0</v>
      </c>
      <c r="AI29" s="245">
        <f t="shared" si="25"/>
        <v>0</v>
      </c>
      <c r="AJ29" s="246">
        <f>'[17]Т02'!$J$62+'[17]Т02'!$J$184</f>
        <v>1202.6350000000002</v>
      </c>
      <c r="AK29" s="214">
        <f t="shared" si="26"/>
        <v>787.451</v>
      </c>
      <c r="AL29" s="227">
        <f t="shared" si="27"/>
        <v>235.06</v>
      </c>
      <c r="AM29" s="227">
        <f t="shared" si="28"/>
        <v>1175.3</v>
      </c>
      <c r="AN29" s="227">
        <f t="shared" si="29"/>
        <v>246.813</v>
      </c>
      <c r="AO29" s="227">
        <f t="shared" si="30"/>
        <v>2374.1059999999998</v>
      </c>
      <c r="AP29" s="227">
        <f t="shared" si="31"/>
        <v>1210.559</v>
      </c>
      <c r="AQ29" s="227">
        <f t="shared" si="32"/>
        <v>881.4749999999999</v>
      </c>
      <c r="AR29" s="227">
        <f t="shared" si="33"/>
        <v>881.4749999999999</v>
      </c>
      <c r="AS29" s="278"/>
      <c r="AT29" s="247">
        <f t="shared" si="34"/>
        <v>145.35</v>
      </c>
      <c r="AU29" s="313"/>
      <c r="AV29" s="248"/>
      <c r="AW29" s="248"/>
      <c r="AX29" s="248"/>
      <c r="AY29" s="228"/>
      <c r="AZ29" s="228"/>
      <c r="BA29" s="228"/>
      <c r="BB29" s="247"/>
      <c r="BC29" s="263">
        <f t="shared" si="35"/>
        <v>7937.589</v>
      </c>
      <c r="BD29" s="249">
        <f>'[17]Т02'!$S$62+'[17]Т02'!$S$184</f>
        <v>568.417</v>
      </c>
      <c r="BE29" s="230">
        <f>BD29+BC29</f>
        <v>8506.006</v>
      </c>
      <c r="BF29" s="231">
        <f>AG29+AJ29-BE29</f>
        <v>329.72700000000077</v>
      </c>
      <c r="BG29" s="320">
        <f>U29-AF29</f>
        <v>2497.6900000000023</v>
      </c>
      <c r="BH29" s="198"/>
      <c r="BI29" s="198"/>
      <c r="BJ29" s="198"/>
      <c r="BK29" s="198"/>
      <c r="BL29" s="198"/>
      <c r="BM29" s="198"/>
    </row>
    <row r="30" spans="1:65" ht="12.75">
      <c r="A30" s="211" t="s">
        <v>47</v>
      </c>
      <c r="B30" s="212">
        <v>1175.3</v>
      </c>
      <c r="C30" s="170">
        <f t="shared" si="21"/>
        <v>10048.815</v>
      </c>
      <c r="D30" s="279">
        <v>156.46799999999996</v>
      </c>
      <c r="E30" s="264"/>
      <c r="F30" s="264"/>
      <c r="G30" s="264">
        <v>6036.93</v>
      </c>
      <c r="H30" s="264">
        <v>0</v>
      </c>
      <c r="I30" s="264"/>
      <c r="J30" s="264"/>
      <c r="K30" s="264"/>
      <c r="L30" s="264"/>
      <c r="M30" s="264">
        <v>2931.65</v>
      </c>
      <c r="N30" s="264">
        <v>0</v>
      </c>
      <c r="O30" s="264">
        <v>1016.85</v>
      </c>
      <c r="P30" s="264">
        <v>0</v>
      </c>
      <c r="Q30" s="264"/>
      <c r="R30" s="264"/>
      <c r="S30" s="265"/>
      <c r="T30" s="282"/>
      <c r="U30" s="276">
        <f t="shared" si="22"/>
        <v>9985.43</v>
      </c>
      <c r="V30" s="277">
        <f t="shared" si="22"/>
        <v>0</v>
      </c>
      <c r="W30" s="280">
        <v>0</v>
      </c>
      <c r="X30" s="280">
        <v>12598.89</v>
      </c>
      <c r="Y30" s="280">
        <v>0</v>
      </c>
      <c r="Z30" s="280">
        <v>0</v>
      </c>
      <c r="AA30" s="280">
        <v>2539.2</v>
      </c>
      <c r="AB30" s="280">
        <v>880.96</v>
      </c>
      <c r="AC30" s="280"/>
      <c r="AD30" s="280"/>
      <c r="AE30" s="280"/>
      <c r="AF30" s="262">
        <f t="shared" si="23"/>
        <v>16019.05</v>
      </c>
      <c r="AG30" s="269">
        <f t="shared" si="24"/>
        <v>16175.518</v>
      </c>
      <c r="AH30" s="245">
        <f t="shared" si="25"/>
        <v>0</v>
      </c>
      <c r="AI30" s="245">
        <f t="shared" si="25"/>
        <v>0</v>
      </c>
      <c r="AJ30" s="246">
        <f>'[17]Т05'!$J$61+'[17]Т05'!$J$186</f>
        <v>1202.6350000000002</v>
      </c>
      <c r="AK30" s="214">
        <f t="shared" si="26"/>
        <v>787.451</v>
      </c>
      <c r="AL30" s="227">
        <f t="shared" si="27"/>
        <v>235.06</v>
      </c>
      <c r="AM30" s="227">
        <f t="shared" si="28"/>
        <v>1175.3</v>
      </c>
      <c r="AN30" s="227">
        <f t="shared" si="29"/>
        <v>246.813</v>
      </c>
      <c r="AO30" s="227">
        <f t="shared" si="30"/>
        <v>2374.1059999999998</v>
      </c>
      <c r="AP30" s="227">
        <f t="shared" si="31"/>
        <v>1210.559</v>
      </c>
      <c r="AQ30" s="227">
        <f t="shared" si="32"/>
        <v>881.4749999999999</v>
      </c>
      <c r="AR30" s="227">
        <f t="shared" si="33"/>
        <v>881.4749999999999</v>
      </c>
      <c r="AS30" s="278"/>
      <c r="AT30" s="247">
        <f t="shared" si="34"/>
        <v>145.35</v>
      </c>
      <c r="AU30" s="313">
        <v>8971</v>
      </c>
      <c r="AV30" s="248"/>
      <c r="AW30" s="248">
        <v>517</v>
      </c>
      <c r="AX30" s="248">
        <f>1219</f>
        <v>1219</v>
      </c>
      <c r="AY30" s="228"/>
      <c r="AZ30" s="228"/>
      <c r="BA30" s="228"/>
      <c r="BB30" s="247"/>
      <c r="BC30" s="263">
        <f t="shared" si="35"/>
        <v>18644.589</v>
      </c>
      <c r="BD30" s="249">
        <f>'[17]Т05'!$S$61+'[17]Т05'!$S$186</f>
        <v>568.417</v>
      </c>
      <c r="BE30" s="230">
        <f>BD30+BC30</f>
        <v>19213.006</v>
      </c>
      <c r="BF30" s="231">
        <f>AG30+AJ30-BE30</f>
        <v>-1834.8530000000028</v>
      </c>
      <c r="BG30" s="320">
        <f>U30-AF30</f>
        <v>-6033.619999999999</v>
      </c>
      <c r="BH30" s="198"/>
      <c r="BI30" s="198"/>
      <c r="BJ30" s="198"/>
      <c r="BK30" s="198"/>
      <c r="BL30" s="198"/>
      <c r="BM30" s="198"/>
    </row>
    <row r="31" spans="1:65" ht="12.75">
      <c r="A31" s="211" t="s">
        <v>48</v>
      </c>
      <c r="B31" s="212">
        <v>1175.3</v>
      </c>
      <c r="C31" s="170">
        <f t="shared" si="21"/>
        <v>10048.815</v>
      </c>
      <c r="D31" s="279">
        <v>156.46799999999996</v>
      </c>
      <c r="E31" s="264"/>
      <c r="F31" s="264"/>
      <c r="G31" s="264">
        <v>6049.07</v>
      </c>
      <c r="H31" s="264">
        <v>0</v>
      </c>
      <c r="I31" s="264"/>
      <c r="J31" s="264"/>
      <c r="K31" s="264"/>
      <c r="L31" s="264"/>
      <c r="M31" s="264">
        <v>2937.61</v>
      </c>
      <c r="N31" s="264">
        <v>0</v>
      </c>
      <c r="O31" s="264">
        <v>1018.99</v>
      </c>
      <c r="P31" s="264">
        <v>0</v>
      </c>
      <c r="Q31" s="264"/>
      <c r="R31" s="264"/>
      <c r="S31" s="265"/>
      <c r="T31" s="282"/>
      <c r="U31" s="276">
        <f t="shared" si="22"/>
        <v>10005.67</v>
      </c>
      <c r="V31" s="277">
        <f t="shared" si="22"/>
        <v>0</v>
      </c>
      <c r="W31" s="280"/>
      <c r="X31" s="314">
        <v>5065.43</v>
      </c>
      <c r="Y31" s="280"/>
      <c r="Z31" s="280"/>
      <c r="AA31" s="314">
        <v>2265.02</v>
      </c>
      <c r="AB31" s="314">
        <v>3285.73</v>
      </c>
      <c r="AC31" s="280"/>
      <c r="AD31" s="314"/>
      <c r="AE31" s="315"/>
      <c r="AF31" s="262">
        <f t="shared" si="23"/>
        <v>10616.18</v>
      </c>
      <c r="AG31" s="269">
        <f t="shared" si="24"/>
        <v>10772.648000000001</v>
      </c>
      <c r="AH31" s="245">
        <f t="shared" si="25"/>
        <v>0</v>
      </c>
      <c r="AI31" s="245">
        <f t="shared" si="25"/>
        <v>0</v>
      </c>
      <c r="AJ31" s="246">
        <f>'[17]Т06'!$J$61+'[17]Т06'!$J$217</f>
        <v>1202.6350000000002</v>
      </c>
      <c r="AK31" s="214">
        <f t="shared" si="26"/>
        <v>787.451</v>
      </c>
      <c r="AL31" s="227">
        <f t="shared" si="27"/>
        <v>235.06</v>
      </c>
      <c r="AM31" s="227">
        <f t="shared" si="28"/>
        <v>1175.3</v>
      </c>
      <c r="AN31" s="227">
        <f t="shared" si="29"/>
        <v>246.813</v>
      </c>
      <c r="AO31" s="227">
        <f t="shared" si="30"/>
        <v>2374.1059999999998</v>
      </c>
      <c r="AP31" s="227">
        <f t="shared" si="31"/>
        <v>1210.559</v>
      </c>
      <c r="AQ31" s="227">
        <f t="shared" si="32"/>
        <v>881.4749999999999</v>
      </c>
      <c r="AR31" s="227">
        <f t="shared" si="33"/>
        <v>881.4749999999999</v>
      </c>
      <c r="AS31" s="278"/>
      <c r="AT31" s="247">
        <f t="shared" si="34"/>
        <v>145.35</v>
      </c>
      <c r="AU31" s="313"/>
      <c r="AV31" s="248"/>
      <c r="AW31" s="248"/>
      <c r="AX31" s="248">
        <f>17.1</f>
        <v>17.1</v>
      </c>
      <c r="AY31" s="228"/>
      <c r="AZ31" s="228"/>
      <c r="BA31" s="228"/>
      <c r="BB31" s="247"/>
      <c r="BC31" s="263">
        <f t="shared" si="35"/>
        <v>7954.689</v>
      </c>
      <c r="BD31" s="249">
        <f>'[17]Т06'!$S$61+'[17]Т06'!$S$217</f>
        <v>568.417</v>
      </c>
      <c r="BE31" s="230">
        <f>BD31+BC31</f>
        <v>8523.106</v>
      </c>
      <c r="BF31" s="231">
        <f>AG31+AJ31-BE31</f>
        <v>3452.1770000000015</v>
      </c>
      <c r="BG31" s="320">
        <f>U31-AF31</f>
        <v>-610.5100000000002</v>
      </c>
      <c r="BH31" s="198"/>
      <c r="BI31" s="198"/>
      <c r="BJ31" s="198"/>
      <c r="BK31" s="198"/>
      <c r="BL31" s="198"/>
      <c r="BM31" s="198"/>
    </row>
    <row r="32" spans="1:65" ht="12.75">
      <c r="A32" s="211" t="s">
        <v>49</v>
      </c>
      <c r="B32" s="212">
        <v>1175.3</v>
      </c>
      <c r="C32" s="170">
        <f>B32*9.51</f>
        <v>11177.103</v>
      </c>
      <c r="D32" s="279">
        <v>209.391</v>
      </c>
      <c r="E32" s="318"/>
      <c r="F32" s="318"/>
      <c r="G32" s="264">
        <v>11129.9</v>
      </c>
      <c r="H32" s="264">
        <v>0</v>
      </c>
      <c r="I32" s="264"/>
      <c r="J32" s="264">
        <v>0</v>
      </c>
      <c r="K32" s="264"/>
      <c r="L32" s="264">
        <v>0</v>
      </c>
      <c r="M32" s="264"/>
      <c r="N32" s="264"/>
      <c r="O32" s="265"/>
      <c r="P32" s="265"/>
      <c r="Q32" s="265"/>
      <c r="R32" s="265"/>
      <c r="S32" s="265"/>
      <c r="T32" s="282"/>
      <c r="U32" s="276">
        <f>G32+I32+K32+M32+R32</f>
        <v>11129.9</v>
      </c>
      <c r="V32" s="316">
        <f>H32+J32+L32+N32+T32</f>
        <v>0</v>
      </c>
      <c r="W32" s="255">
        <v>7485.65</v>
      </c>
      <c r="X32" s="255">
        <v>2989.38</v>
      </c>
      <c r="Y32" s="255">
        <v>1037.06</v>
      </c>
      <c r="Z32" s="255"/>
      <c r="AA32" s="255"/>
      <c r="AB32" s="255"/>
      <c r="AC32" s="255"/>
      <c r="AD32" s="255"/>
      <c r="AE32" s="261"/>
      <c r="AF32" s="262">
        <f>SUM(W32:AE32)</f>
        <v>11512.089999999998</v>
      </c>
      <c r="AG32" s="269">
        <f>D32+V32+AF32</f>
        <v>11721.480999999998</v>
      </c>
      <c r="AH32" s="317">
        <v>0</v>
      </c>
      <c r="AI32" s="245">
        <f>AD32</f>
        <v>0</v>
      </c>
      <c r="AJ32" s="246">
        <f>'[17]Т07'!$J$219+'[17]Т07'!$J$61</f>
        <v>1202.6350000000002</v>
      </c>
      <c r="AK32" s="227">
        <f>0.75*B32</f>
        <v>881.4749999999999</v>
      </c>
      <c r="AL32" s="227">
        <f>B32*0.2</f>
        <v>235.06</v>
      </c>
      <c r="AM32" s="227">
        <f>B32*1</f>
        <v>1175.3</v>
      </c>
      <c r="AN32" s="227">
        <f>B32*0.21</f>
        <v>246.813</v>
      </c>
      <c r="AO32" s="227">
        <f>2.02*B32</f>
        <v>2374.1059999999998</v>
      </c>
      <c r="AP32" s="227">
        <f>B32*1.03</f>
        <v>1210.559</v>
      </c>
      <c r="AQ32" s="227">
        <f>B32*0.75</f>
        <v>881.4749999999999</v>
      </c>
      <c r="AR32" s="227">
        <f>B32*0.75</f>
        <v>881.4749999999999</v>
      </c>
      <c r="AS32" s="278"/>
      <c r="AT32" s="247">
        <f t="shared" si="34"/>
        <v>145.35</v>
      </c>
      <c r="AU32" s="313"/>
      <c r="AV32" s="248"/>
      <c r="AW32" s="248"/>
      <c r="AX32" s="248"/>
      <c r="AY32" s="248"/>
      <c r="AZ32" s="248"/>
      <c r="BA32" s="228"/>
      <c r="BB32" s="247"/>
      <c r="BC32" s="263">
        <f t="shared" si="35"/>
        <v>8031.613000000001</v>
      </c>
      <c r="BD32" s="249">
        <f>'[17]Т07'!$S$61+'[17]Т07'!$S$219</f>
        <v>568.417</v>
      </c>
      <c r="BE32" s="230">
        <f aca="true" t="shared" si="36" ref="BE32:BE37">BD32+BC32</f>
        <v>8600.03</v>
      </c>
      <c r="BF32" s="231">
        <f aca="true" t="shared" si="37" ref="BF32:BF37">AG32+AJ32-BE32</f>
        <v>4324.0859999999975</v>
      </c>
      <c r="BG32" s="320">
        <f aca="true" t="shared" si="38" ref="BG32:BG37">U32-AF32</f>
        <v>-382.1899999999987</v>
      </c>
      <c r="BH32" s="200"/>
      <c r="BI32" s="69"/>
      <c r="BJ32" s="69"/>
      <c r="BK32" s="198"/>
      <c r="BL32" s="198"/>
      <c r="BM32" s="198"/>
    </row>
    <row r="33" spans="1:67" ht="12.75">
      <c r="A33" s="211" t="s">
        <v>50</v>
      </c>
      <c r="B33" s="212">
        <v>1177.9</v>
      </c>
      <c r="C33" s="170">
        <f>B33*9.51</f>
        <v>11201.829</v>
      </c>
      <c r="D33" s="279"/>
      <c r="E33" s="264"/>
      <c r="F33" s="264"/>
      <c r="G33" s="264">
        <v>11118.8</v>
      </c>
      <c r="H33" s="264">
        <v>0</v>
      </c>
      <c r="I33" s="264"/>
      <c r="J33" s="264"/>
      <c r="K33" s="264"/>
      <c r="L33" s="264"/>
      <c r="M33" s="264"/>
      <c r="N33" s="264">
        <v>0</v>
      </c>
      <c r="O33" s="264"/>
      <c r="P33" s="264">
        <v>0</v>
      </c>
      <c r="Q33" s="264"/>
      <c r="R33" s="264"/>
      <c r="S33" s="265"/>
      <c r="T33" s="282"/>
      <c r="U33" s="276">
        <f aca="true" t="shared" si="39" ref="U33:V37">G33+M33+O33+Q33+S33</f>
        <v>11118.8</v>
      </c>
      <c r="V33" s="316">
        <f t="shared" si="39"/>
        <v>0</v>
      </c>
      <c r="W33" s="280"/>
      <c r="X33" s="255">
        <v>9428.8</v>
      </c>
      <c r="Y33" s="280"/>
      <c r="Z33" s="280"/>
      <c r="AA33" s="255">
        <v>809.25</v>
      </c>
      <c r="AB33" s="255">
        <v>280.74</v>
      </c>
      <c r="AC33" s="280"/>
      <c r="AD33" s="255"/>
      <c r="AE33" s="261"/>
      <c r="AF33" s="262">
        <f>SUM(X33:AE33)</f>
        <v>10518.789999999999</v>
      </c>
      <c r="AG33" s="269">
        <f>D33+V33+AF33</f>
        <v>10518.789999999999</v>
      </c>
      <c r="AH33" s="317">
        <v>0</v>
      </c>
      <c r="AI33" s="245">
        <f>AD33</f>
        <v>0</v>
      </c>
      <c r="AJ33" s="246">
        <f>'[18]Т08'!$J$61+'[18]Т08'!$J$219</f>
        <v>1202.6350000000002</v>
      </c>
      <c r="AK33" s="227">
        <f>0.75*B33</f>
        <v>883.4250000000001</v>
      </c>
      <c r="AL33" s="227">
        <f>B33*0.2</f>
        <v>235.58000000000004</v>
      </c>
      <c r="AM33" s="227">
        <f>B33*1</f>
        <v>1177.9</v>
      </c>
      <c r="AN33" s="227">
        <f>B33*0.21</f>
        <v>247.359</v>
      </c>
      <c r="AO33" s="227">
        <f>2.02*B33</f>
        <v>2379.358</v>
      </c>
      <c r="AP33" s="227">
        <f>B33*1.03</f>
        <v>1213.237</v>
      </c>
      <c r="AQ33" s="227">
        <f>B33*0.75</f>
        <v>883.4250000000001</v>
      </c>
      <c r="AR33" s="227">
        <f>B33*0.75</f>
        <v>883.4250000000001</v>
      </c>
      <c r="AS33" s="278"/>
      <c r="AT33" s="247">
        <f>0.45*323</f>
        <v>145.35</v>
      </c>
      <c r="AU33" s="313"/>
      <c r="AV33" s="248"/>
      <c r="AW33" s="248"/>
      <c r="AX33" s="248">
        <f>35.68</f>
        <v>35.68</v>
      </c>
      <c r="AY33" s="248"/>
      <c r="AZ33" s="248"/>
      <c r="BA33" s="228"/>
      <c r="BB33" s="247"/>
      <c r="BC33" s="263">
        <f>SUM(AK33:BB33)</f>
        <v>8084.739000000001</v>
      </c>
      <c r="BD33" s="249">
        <f>'[18]Т08'!$S$61+'[18]Т08'!$S$219</f>
        <v>568.417</v>
      </c>
      <c r="BE33" s="230">
        <f t="shared" si="36"/>
        <v>8653.156</v>
      </c>
      <c r="BF33" s="231">
        <f t="shared" si="37"/>
        <v>3068.2689999999984</v>
      </c>
      <c r="BG33" s="320">
        <f t="shared" si="38"/>
        <v>600.0100000000002</v>
      </c>
      <c r="BH33" s="200"/>
      <c r="BI33" s="200"/>
      <c r="BJ33" s="200"/>
      <c r="BK33" s="69"/>
      <c r="BL33" s="69"/>
      <c r="BM33" s="198"/>
      <c r="BN33" s="198"/>
      <c r="BO33" s="198"/>
    </row>
    <row r="34" spans="1:67" ht="12.75">
      <c r="A34" s="211" t="s">
        <v>51</v>
      </c>
      <c r="B34" s="212">
        <v>1177.9</v>
      </c>
      <c r="C34" s="170">
        <f>B34*9.51</f>
        <v>11201.829</v>
      </c>
      <c r="D34" s="279"/>
      <c r="E34" s="264"/>
      <c r="F34" s="264"/>
      <c r="G34" s="264">
        <v>11126.6</v>
      </c>
      <c r="H34" s="264">
        <v>0</v>
      </c>
      <c r="I34" s="264"/>
      <c r="J34" s="264"/>
      <c r="K34" s="264"/>
      <c r="L34" s="264"/>
      <c r="M34" s="264"/>
      <c r="N34" s="264">
        <v>0</v>
      </c>
      <c r="O34" s="264"/>
      <c r="P34" s="264">
        <v>0</v>
      </c>
      <c r="Q34" s="264"/>
      <c r="R34" s="264"/>
      <c r="S34" s="265"/>
      <c r="T34" s="282"/>
      <c r="U34" s="276">
        <f t="shared" si="39"/>
        <v>11126.6</v>
      </c>
      <c r="V34" s="316">
        <f t="shared" si="39"/>
        <v>0</v>
      </c>
      <c r="W34" s="280"/>
      <c r="X34" s="255">
        <v>9358.66</v>
      </c>
      <c r="Y34" s="280"/>
      <c r="Z34" s="280"/>
      <c r="AA34" s="255">
        <v>384.62</v>
      </c>
      <c r="AB34" s="255">
        <v>133.54</v>
      </c>
      <c r="AC34" s="280"/>
      <c r="AD34" s="255"/>
      <c r="AE34" s="261"/>
      <c r="AF34" s="262">
        <f>SUM(X34:AE34)</f>
        <v>9876.820000000002</v>
      </c>
      <c r="AG34" s="269">
        <f>D34+V34+AF34</f>
        <v>9876.820000000002</v>
      </c>
      <c r="AH34" s="317">
        <v>0</v>
      </c>
      <c r="AI34" s="245">
        <f>AD34</f>
        <v>0</v>
      </c>
      <c r="AJ34" s="246">
        <f>'[18]Т09'!$J$61+'[18]Т09'!$J$219</f>
        <v>1202.6350000000002</v>
      </c>
      <c r="AK34" s="227">
        <f>0.75*B34</f>
        <v>883.4250000000001</v>
      </c>
      <c r="AL34" s="227">
        <f>B34*0.2</f>
        <v>235.58000000000004</v>
      </c>
      <c r="AM34" s="227">
        <f>B34*1</f>
        <v>1177.9</v>
      </c>
      <c r="AN34" s="227">
        <f>B34*0.21</f>
        <v>247.359</v>
      </c>
      <c r="AO34" s="227">
        <f>2.02*B34</f>
        <v>2379.358</v>
      </c>
      <c r="AP34" s="227">
        <f>B34*1.03</f>
        <v>1213.237</v>
      </c>
      <c r="AQ34" s="227">
        <f>B34*0.75</f>
        <v>883.4250000000001</v>
      </c>
      <c r="AR34" s="227">
        <f>B34*0.75</f>
        <v>883.4250000000001</v>
      </c>
      <c r="AS34" s="278"/>
      <c r="AT34" s="247">
        <f>0.45*323</f>
        <v>145.35</v>
      </c>
      <c r="AU34" s="313"/>
      <c r="AV34" s="248"/>
      <c r="AW34" s="248">
        <v>374</v>
      </c>
      <c r="AX34" s="248">
        <f>362.86</f>
        <v>362.86</v>
      </c>
      <c r="AY34" s="248"/>
      <c r="AZ34" s="248"/>
      <c r="BA34" s="228"/>
      <c r="BB34" s="247"/>
      <c r="BC34" s="263">
        <f>SUM(AK34:BB34)</f>
        <v>8785.919000000002</v>
      </c>
      <c r="BD34" s="249">
        <f>'[18]Т09'!$S$61+'[18]Т09'!$S$219</f>
        <v>568.417</v>
      </c>
      <c r="BE34" s="230">
        <f t="shared" si="36"/>
        <v>9354.336000000001</v>
      </c>
      <c r="BF34" s="231">
        <f t="shared" si="37"/>
        <v>1725.1190000000006</v>
      </c>
      <c r="BG34" s="320">
        <f t="shared" si="38"/>
        <v>1249.7799999999988</v>
      </c>
      <c r="BH34" s="200"/>
      <c r="BI34" s="200"/>
      <c r="BJ34" s="200"/>
      <c r="BK34" s="69"/>
      <c r="BL34" s="69"/>
      <c r="BM34" s="198"/>
      <c r="BN34" s="198"/>
      <c r="BO34" s="198"/>
    </row>
    <row r="35" spans="1:67" ht="12.75">
      <c r="A35" s="211" t="s">
        <v>39</v>
      </c>
      <c r="B35" s="212">
        <v>1177.9</v>
      </c>
      <c r="C35" s="170">
        <f>B35*9.51</f>
        <v>11201.829</v>
      </c>
      <c r="D35" s="279"/>
      <c r="E35" s="264"/>
      <c r="F35" s="264"/>
      <c r="G35" s="264">
        <v>11129.08</v>
      </c>
      <c r="H35" s="264">
        <v>0</v>
      </c>
      <c r="I35" s="264"/>
      <c r="J35" s="264"/>
      <c r="K35" s="264"/>
      <c r="L35" s="264"/>
      <c r="M35" s="264"/>
      <c r="N35" s="264">
        <v>0</v>
      </c>
      <c r="O35" s="264"/>
      <c r="P35" s="264">
        <v>0</v>
      </c>
      <c r="Q35" s="264"/>
      <c r="R35" s="264"/>
      <c r="S35" s="265"/>
      <c r="T35" s="282"/>
      <c r="U35" s="276">
        <f t="shared" si="39"/>
        <v>11129.08</v>
      </c>
      <c r="V35" s="316">
        <f t="shared" si="39"/>
        <v>0</v>
      </c>
      <c r="W35" s="280"/>
      <c r="X35" s="255">
        <v>12504.25</v>
      </c>
      <c r="Y35" s="280"/>
      <c r="Z35" s="280"/>
      <c r="AA35" s="255">
        <v>2763.12</v>
      </c>
      <c r="AB35" s="255">
        <v>32.36</v>
      </c>
      <c r="AC35" s="280"/>
      <c r="AD35" s="255"/>
      <c r="AE35" s="261"/>
      <c r="AF35" s="262">
        <f>SUM(X35:AE35)</f>
        <v>15299.73</v>
      </c>
      <c r="AG35" s="269">
        <f>D35+V35+AF35</f>
        <v>15299.73</v>
      </c>
      <c r="AH35" s="317">
        <v>0</v>
      </c>
      <c r="AI35" s="245">
        <f>AD35</f>
        <v>0</v>
      </c>
      <c r="AJ35" s="246">
        <f>'[18]Т10'!$J$61+'[18]Т10'!$J$218</f>
        <v>1202.6350000000002</v>
      </c>
      <c r="AK35" s="227">
        <f>0.75*B35</f>
        <v>883.4250000000001</v>
      </c>
      <c r="AL35" s="227">
        <f>B35*0.2</f>
        <v>235.58000000000004</v>
      </c>
      <c r="AM35" s="227">
        <f>B35*1</f>
        <v>1177.9</v>
      </c>
      <c r="AN35" s="227">
        <f>B35*0.21</f>
        <v>247.359</v>
      </c>
      <c r="AO35" s="227">
        <f>2.02*B35</f>
        <v>2379.358</v>
      </c>
      <c r="AP35" s="227">
        <f>B35*1.03</f>
        <v>1213.237</v>
      </c>
      <c r="AQ35" s="227">
        <f>B35*0.75</f>
        <v>883.4250000000001</v>
      </c>
      <c r="AR35" s="227">
        <f>B35*0.75</f>
        <v>883.4250000000001</v>
      </c>
      <c r="AS35" s="278">
        <f>B35*1.15</f>
        <v>1354.585</v>
      </c>
      <c r="AT35" s="247">
        <f>0.45*323</f>
        <v>145.35</v>
      </c>
      <c r="AU35" s="510"/>
      <c r="AV35" s="248"/>
      <c r="AW35" s="248"/>
      <c r="AX35" s="248">
        <f>405.9+27</f>
        <v>432.9</v>
      </c>
      <c r="AY35" s="248"/>
      <c r="AZ35" s="248"/>
      <c r="BA35" s="228"/>
      <c r="BB35" s="247"/>
      <c r="BC35" s="263">
        <f>SUM(AK35:BB35)</f>
        <v>9836.544000000002</v>
      </c>
      <c r="BD35" s="249">
        <f>'[18]Т10'!$S$61+'[18]Т10'!$S$218</f>
        <v>568.417</v>
      </c>
      <c r="BE35" s="230">
        <f t="shared" si="36"/>
        <v>10404.961000000001</v>
      </c>
      <c r="BF35" s="231">
        <f t="shared" si="37"/>
        <v>6097.403999999997</v>
      </c>
      <c r="BG35" s="320">
        <f t="shared" si="38"/>
        <v>-4170.65</v>
      </c>
      <c r="BH35" s="200"/>
      <c r="BI35" s="200"/>
      <c r="BJ35" s="200"/>
      <c r="BK35" s="69"/>
      <c r="BL35" s="69"/>
      <c r="BM35" s="198"/>
      <c r="BN35" s="198"/>
      <c r="BO35" s="198"/>
    </row>
    <row r="36" spans="1:67" ht="12.75">
      <c r="A36" s="211" t="s">
        <v>40</v>
      </c>
      <c r="B36" s="511">
        <v>1177.9</v>
      </c>
      <c r="C36" s="170">
        <f>B36*9.51</f>
        <v>11201.829</v>
      </c>
      <c r="D36" s="279"/>
      <c r="E36" s="264"/>
      <c r="F36" s="264"/>
      <c r="G36" s="255">
        <v>11129.08</v>
      </c>
      <c r="H36" s="255">
        <v>0</v>
      </c>
      <c r="I36" s="264"/>
      <c r="J36" s="264"/>
      <c r="K36" s="264"/>
      <c r="L36" s="264"/>
      <c r="M36" s="255"/>
      <c r="N36" s="255">
        <v>0</v>
      </c>
      <c r="O36" s="255"/>
      <c r="P36" s="255">
        <v>0</v>
      </c>
      <c r="Q36" s="255"/>
      <c r="R36" s="255"/>
      <c r="S36" s="261"/>
      <c r="T36" s="282"/>
      <c r="U36" s="276">
        <f t="shared" si="39"/>
        <v>11129.08</v>
      </c>
      <c r="V36" s="316">
        <f t="shared" si="39"/>
        <v>0</v>
      </c>
      <c r="W36" s="280"/>
      <c r="X36" s="255">
        <v>10521.1</v>
      </c>
      <c r="Y36" s="280"/>
      <c r="Z36" s="280"/>
      <c r="AA36" s="255">
        <v>465.08</v>
      </c>
      <c r="AB36" s="255">
        <v>218.19</v>
      </c>
      <c r="AC36" s="280"/>
      <c r="AD36" s="255"/>
      <c r="AE36" s="261"/>
      <c r="AF36" s="262">
        <f>SUM(X36:AE36)</f>
        <v>11204.37</v>
      </c>
      <c r="AG36" s="269">
        <f>D36+V36+AF36</f>
        <v>11204.37</v>
      </c>
      <c r="AH36" s="317">
        <v>0</v>
      </c>
      <c r="AI36" s="245">
        <f>AD36</f>
        <v>0</v>
      </c>
      <c r="AJ36" s="246">
        <f>'[18]Т11'!$J$61+'[18]Т11'!$J$220</f>
        <v>1202.6350000000002</v>
      </c>
      <c r="AK36" s="227">
        <f>0.75*B36</f>
        <v>883.4250000000001</v>
      </c>
      <c r="AL36" s="227">
        <f>B36*0.2</f>
        <v>235.58000000000004</v>
      </c>
      <c r="AM36" s="227">
        <f>B36*1</f>
        <v>1177.9</v>
      </c>
      <c r="AN36" s="227">
        <f>B36*0.21</f>
        <v>247.359</v>
      </c>
      <c r="AO36" s="227">
        <f>2.02*B36</f>
        <v>2379.358</v>
      </c>
      <c r="AP36" s="227">
        <f>B36*1.03</f>
        <v>1213.237</v>
      </c>
      <c r="AQ36" s="227">
        <f>B36*0.75</f>
        <v>883.4250000000001</v>
      </c>
      <c r="AR36" s="227">
        <f>B36*0.75</f>
        <v>883.4250000000001</v>
      </c>
      <c r="AS36" s="278">
        <f>B36*1.15</f>
        <v>1354.585</v>
      </c>
      <c r="AT36" s="247">
        <f>0.45*323</f>
        <v>145.35</v>
      </c>
      <c r="AU36" s="313"/>
      <c r="AV36" s="248"/>
      <c r="AW36" s="248"/>
      <c r="AX36" s="248"/>
      <c r="AY36" s="248"/>
      <c r="AZ36" s="248"/>
      <c r="BA36" s="228"/>
      <c r="BB36" s="247"/>
      <c r="BC36" s="263">
        <f>SUM(AK36:BB36)</f>
        <v>9403.644000000002</v>
      </c>
      <c r="BD36" s="249">
        <f>'[18]Т11'!$S$61+'[18]Т11'!$S$220</f>
        <v>568.417</v>
      </c>
      <c r="BE36" s="230">
        <f t="shared" si="36"/>
        <v>9972.061000000002</v>
      </c>
      <c r="BF36" s="231">
        <f t="shared" si="37"/>
        <v>2434.9439999999995</v>
      </c>
      <c r="BG36" s="320">
        <f t="shared" si="38"/>
        <v>-75.29000000000087</v>
      </c>
      <c r="BH36" s="200"/>
      <c r="BI36" s="200"/>
      <c r="BJ36" s="200"/>
      <c r="BK36" s="69"/>
      <c r="BL36" s="69"/>
      <c r="BM36" s="198"/>
      <c r="BN36" s="198"/>
      <c r="BO36" s="198"/>
    </row>
    <row r="37" spans="1:67" ht="13.5" thickBot="1">
      <c r="A37" s="211" t="s">
        <v>41</v>
      </c>
      <c r="B37" s="511">
        <v>1177.9</v>
      </c>
      <c r="C37" s="170">
        <f>B37*9.51</f>
        <v>11201.829</v>
      </c>
      <c r="D37" s="279"/>
      <c r="E37" s="255"/>
      <c r="F37" s="255"/>
      <c r="G37" s="255">
        <v>11129.08</v>
      </c>
      <c r="H37" s="255">
        <v>0</v>
      </c>
      <c r="I37" s="255"/>
      <c r="J37" s="255"/>
      <c r="K37" s="255"/>
      <c r="L37" s="255"/>
      <c r="M37" s="255"/>
      <c r="N37" s="255">
        <v>0</v>
      </c>
      <c r="O37" s="255"/>
      <c r="P37" s="255">
        <v>0</v>
      </c>
      <c r="Q37" s="255"/>
      <c r="R37" s="255"/>
      <c r="S37" s="261"/>
      <c r="T37" s="282"/>
      <c r="U37" s="276">
        <f t="shared" si="39"/>
        <v>11129.08</v>
      </c>
      <c r="V37" s="316">
        <f t="shared" si="39"/>
        <v>0</v>
      </c>
      <c r="W37" s="280"/>
      <c r="X37" s="255">
        <v>18993.3</v>
      </c>
      <c r="Y37" s="255"/>
      <c r="Z37" s="255"/>
      <c r="AA37" s="255">
        <v>1252.91</v>
      </c>
      <c r="AB37" s="255">
        <v>399.8</v>
      </c>
      <c r="AC37" s="255"/>
      <c r="AD37" s="255"/>
      <c r="AE37" s="261"/>
      <c r="AF37" s="262">
        <f>SUM(X37:AE37)</f>
        <v>20646.01</v>
      </c>
      <c r="AG37" s="269">
        <f>D37+V37+AF37</f>
        <v>20646.01</v>
      </c>
      <c r="AH37" s="317">
        <v>0</v>
      </c>
      <c r="AI37" s="245">
        <f>AD37</f>
        <v>0</v>
      </c>
      <c r="AJ37" s="246">
        <f>'[18]Т12'!$J$61+'[18]Т12'!$J$223</f>
        <v>1202.6350000000002</v>
      </c>
      <c r="AK37" s="227">
        <f>0.75*B37</f>
        <v>883.4250000000001</v>
      </c>
      <c r="AL37" s="227">
        <f>B37*0.2</f>
        <v>235.58000000000004</v>
      </c>
      <c r="AM37" s="227">
        <f>B37*1</f>
        <v>1177.9</v>
      </c>
      <c r="AN37" s="227">
        <f>B37*0.21</f>
        <v>247.359</v>
      </c>
      <c r="AO37" s="227">
        <f>2.02*B37</f>
        <v>2379.358</v>
      </c>
      <c r="AP37" s="227">
        <f>B37*1.03</f>
        <v>1213.237</v>
      </c>
      <c r="AQ37" s="227">
        <f>B37*0.75</f>
        <v>883.4250000000001</v>
      </c>
      <c r="AR37" s="227">
        <f>B37*0.75</f>
        <v>883.4250000000001</v>
      </c>
      <c r="AS37" s="278">
        <f>B37*1.15</f>
        <v>1354.585</v>
      </c>
      <c r="AT37" s="247">
        <f>0.45*323</f>
        <v>145.35</v>
      </c>
      <c r="AU37" s="313"/>
      <c r="AV37" s="248"/>
      <c r="AW37" s="248"/>
      <c r="AX37" s="248">
        <f>159.35</f>
        <v>159.35</v>
      </c>
      <c r="AY37" s="248"/>
      <c r="AZ37" s="248"/>
      <c r="BA37" s="228"/>
      <c r="BB37" s="247"/>
      <c r="BC37" s="263">
        <f>SUM(AK37:BB37)</f>
        <v>9562.994000000002</v>
      </c>
      <c r="BD37" s="249">
        <f>'[18]Т12'!$S$61+'[18]Т12'!$S$223</f>
        <v>568.417</v>
      </c>
      <c r="BE37" s="230">
        <f t="shared" si="36"/>
        <v>10131.411000000002</v>
      </c>
      <c r="BF37" s="231">
        <f t="shared" si="37"/>
        <v>11717.233999999995</v>
      </c>
      <c r="BG37" s="320">
        <f t="shared" si="38"/>
        <v>-9516.929999999998</v>
      </c>
      <c r="BH37" s="200"/>
      <c r="BI37" s="200"/>
      <c r="BJ37" s="200"/>
      <c r="BK37" s="69"/>
      <c r="BL37" s="69"/>
      <c r="BM37" s="198"/>
      <c r="BN37" s="198"/>
      <c r="BO37" s="198"/>
    </row>
    <row r="38" spans="1:65" s="24" customFormat="1" ht="13.5" thickBot="1">
      <c r="A38" s="283" t="s">
        <v>3</v>
      </c>
      <c r="B38" s="284"/>
      <c r="C38" s="321">
        <f aca="true" t="shared" si="40" ref="C38:BF38">SUM(C26:C37)</f>
        <v>127479.13799999999</v>
      </c>
      <c r="D38" s="321">
        <f t="shared" si="40"/>
        <v>1148.1989999999998</v>
      </c>
      <c r="E38" s="321">
        <f t="shared" si="40"/>
        <v>0</v>
      </c>
      <c r="F38" s="321">
        <f t="shared" si="40"/>
        <v>0</v>
      </c>
      <c r="G38" s="321">
        <f t="shared" si="40"/>
        <v>102973.77000000002</v>
      </c>
      <c r="H38" s="321">
        <f t="shared" si="40"/>
        <v>0</v>
      </c>
      <c r="I38" s="321">
        <f t="shared" si="40"/>
        <v>0</v>
      </c>
      <c r="J38" s="321">
        <f t="shared" si="40"/>
        <v>0</v>
      </c>
      <c r="K38" s="321">
        <f t="shared" si="40"/>
        <v>0</v>
      </c>
      <c r="L38" s="321">
        <f t="shared" si="40"/>
        <v>0</v>
      </c>
      <c r="M38" s="321">
        <f t="shared" si="40"/>
        <v>17584.8</v>
      </c>
      <c r="N38" s="321">
        <f t="shared" si="40"/>
        <v>0</v>
      </c>
      <c r="O38" s="321">
        <f t="shared" si="40"/>
        <v>6099.33</v>
      </c>
      <c r="P38" s="321">
        <f t="shared" si="40"/>
        <v>0</v>
      </c>
      <c r="Q38" s="321">
        <f t="shared" si="40"/>
        <v>0</v>
      </c>
      <c r="R38" s="321">
        <f t="shared" si="40"/>
        <v>0</v>
      </c>
      <c r="S38" s="321">
        <f t="shared" si="40"/>
        <v>0</v>
      </c>
      <c r="T38" s="321">
        <f t="shared" si="40"/>
        <v>0</v>
      </c>
      <c r="U38" s="321">
        <f t="shared" si="40"/>
        <v>126657.90000000001</v>
      </c>
      <c r="V38" s="321">
        <f t="shared" si="40"/>
        <v>0</v>
      </c>
      <c r="W38" s="321">
        <f t="shared" si="40"/>
        <v>7485.65</v>
      </c>
      <c r="X38" s="321">
        <f t="shared" si="40"/>
        <v>99040.59000000001</v>
      </c>
      <c r="Y38" s="321">
        <f t="shared" si="40"/>
        <v>1037.06</v>
      </c>
      <c r="Z38" s="321">
        <f t="shared" si="40"/>
        <v>0</v>
      </c>
      <c r="AA38" s="321">
        <f t="shared" si="40"/>
        <v>18274.170000000002</v>
      </c>
      <c r="AB38" s="321">
        <f t="shared" si="40"/>
        <v>7934.859999999999</v>
      </c>
      <c r="AC38" s="321">
        <f t="shared" si="40"/>
        <v>0</v>
      </c>
      <c r="AD38" s="321">
        <f t="shared" si="40"/>
        <v>0</v>
      </c>
      <c r="AE38" s="321">
        <f t="shared" si="40"/>
        <v>0</v>
      </c>
      <c r="AF38" s="321">
        <f t="shared" si="40"/>
        <v>133772.33</v>
      </c>
      <c r="AG38" s="321">
        <f t="shared" si="40"/>
        <v>134920.52899999998</v>
      </c>
      <c r="AH38" s="321">
        <f t="shared" si="40"/>
        <v>0</v>
      </c>
      <c r="AI38" s="321">
        <f t="shared" si="40"/>
        <v>0</v>
      </c>
      <c r="AJ38" s="321">
        <f t="shared" si="40"/>
        <v>15058.250000000002</v>
      </c>
      <c r="AK38" s="321">
        <f t="shared" si="40"/>
        <v>10023.305999999999</v>
      </c>
      <c r="AL38" s="321">
        <f t="shared" si="40"/>
        <v>2823.3199999999997</v>
      </c>
      <c r="AM38" s="321">
        <f t="shared" si="40"/>
        <v>14116.599999999999</v>
      </c>
      <c r="AN38" s="321">
        <f t="shared" si="40"/>
        <v>2964.486</v>
      </c>
      <c r="AO38" s="321">
        <f t="shared" si="40"/>
        <v>28515.532</v>
      </c>
      <c r="AP38" s="321">
        <f t="shared" si="40"/>
        <v>14540.098000000005</v>
      </c>
      <c r="AQ38" s="321">
        <f t="shared" si="40"/>
        <v>10587.449999999999</v>
      </c>
      <c r="AR38" s="321">
        <f t="shared" si="40"/>
        <v>10587.449999999999</v>
      </c>
      <c r="AS38" s="321">
        <f t="shared" si="40"/>
        <v>8118.539999999999</v>
      </c>
      <c r="AT38" s="321">
        <f t="shared" si="40"/>
        <v>1744.1999999999996</v>
      </c>
      <c r="AU38" s="321">
        <f t="shared" si="40"/>
        <v>11564</v>
      </c>
      <c r="AV38" s="321">
        <f t="shared" si="40"/>
        <v>0</v>
      </c>
      <c r="AW38" s="321">
        <f t="shared" si="40"/>
        <v>891</v>
      </c>
      <c r="AX38" s="321">
        <f t="shared" si="40"/>
        <v>2559.84</v>
      </c>
      <c r="AY38" s="321">
        <f t="shared" si="40"/>
        <v>0</v>
      </c>
      <c r="AZ38" s="321">
        <f t="shared" si="40"/>
        <v>0</v>
      </c>
      <c r="BA38" s="321">
        <f t="shared" si="40"/>
        <v>0</v>
      </c>
      <c r="BB38" s="321">
        <f t="shared" si="40"/>
        <v>0</v>
      </c>
      <c r="BC38" s="321">
        <f t="shared" si="40"/>
        <v>119035.82200000001</v>
      </c>
      <c r="BD38" s="321">
        <f t="shared" si="40"/>
        <v>7173.790000000002</v>
      </c>
      <c r="BE38" s="321">
        <f t="shared" si="40"/>
        <v>126209.61200000001</v>
      </c>
      <c r="BF38" s="321">
        <f t="shared" si="40"/>
        <v>23769.166999999994</v>
      </c>
      <c r="BG38" s="321">
        <f>SUM(BG26:BG37)</f>
        <v>-7114.429999999997</v>
      </c>
      <c r="BH38" s="56"/>
      <c r="BI38" s="56"/>
      <c r="BJ38" s="56"/>
      <c r="BK38" s="56"/>
      <c r="BL38" s="56"/>
      <c r="BM38" s="56"/>
    </row>
    <row r="39" spans="1:65" s="24" customFormat="1" ht="13.5" thickBot="1">
      <c r="A39" s="286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8"/>
      <c r="BF39" s="288"/>
      <c r="BG39" s="322"/>
      <c r="BH39" s="56"/>
      <c r="BI39" s="56"/>
      <c r="BJ39" s="56"/>
      <c r="BK39" s="56"/>
      <c r="BL39" s="56"/>
      <c r="BM39" s="56"/>
    </row>
    <row r="40" spans="1:65" s="24" customFormat="1" ht="13.5" thickBot="1">
      <c r="A40" s="27" t="s">
        <v>52</v>
      </c>
      <c r="B40" s="287"/>
      <c r="C40" s="291">
        <f aca="true" t="shared" si="41" ref="C40:BF40">C38+C24</f>
        <v>522429.07800000004</v>
      </c>
      <c r="D40" s="291">
        <f t="shared" si="41"/>
        <v>36047.78676160002</v>
      </c>
      <c r="E40" s="291">
        <f t="shared" si="41"/>
        <v>25253.090000000004</v>
      </c>
      <c r="F40" s="291">
        <f t="shared" si="41"/>
        <v>2500.31</v>
      </c>
      <c r="G40" s="291">
        <f t="shared" si="41"/>
        <v>174566.46000000002</v>
      </c>
      <c r="H40" s="291">
        <f t="shared" si="41"/>
        <v>823.0600000000001</v>
      </c>
      <c r="I40" s="291">
        <f t="shared" si="41"/>
        <v>34175.55</v>
      </c>
      <c r="J40" s="291">
        <f t="shared" si="41"/>
        <v>3385.2699999999995</v>
      </c>
      <c r="K40" s="291">
        <f t="shared" si="41"/>
        <v>56903.259999999995</v>
      </c>
      <c r="L40" s="291">
        <f t="shared" si="41"/>
        <v>5635.260000000001</v>
      </c>
      <c r="M40" s="291" t="e">
        <f t="shared" si="41"/>
        <v>#REF!</v>
      </c>
      <c r="N40" s="291">
        <f t="shared" si="41"/>
        <v>8587.6</v>
      </c>
      <c r="O40" s="291">
        <f t="shared" si="41"/>
        <v>37851.13</v>
      </c>
      <c r="P40" s="291">
        <f t="shared" si="41"/>
        <v>2096.68</v>
      </c>
      <c r="Q40" s="291">
        <f t="shared" si="41"/>
        <v>0</v>
      </c>
      <c r="R40" s="291">
        <f t="shared" si="41"/>
        <v>0</v>
      </c>
      <c r="S40" s="291">
        <f t="shared" si="41"/>
        <v>0</v>
      </c>
      <c r="T40" s="291">
        <f t="shared" si="41"/>
        <v>0</v>
      </c>
      <c r="U40" s="291">
        <f t="shared" si="41"/>
        <v>463252.98000000004</v>
      </c>
      <c r="V40" s="291">
        <f t="shared" si="41"/>
        <v>23009.910000000003</v>
      </c>
      <c r="W40" s="291">
        <f t="shared" si="41"/>
        <v>31432.559999999998</v>
      </c>
      <c r="X40" s="291">
        <f t="shared" si="41"/>
        <v>155591.83000000002</v>
      </c>
      <c r="Y40" s="291">
        <f t="shared" si="41"/>
        <v>34136.030000000006</v>
      </c>
      <c r="Z40" s="291">
        <f t="shared" si="41"/>
        <v>53752.37999999999</v>
      </c>
      <c r="AA40" s="291">
        <f t="shared" si="41"/>
        <v>123299.27999999998</v>
      </c>
      <c r="AB40" s="291">
        <f t="shared" si="41"/>
        <v>35074.4</v>
      </c>
      <c r="AC40" s="291">
        <f t="shared" si="41"/>
        <v>0</v>
      </c>
      <c r="AD40" s="291">
        <f t="shared" si="41"/>
        <v>0</v>
      </c>
      <c r="AE40" s="291">
        <f t="shared" si="41"/>
        <v>0</v>
      </c>
      <c r="AF40" s="291">
        <f t="shared" si="41"/>
        <v>433286.48</v>
      </c>
      <c r="AG40" s="291">
        <f t="shared" si="41"/>
        <v>492344.1767616</v>
      </c>
      <c r="AH40" s="291">
        <f t="shared" si="41"/>
        <v>0</v>
      </c>
      <c r="AI40" s="291">
        <f t="shared" si="41"/>
        <v>0</v>
      </c>
      <c r="AJ40" s="291">
        <f t="shared" si="41"/>
        <v>58510.244799999986</v>
      </c>
      <c r="AK40" s="291">
        <f t="shared" si="41"/>
        <v>38221.902</v>
      </c>
      <c r="AL40" s="291">
        <f t="shared" si="41"/>
        <v>11926.548116</v>
      </c>
      <c r="AM40" s="291">
        <f t="shared" si="41"/>
        <v>59344.572441494995</v>
      </c>
      <c r="AN40" s="291">
        <f t="shared" si="41"/>
        <v>5926.242</v>
      </c>
      <c r="AO40" s="291">
        <f t="shared" si="41"/>
        <v>88048.6756600654</v>
      </c>
      <c r="AP40" s="291">
        <f t="shared" si="41"/>
        <v>98515.10027871959</v>
      </c>
      <c r="AQ40" s="291">
        <f t="shared" si="41"/>
        <v>21165.15</v>
      </c>
      <c r="AR40" s="291">
        <f t="shared" si="41"/>
        <v>21165.15</v>
      </c>
      <c r="AS40" s="291">
        <f t="shared" si="41"/>
        <v>16228.109999999997</v>
      </c>
      <c r="AT40" s="291">
        <f t="shared" si="41"/>
        <v>5087.249999999999</v>
      </c>
      <c r="AU40" s="291">
        <f t="shared" si="41"/>
        <v>93034.809</v>
      </c>
      <c r="AV40" s="291">
        <f t="shared" si="41"/>
        <v>54</v>
      </c>
      <c r="AW40" s="291">
        <f t="shared" si="41"/>
        <v>42659.21000000001</v>
      </c>
      <c r="AX40" s="291">
        <f t="shared" si="41"/>
        <v>3680.8100000000004</v>
      </c>
      <c r="AY40" s="291">
        <f t="shared" si="41"/>
        <v>7185.0232</v>
      </c>
      <c r="AZ40" s="291">
        <f t="shared" si="41"/>
        <v>0</v>
      </c>
      <c r="BA40" s="291">
        <f t="shared" si="41"/>
        <v>0</v>
      </c>
      <c r="BB40" s="291">
        <f t="shared" si="41"/>
        <v>0</v>
      </c>
      <c r="BC40" s="291">
        <f t="shared" si="41"/>
        <v>512242.55269627995</v>
      </c>
      <c r="BD40" s="291">
        <f t="shared" si="41"/>
        <v>29178.8371532886</v>
      </c>
      <c r="BE40" s="291">
        <f t="shared" si="41"/>
        <v>541421.3898495686</v>
      </c>
      <c r="BF40" s="319">
        <f t="shared" si="41"/>
        <v>9433.031712031407</v>
      </c>
      <c r="BG40" s="321">
        <f>BG38+BG24</f>
        <v>-44195.36</v>
      </c>
      <c r="BH40" s="56"/>
      <c r="BI40" s="56"/>
      <c r="BJ40" s="56"/>
      <c r="BK40" s="56"/>
      <c r="BL40" s="56"/>
      <c r="BM40" s="56"/>
    </row>
    <row r="41" spans="60:65" ht="12.75">
      <c r="BH41" s="198"/>
      <c r="BI41" s="198"/>
      <c r="BJ41" s="198"/>
      <c r="BK41" s="198"/>
      <c r="BL41" s="198"/>
      <c r="BM41" s="198"/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0">
      <selection activeCell="E16" sqref="E16"/>
    </sheetView>
  </sheetViews>
  <sheetFormatPr defaultColWidth="9.00390625" defaultRowHeight="12.75"/>
  <cols>
    <col min="1" max="1" width="10.00390625" style="199" customWidth="1"/>
    <col min="2" max="2" width="10.625" style="199" customWidth="1"/>
    <col min="3" max="3" width="11.875" style="199" customWidth="1"/>
    <col min="4" max="4" width="10.125" style="199" customWidth="1"/>
    <col min="5" max="5" width="11.625" style="199" customWidth="1"/>
    <col min="6" max="6" width="9.875" style="199" customWidth="1"/>
    <col min="7" max="7" width="11.875" style="199" customWidth="1"/>
    <col min="8" max="8" width="11.375" style="199" customWidth="1"/>
    <col min="9" max="9" width="10.25390625" style="199" customWidth="1"/>
    <col min="10" max="10" width="9.25390625" style="199" customWidth="1"/>
    <col min="11" max="11" width="9.625" style="199" customWidth="1"/>
    <col min="12" max="13" width="10.125" style="199" customWidth="1"/>
    <col min="14" max="14" width="11.375" style="199" customWidth="1"/>
    <col min="15" max="15" width="12.625" style="199" customWidth="1"/>
    <col min="16" max="16" width="10.375" style="199" customWidth="1"/>
    <col min="17" max="17" width="10.75390625" style="199" customWidth="1"/>
    <col min="18" max="16384" width="9.125" style="199" customWidth="1"/>
  </cols>
  <sheetData>
    <row r="1" spans="2:9" ht="20.25" customHeight="1">
      <c r="B1" s="488" t="s">
        <v>53</v>
      </c>
      <c r="C1" s="488"/>
      <c r="D1" s="488"/>
      <c r="E1" s="488"/>
      <c r="F1" s="488"/>
      <c r="G1" s="488"/>
      <c r="H1" s="488"/>
      <c r="I1" s="29"/>
    </row>
    <row r="2" spans="2:12" ht="21" customHeight="1">
      <c r="B2" s="488" t="s">
        <v>54</v>
      </c>
      <c r="C2" s="488"/>
      <c r="D2" s="488"/>
      <c r="E2" s="488"/>
      <c r="F2" s="488"/>
      <c r="G2" s="488"/>
      <c r="H2" s="488"/>
      <c r="I2" s="29"/>
      <c r="K2" s="198"/>
      <c r="L2" s="198"/>
    </row>
    <row r="5" spans="1:14" ht="12.75">
      <c r="A5" s="400" t="s">
        <v>124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</row>
    <row r="6" spans="1:14" ht="12.75">
      <c r="A6" s="489" t="s">
        <v>130</v>
      </c>
      <c r="B6" s="489"/>
      <c r="C6" s="489"/>
      <c r="D6" s="489"/>
      <c r="E6" s="489"/>
      <c r="F6" s="489"/>
      <c r="G6" s="489"/>
      <c r="H6" s="124"/>
      <c r="I6" s="124"/>
      <c r="J6" s="124"/>
      <c r="K6" s="124"/>
      <c r="L6" s="124"/>
      <c r="M6" s="124"/>
      <c r="N6" s="124"/>
    </row>
    <row r="7" spans="1:15" ht="13.5" thickBot="1">
      <c r="A7" s="490" t="s">
        <v>127</v>
      </c>
      <c r="B7" s="491"/>
      <c r="C7" s="491"/>
      <c r="D7" s="491"/>
      <c r="E7" s="491">
        <v>9.51</v>
      </c>
      <c r="F7" s="491"/>
      <c r="I7" s="292"/>
      <c r="J7" s="292"/>
      <c r="K7" s="292"/>
      <c r="L7" s="292"/>
      <c r="M7" s="292"/>
      <c r="N7" s="292"/>
      <c r="O7" s="292"/>
    </row>
    <row r="8" spans="1:17" ht="12.75" customHeight="1">
      <c r="A8" s="401" t="s">
        <v>56</v>
      </c>
      <c r="B8" s="404" t="s">
        <v>0</v>
      </c>
      <c r="C8" s="407" t="s">
        <v>126</v>
      </c>
      <c r="D8" s="509" t="s">
        <v>2</v>
      </c>
      <c r="E8" s="482" t="s">
        <v>58</v>
      </c>
      <c r="F8" s="353"/>
      <c r="G8" s="485" t="s">
        <v>118</v>
      </c>
      <c r="H8" s="418"/>
      <c r="I8" s="293"/>
      <c r="J8" s="492" t="s">
        <v>8</v>
      </c>
      <c r="K8" s="493"/>
      <c r="L8" s="493"/>
      <c r="M8" s="493"/>
      <c r="N8" s="493"/>
      <c r="O8" s="494"/>
      <c r="P8" s="497" t="s">
        <v>59</v>
      </c>
      <c r="Q8" s="497" t="s">
        <v>10</v>
      </c>
    </row>
    <row r="9" spans="1:17" ht="12.75">
      <c r="A9" s="402"/>
      <c r="B9" s="405"/>
      <c r="C9" s="408"/>
      <c r="D9" s="412"/>
      <c r="E9" s="483"/>
      <c r="F9" s="484"/>
      <c r="G9" s="486"/>
      <c r="H9" s="487"/>
      <c r="I9" s="294"/>
      <c r="J9" s="495"/>
      <c r="K9" s="496"/>
      <c r="L9" s="496"/>
      <c r="M9" s="496"/>
      <c r="N9" s="496"/>
      <c r="O9" s="372"/>
      <c r="P9" s="498"/>
      <c r="Q9" s="498"/>
    </row>
    <row r="10" spans="1:17" ht="26.25" customHeight="1">
      <c r="A10" s="402"/>
      <c r="B10" s="405"/>
      <c r="C10" s="408"/>
      <c r="D10" s="412"/>
      <c r="E10" s="430" t="s">
        <v>60</v>
      </c>
      <c r="F10" s="358"/>
      <c r="G10" s="295" t="s">
        <v>61</v>
      </c>
      <c r="H10" s="500" t="s">
        <v>5</v>
      </c>
      <c r="I10" s="502" t="s">
        <v>119</v>
      </c>
      <c r="J10" s="433" t="s">
        <v>62</v>
      </c>
      <c r="K10" s="435" t="s">
        <v>120</v>
      </c>
      <c r="L10" s="435" t="s">
        <v>63</v>
      </c>
      <c r="M10" s="435" t="s">
        <v>35</v>
      </c>
      <c r="N10" s="436" t="s">
        <v>121</v>
      </c>
      <c r="O10" s="501" t="s">
        <v>37</v>
      </c>
      <c r="P10" s="498"/>
      <c r="Q10" s="498"/>
    </row>
    <row r="11" spans="1:17" ht="66" customHeight="1" thickBot="1">
      <c r="A11" s="403"/>
      <c r="B11" s="406"/>
      <c r="C11" s="409"/>
      <c r="D11" s="413"/>
      <c r="E11" s="33" t="s">
        <v>65</v>
      </c>
      <c r="F11" s="34" t="s">
        <v>19</v>
      </c>
      <c r="G11" s="197" t="s">
        <v>122</v>
      </c>
      <c r="H11" s="501"/>
      <c r="I11" s="503"/>
      <c r="J11" s="434"/>
      <c r="K11" s="436"/>
      <c r="L11" s="436"/>
      <c r="M11" s="436"/>
      <c r="N11" s="504"/>
      <c r="O11" s="505"/>
      <c r="P11" s="499"/>
      <c r="Q11" s="499"/>
    </row>
    <row r="12" spans="1:17" ht="13.5" thickBot="1">
      <c r="A12" s="36">
        <v>1</v>
      </c>
      <c r="B12" s="37">
        <v>2</v>
      </c>
      <c r="C12" s="36">
        <v>3</v>
      </c>
      <c r="D12" s="37">
        <v>4</v>
      </c>
      <c r="E12" s="36">
        <v>5</v>
      </c>
      <c r="F12" s="37">
        <v>6</v>
      </c>
      <c r="G12" s="36">
        <v>7</v>
      </c>
      <c r="H12" s="37">
        <v>8</v>
      </c>
      <c r="I12" s="36">
        <v>9</v>
      </c>
      <c r="J12" s="37">
        <v>10</v>
      </c>
      <c r="K12" s="36">
        <v>11</v>
      </c>
      <c r="L12" s="37">
        <v>12</v>
      </c>
      <c r="M12" s="36">
        <v>13</v>
      </c>
      <c r="N12" s="37">
        <v>14</v>
      </c>
      <c r="O12" s="36">
        <v>15</v>
      </c>
      <c r="P12" s="37">
        <v>16</v>
      </c>
      <c r="Q12" s="36">
        <v>17</v>
      </c>
    </row>
    <row r="13" spans="1:17" ht="13.5" thickBot="1">
      <c r="A13" s="480" t="s">
        <v>95</v>
      </c>
      <c r="B13" s="481"/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296"/>
      <c r="P13" s="297"/>
      <c r="Q13" s="297"/>
    </row>
    <row r="14" spans="1:19" s="24" customFormat="1" ht="13.5" thickBot="1">
      <c r="A14" s="64" t="s">
        <v>52</v>
      </c>
      <c r="B14" s="65"/>
      <c r="C14" s="66">
        <f>'2012 полн'!C8</f>
        <v>274364.16000000003</v>
      </c>
      <c r="D14" s="66">
        <f>'2012 полн'!D8</f>
        <v>32801.247761600025</v>
      </c>
      <c r="E14" s="66">
        <f>'2012 полн'!U8</f>
        <v>218182.86000000002</v>
      </c>
      <c r="F14" s="66">
        <f>'2012 полн'!V8</f>
        <v>21596.050000000003</v>
      </c>
      <c r="G14" s="66">
        <f>'2012 полн'!AF8</f>
        <v>193599.59000000003</v>
      </c>
      <c r="H14" s="66">
        <f>'2012 полн'!AG8</f>
        <v>247996.88776160002</v>
      </c>
      <c r="I14" s="66">
        <f>'2012 полн'!AJ8</f>
        <v>25674.786799999994</v>
      </c>
      <c r="J14" s="66">
        <f>'2012 полн'!AK8</f>
        <v>18749.184</v>
      </c>
      <c r="K14" s="66">
        <f>'2012 полн'!AL8</f>
        <v>6282.508116</v>
      </c>
      <c r="L14" s="66">
        <f>'2012 полн'!AM8+'2012 полн'!AO8+'2012 полн'!AP8+'2012 полн'!AT8+'2012 полн'!AX8+'2012 полн'!AY8</f>
        <v>140545.76158028</v>
      </c>
      <c r="M14" s="66">
        <f>'2012 полн'!AU8+'2012 полн'!AV8+'2012 полн'!AW8</f>
        <v>117202.019</v>
      </c>
      <c r="N14" s="66">
        <f>'2012 полн'!BD8</f>
        <v>10950.611153288603</v>
      </c>
      <c r="O14" s="66">
        <f>'2012 полн'!BE8</f>
        <v>293730.0838495686</v>
      </c>
      <c r="P14" s="66">
        <f>'2012 полн'!BF8</f>
        <v>-20058.409287968585</v>
      </c>
      <c r="Q14" s="66">
        <f>'2012 полн'!BG8</f>
        <v>-24583.269999999997</v>
      </c>
      <c r="R14" s="69"/>
      <c r="S14" s="56"/>
    </row>
    <row r="15" spans="1:19" ht="12.75">
      <c r="A15" s="8" t="s">
        <v>117</v>
      </c>
      <c r="B15" s="298"/>
      <c r="C15" s="57"/>
      <c r="D15" s="58"/>
      <c r="E15" s="299"/>
      <c r="F15" s="300"/>
      <c r="G15" s="301"/>
      <c r="H15" s="300"/>
      <c r="I15" s="302"/>
      <c r="J15" s="301"/>
      <c r="K15" s="303"/>
      <c r="L15" s="303"/>
      <c r="M15" s="304"/>
      <c r="N15" s="305"/>
      <c r="O15" s="306"/>
      <c r="P15" s="307"/>
      <c r="Q15" s="307"/>
      <c r="R15" s="198"/>
      <c r="S15" s="198"/>
    </row>
    <row r="16" spans="1:19" ht="12.75">
      <c r="A16" s="211" t="s">
        <v>43</v>
      </c>
      <c r="B16" s="308">
        <f>'2012 полн'!B10</f>
        <v>1175.3</v>
      </c>
      <c r="C16" s="308">
        <f>'2012 полн'!C10</f>
        <v>10048.815</v>
      </c>
      <c r="D16" s="42">
        <f>'2012 полн'!D10</f>
        <v>235.21</v>
      </c>
      <c r="E16" s="303">
        <f>'2012 полн'!U10</f>
        <v>10091.630000000001</v>
      </c>
      <c r="F16" s="303">
        <f>'2012 полн'!V10</f>
        <v>70.98</v>
      </c>
      <c r="G16" s="309">
        <f>'2012 полн'!AF10</f>
        <v>8150.14</v>
      </c>
      <c r="H16" s="309">
        <f>'2012 полн'!AG10</f>
        <v>8456.33</v>
      </c>
      <c r="I16" s="309">
        <f>'2012 полн'!AJ10</f>
        <v>1481.434</v>
      </c>
      <c r="J16" s="309">
        <f>'2012 полн'!AK10</f>
        <v>787.451</v>
      </c>
      <c r="K16" s="309">
        <f>'2012 полн'!AL10</f>
        <v>235.06</v>
      </c>
      <c r="L16" s="303">
        <f>'2012 полн'!AM10+'2012 полн'!AN10+'2012 полн'!AO10+'2012 полн'!AP10+'2012 полн'!AQ10+'2012 полн'!AR10+'2012 полн'!AS10+'2012 полн'!AT10+'2012 полн'!AX10</f>
        <v>8121.3229999999985</v>
      </c>
      <c r="M16" s="304">
        <f>'2012 полн'!AU10+'2012 полн'!AV10+'2012 полн'!AW10</f>
        <v>0</v>
      </c>
      <c r="N16" s="310">
        <f>'2012 полн'!BD10</f>
        <v>921.203</v>
      </c>
      <c r="O16" s="306">
        <f>'2012 полн'!BE10</f>
        <v>10065.036999999998</v>
      </c>
      <c r="P16" s="307">
        <f>'2012 полн'!BF10</f>
        <v>-127.27299999999923</v>
      </c>
      <c r="Q16" s="307">
        <f>'2012 полн'!BG10</f>
        <v>-1941.4900000000007</v>
      </c>
      <c r="R16" s="198"/>
      <c r="S16" s="198"/>
    </row>
    <row r="17" spans="1:19" ht="12.75">
      <c r="A17" s="211" t="s">
        <v>44</v>
      </c>
      <c r="B17" s="308">
        <f>'2012 полн'!B11</f>
        <v>1175.3</v>
      </c>
      <c r="C17" s="308">
        <f>'2012 полн'!C11</f>
        <v>10048.815</v>
      </c>
      <c r="D17" s="42">
        <f>'2012 полн'!D11</f>
        <v>191.96</v>
      </c>
      <c r="E17" s="303">
        <f>'2012 полн'!U11</f>
        <v>9622.279999999999</v>
      </c>
      <c r="F17" s="303">
        <f>'2012 полн'!V11</f>
        <v>0</v>
      </c>
      <c r="G17" s="309">
        <f>'2012 полн'!AF11</f>
        <v>6698.97</v>
      </c>
      <c r="H17" s="309">
        <f>'2012 полн'!AG11</f>
        <v>6890.93</v>
      </c>
      <c r="I17" s="309">
        <f>'2012 полн'!AJ11</f>
        <v>1481.434</v>
      </c>
      <c r="J17" s="309">
        <f>'2012 полн'!AK11</f>
        <v>787.451</v>
      </c>
      <c r="K17" s="309">
        <f>'2012 полн'!AL11</f>
        <v>235.06</v>
      </c>
      <c r="L17" s="303">
        <f>'2012 полн'!AM11+'2012 полн'!AN11+'2012 полн'!AO11+'2012 полн'!AP11+'2012 полн'!AQ11+'2012 полн'!AR11+'2012 полн'!AS11+'2012 полн'!AT11+'2012 полн'!AX11</f>
        <v>8538.232999999998</v>
      </c>
      <c r="M17" s="304">
        <f>'2012 полн'!AU11+'2012 полн'!AV11+'2012 полн'!AW11</f>
        <v>906</v>
      </c>
      <c r="N17" s="310">
        <f>'2012 полн'!BD11</f>
        <v>921.203</v>
      </c>
      <c r="O17" s="306">
        <f>'2012 полн'!BE11</f>
        <v>11387.946999999998</v>
      </c>
      <c r="P17" s="307">
        <f>'2012 полн'!BF11</f>
        <v>-3015.5829999999987</v>
      </c>
      <c r="Q17" s="307">
        <f>'2012 полн'!BG11</f>
        <v>-2923.3099999999986</v>
      </c>
      <c r="R17" s="198"/>
      <c r="S17" s="198"/>
    </row>
    <row r="18" spans="1:19" ht="12.75">
      <c r="A18" s="211" t="s">
        <v>45</v>
      </c>
      <c r="B18" s="308">
        <f>'2012 полн'!B12</f>
        <v>1175.3</v>
      </c>
      <c r="C18" s="308">
        <f>'2012 полн'!C12</f>
        <v>10048.815</v>
      </c>
      <c r="D18" s="42">
        <f>'2012 полн'!D12</f>
        <v>191.96</v>
      </c>
      <c r="E18" s="303">
        <f>'2012 полн'!U12</f>
        <v>9856.339999999998</v>
      </c>
      <c r="F18" s="303">
        <f>'2012 полн'!V12</f>
        <v>179.55</v>
      </c>
      <c r="G18" s="309">
        <f>'2012 полн'!AF12</f>
        <v>9098.920000000002</v>
      </c>
      <c r="H18" s="309">
        <f>'2012 полн'!AG12</f>
        <v>9470.43</v>
      </c>
      <c r="I18" s="309">
        <f>'2012 полн'!AJ12</f>
        <v>1481.434</v>
      </c>
      <c r="J18" s="309">
        <f>'2012 полн'!AK12</f>
        <v>787.451</v>
      </c>
      <c r="K18" s="309">
        <f>'2012 полн'!AL12</f>
        <v>235.06</v>
      </c>
      <c r="L18" s="303">
        <f>'2012 полн'!AM12+'2012 полн'!AN12+'2012 полн'!AO12+'2012 полн'!AP12+'2012 полн'!AQ12+'2012 полн'!AR12+'2012 полн'!AS12+'2012 полн'!AT12+'2012 полн'!AX12</f>
        <v>8266.672999999999</v>
      </c>
      <c r="M18" s="304">
        <f>'2012 полн'!AU12+'2012 полн'!AV12+'2012 полн'!AW12</f>
        <v>0</v>
      </c>
      <c r="N18" s="310">
        <f>'2012 полн'!BD12</f>
        <v>921.203</v>
      </c>
      <c r="O18" s="306">
        <f>'2012 полн'!BE12</f>
        <v>10210.386999999999</v>
      </c>
      <c r="P18" s="307">
        <f>'2012 полн'!BF12</f>
        <v>741.4770000000008</v>
      </c>
      <c r="Q18" s="307">
        <f>'2012 полн'!BG12</f>
        <v>-757.4199999999964</v>
      </c>
      <c r="R18" s="198"/>
      <c r="S18" s="198"/>
    </row>
    <row r="19" spans="1:19" ht="12.75">
      <c r="A19" s="211" t="s">
        <v>46</v>
      </c>
      <c r="B19" s="308">
        <f>'2012 полн'!B13</f>
        <v>1175.3</v>
      </c>
      <c r="C19" s="308">
        <f>'2012 полн'!C13</f>
        <v>10048.815</v>
      </c>
      <c r="D19" s="42">
        <f>'2012 полн'!D13</f>
        <v>191.96</v>
      </c>
      <c r="E19" s="303">
        <f>'2012 полн'!U13</f>
        <v>9838.289999999999</v>
      </c>
      <c r="F19" s="303">
        <f>'2012 полн'!V13</f>
        <v>179.55</v>
      </c>
      <c r="G19" s="309">
        <f>'2012 полн'!AF13</f>
        <v>7317.34</v>
      </c>
      <c r="H19" s="309">
        <f>'2012 полн'!AG13</f>
        <v>7688.85</v>
      </c>
      <c r="I19" s="309">
        <f>'2012 полн'!AJ13</f>
        <v>1481.434</v>
      </c>
      <c r="J19" s="309">
        <f>'2012 полн'!AK13</f>
        <v>787.451</v>
      </c>
      <c r="K19" s="309">
        <f>'2012 полн'!AL13</f>
        <v>235.06</v>
      </c>
      <c r="L19" s="303">
        <f>'2012 полн'!AM13+'2012 полн'!AN13+'2012 полн'!AO13+'2012 полн'!AP13+'2012 полн'!AQ13+'2012 полн'!AR13+'2012 полн'!AS13+'2012 полн'!AT13+'2012 полн'!AX13</f>
        <v>6960.0779999999995</v>
      </c>
      <c r="M19" s="304">
        <f>'2012 полн'!AU13+'2012 полн'!AV13+'2012 полн'!AW13</f>
        <v>0</v>
      </c>
      <c r="N19" s="310">
        <f>'2012 полн'!BD13</f>
        <v>921.203</v>
      </c>
      <c r="O19" s="306">
        <f>'2012 полн'!BE13</f>
        <v>8903.792</v>
      </c>
      <c r="P19" s="307">
        <f>'2012 полн'!BF13</f>
        <v>266.4920000000002</v>
      </c>
      <c r="Q19" s="307">
        <f>'2012 полн'!BG13</f>
        <v>-2520.949999999999</v>
      </c>
      <c r="R19" s="198"/>
      <c r="S19" s="198"/>
    </row>
    <row r="20" spans="1:19" ht="12.75">
      <c r="A20" s="211" t="s">
        <v>47</v>
      </c>
      <c r="B20" s="308">
        <f>'2012 полн'!B14</f>
        <v>1175.3</v>
      </c>
      <c r="C20" s="308">
        <f>'2012 полн'!C14</f>
        <v>10048.815</v>
      </c>
      <c r="D20" s="42">
        <f>'2012 полн'!D14</f>
        <v>191.96</v>
      </c>
      <c r="E20" s="303">
        <f>'2012 полн'!U14</f>
        <v>9838.289999999999</v>
      </c>
      <c r="F20" s="303">
        <f>'2012 полн'!V14</f>
        <v>161.28</v>
      </c>
      <c r="G20" s="309">
        <f>'2012 полн'!AF14</f>
        <v>9065.09</v>
      </c>
      <c r="H20" s="309">
        <f>'2012 полн'!AG14</f>
        <v>9418.33</v>
      </c>
      <c r="I20" s="309">
        <f>'2012 полн'!AJ14</f>
        <v>1481.434</v>
      </c>
      <c r="J20" s="309">
        <f>'2012 полн'!AK14</f>
        <v>787.451</v>
      </c>
      <c r="K20" s="309">
        <f>'2012 полн'!AL14</f>
        <v>235.06</v>
      </c>
      <c r="L20" s="303">
        <f>'2012 полн'!AM14+'2012 полн'!AN14+'2012 полн'!AO14+'2012 полн'!AP14+'2012 полн'!AQ14+'2012 полн'!AR14+'2012 полн'!AS14+'2012 полн'!AT14+'2012 полн'!AX14</f>
        <v>7282.888</v>
      </c>
      <c r="M20" s="304">
        <f>'2012 полн'!AU14+'2012 полн'!AV14+'2012 полн'!AW14</f>
        <v>817</v>
      </c>
      <c r="N20" s="310">
        <f>'2012 полн'!BD14</f>
        <v>921.203</v>
      </c>
      <c r="O20" s="306">
        <f>'2012 полн'!BE14</f>
        <v>10043.601999999999</v>
      </c>
      <c r="P20" s="307">
        <f>'2012 полн'!BF14</f>
        <v>856.1620000000003</v>
      </c>
      <c r="Q20" s="307">
        <f>'2012 полн'!BG14</f>
        <v>-773.1999999999989</v>
      </c>
      <c r="R20" s="198"/>
      <c r="S20" s="198"/>
    </row>
    <row r="21" spans="1:19" ht="12.75">
      <c r="A21" s="211" t="s">
        <v>48</v>
      </c>
      <c r="B21" s="308">
        <f>'2012 полн'!B15</f>
        <v>1175.3</v>
      </c>
      <c r="C21" s="308">
        <f>'2012 полн'!C15</f>
        <v>10048.815</v>
      </c>
      <c r="D21" s="42">
        <f>'2012 полн'!D15</f>
        <v>156.47</v>
      </c>
      <c r="E21" s="303">
        <f>'2012 полн'!U15</f>
        <v>9766.19</v>
      </c>
      <c r="F21" s="303">
        <f>'2012 полн'!V15</f>
        <v>258.2</v>
      </c>
      <c r="G21" s="309">
        <f>'2012 полн'!AF15</f>
        <v>8183.87</v>
      </c>
      <c r="H21" s="309">
        <f>'2012 полн'!AG15</f>
        <v>8598.539999999999</v>
      </c>
      <c r="I21" s="309">
        <f>'2012 полн'!AJ15</f>
        <v>1481.434</v>
      </c>
      <c r="J21" s="309">
        <f>'2012 полн'!AK15</f>
        <v>787.451</v>
      </c>
      <c r="K21" s="309">
        <f>'2012 полн'!AL15</f>
        <v>235.06</v>
      </c>
      <c r="L21" s="303">
        <f>'2012 полн'!AM15+'2012 полн'!AN15+'2012 полн'!AO15+'2012 полн'!AP15+'2012 полн'!AQ15+'2012 полн'!AR15+'2012 полн'!AS15+'2012 полн'!AT15+'2012 полн'!AX15</f>
        <v>6915.0779999999995</v>
      </c>
      <c r="M21" s="304">
        <f>'2012 полн'!AU15+'2012 полн'!AV15+'2012 полн'!AW15</f>
        <v>0</v>
      </c>
      <c r="N21" s="310">
        <f>'2012 полн'!BD15</f>
        <v>921.203</v>
      </c>
      <c r="O21" s="306">
        <f>'2012 полн'!BE15</f>
        <v>8858.792</v>
      </c>
      <c r="P21" s="307">
        <f>'2012 полн'!BF15</f>
        <v>1221.1819999999989</v>
      </c>
      <c r="Q21" s="307">
        <f>'2012 полн'!BG15</f>
        <v>-1582.3200000000006</v>
      </c>
      <c r="R21" s="198"/>
      <c r="S21" s="198"/>
    </row>
    <row r="22" spans="1:17" ht="12.75">
      <c r="A22" s="211" t="s">
        <v>49</v>
      </c>
      <c r="B22" s="308">
        <f>'2012 полн'!B16</f>
        <v>1175.3</v>
      </c>
      <c r="C22" s="308">
        <f>'2012 полн'!C16</f>
        <v>10048.815</v>
      </c>
      <c r="D22" s="42">
        <f>'2012 полн'!D16</f>
        <v>156.47</v>
      </c>
      <c r="E22" s="303">
        <f>'2012 полн'!U16</f>
        <v>9744.240000000002</v>
      </c>
      <c r="F22" s="303">
        <f>'2012 полн'!V16</f>
        <v>282.15</v>
      </c>
      <c r="G22" s="309">
        <f>'2012 полн'!AF16</f>
        <v>8663.54</v>
      </c>
      <c r="H22" s="309">
        <f>'2012 полн'!AG16</f>
        <v>9102.160000000002</v>
      </c>
      <c r="I22" s="309">
        <f>'2012 полн'!AJ16</f>
        <v>1481.434</v>
      </c>
      <c r="J22" s="309">
        <f>'2012 полн'!AK16</f>
        <v>787.451</v>
      </c>
      <c r="K22" s="309">
        <f>'2012 полн'!AL16</f>
        <v>235.06</v>
      </c>
      <c r="L22" s="303">
        <f>'2012 полн'!AM16+'2012 полн'!AN16+'2012 полн'!AO16+'2012 полн'!AP16+'2012 полн'!AQ16+'2012 полн'!AR16+'2012 полн'!AS16+'2012 полн'!AT16+'2012 полн'!AX16</f>
        <v>7035.937999999999</v>
      </c>
      <c r="M22" s="304">
        <f>'2012 полн'!AU16+'2012 полн'!AV16+'2012 полн'!AW16</f>
        <v>0</v>
      </c>
      <c r="N22" s="310">
        <f>'2012 полн'!BD16</f>
        <v>921.203</v>
      </c>
      <c r="O22" s="306">
        <f>'2012 полн'!BE16</f>
        <v>8979.652</v>
      </c>
      <c r="P22" s="307">
        <f>'2012 полн'!BF16</f>
        <v>1603.942000000001</v>
      </c>
      <c r="Q22" s="307">
        <f>'2012 полн'!BG16</f>
        <v>-1080.7000000000007</v>
      </c>
    </row>
    <row r="23" spans="1:17" ht="12.75">
      <c r="A23" s="211" t="s">
        <v>50</v>
      </c>
      <c r="B23" s="308">
        <f>'2012 полн'!B17</f>
        <v>1175.3</v>
      </c>
      <c r="C23" s="308">
        <f>'2012 полн'!C17</f>
        <v>10048.815</v>
      </c>
      <c r="D23" s="42">
        <f>'2012 полн'!D17</f>
        <v>156.47</v>
      </c>
      <c r="E23" s="303">
        <f>'2012 полн'!U17</f>
        <v>9745.01</v>
      </c>
      <c r="F23" s="303">
        <f>'2012 полн'!V17</f>
        <v>282.15</v>
      </c>
      <c r="G23" s="309">
        <f>'2012 полн'!AF17</f>
        <v>7419.859999999999</v>
      </c>
      <c r="H23" s="309">
        <f>'2012 полн'!AG17</f>
        <v>7858.479999999999</v>
      </c>
      <c r="I23" s="309">
        <f>'2012 полн'!AJ17</f>
        <v>1481.434</v>
      </c>
      <c r="J23" s="309">
        <f>'2012 полн'!AK17</f>
        <v>787.451</v>
      </c>
      <c r="K23" s="309">
        <f>'2012 полн'!AL17</f>
        <v>235.06</v>
      </c>
      <c r="L23" s="303">
        <f>'2012 полн'!AM17+'2012 полн'!AN17+'2012 полн'!AO17+'2012 полн'!AP17+'2012 полн'!AQ17+'2012 полн'!AR17+'2012 полн'!AS17+'2012 полн'!AT17+'2012 полн'!AX17</f>
        <v>6945.477999999999</v>
      </c>
      <c r="M23" s="304">
        <f>'2012 полн'!AU17+'2012 полн'!AV17+'2012 полн'!AW17</f>
        <v>0</v>
      </c>
      <c r="N23" s="310">
        <f>'2012 полн'!BD17</f>
        <v>921.203</v>
      </c>
      <c r="O23" s="306">
        <f>'2012 полн'!BE17</f>
        <v>8889.192</v>
      </c>
      <c r="P23" s="307">
        <f>'2012 полн'!BF17</f>
        <v>450.72199999999975</v>
      </c>
      <c r="Q23" s="307">
        <f>'2012 полн'!BG17</f>
        <v>-2325.1500000000015</v>
      </c>
    </row>
    <row r="24" spans="1:17" ht="12.75">
      <c r="A24" s="211" t="s">
        <v>51</v>
      </c>
      <c r="B24" s="308">
        <f>'2012 полн'!B18</f>
        <v>1175.3</v>
      </c>
      <c r="C24" s="308">
        <f>'2012 полн'!C18</f>
        <v>10048.815</v>
      </c>
      <c r="D24" s="42">
        <f>'2012 полн'!D18</f>
        <v>156.47</v>
      </c>
      <c r="E24" s="303">
        <f>'2012 полн'!U18</f>
        <v>10259.7</v>
      </c>
      <c r="F24" s="303">
        <f>'2012 полн'!V18</f>
        <v>0</v>
      </c>
      <c r="G24" s="309">
        <f>'2012 полн'!AF18</f>
        <v>10187.22</v>
      </c>
      <c r="H24" s="309">
        <f>'2012 полн'!AG18</f>
        <v>10343.689999999999</v>
      </c>
      <c r="I24" s="309">
        <f>'2012 полн'!AJ18</f>
        <v>1481.434</v>
      </c>
      <c r="J24" s="309">
        <f>'2012 полн'!AK18</f>
        <v>787.451</v>
      </c>
      <c r="K24" s="309">
        <f>'2012 полн'!AL18</f>
        <v>235.06</v>
      </c>
      <c r="L24" s="303">
        <f>'2012 полн'!AM18+'2012 полн'!AN18+'2012 полн'!AO18+'2012 полн'!AP18+'2012 полн'!AQ18+'2012 полн'!AR18+'2012 полн'!AS18+'2012 полн'!AT18+'2012 полн'!AX18</f>
        <v>7128.418</v>
      </c>
      <c r="M24" s="304">
        <f>'2012 полн'!AU18+'2012 полн'!AV18+'2012 полн'!AW18</f>
        <v>4314</v>
      </c>
      <c r="N24" s="310">
        <f>'2012 полн'!BD18</f>
        <v>921.203</v>
      </c>
      <c r="O24" s="306">
        <f>'2012 полн'!BE18</f>
        <v>13386.132</v>
      </c>
      <c r="P24" s="307">
        <f>'2012 полн'!BF18</f>
        <v>-1561.0080000000016</v>
      </c>
      <c r="Q24" s="307">
        <f>'2012 полн'!BG18</f>
        <v>-72.48000000000138</v>
      </c>
    </row>
    <row r="25" spans="1:17" ht="12.75">
      <c r="A25" s="211" t="s">
        <v>39</v>
      </c>
      <c r="B25" s="308">
        <f>'2012 полн'!B19</f>
        <v>1175.3</v>
      </c>
      <c r="C25" s="308">
        <f>'2012 полн'!C19</f>
        <v>10048.815</v>
      </c>
      <c r="D25" s="42">
        <f>'2012 полн'!D19</f>
        <v>156.47</v>
      </c>
      <c r="E25" s="303">
        <f>'2012 полн'!U19</f>
        <v>9695.4</v>
      </c>
      <c r="F25" s="303">
        <f>'2012 полн'!V19</f>
        <v>0</v>
      </c>
      <c r="G25" s="309">
        <f>'2012 полн'!AF19</f>
        <v>12579.82</v>
      </c>
      <c r="H25" s="309">
        <f>'2012 полн'!AG19</f>
        <v>12736.289999999999</v>
      </c>
      <c r="I25" s="309">
        <f>'2012 полн'!AJ19</f>
        <v>1481.434</v>
      </c>
      <c r="J25" s="309">
        <f>'2012 полн'!AK19</f>
        <v>787.451</v>
      </c>
      <c r="K25" s="309">
        <f>'2012 полн'!AL19</f>
        <v>235.06</v>
      </c>
      <c r="L25" s="303">
        <f>'2012 полн'!AM19+'2012 полн'!AN19+'2012 полн'!AO19+'2012 полн'!AP19+'2012 полн'!AQ19+'2012 полн'!AR19+'2012 полн'!AS19+'2012 полн'!AT19+'2012 полн'!AX19</f>
        <v>8266.672999999999</v>
      </c>
      <c r="M25" s="304">
        <f>'2012 полн'!AU19+'2012 полн'!AV19+'2012 полн'!AW19</f>
        <v>0</v>
      </c>
      <c r="N25" s="310">
        <f>'2012 полн'!BD19</f>
        <v>921.203</v>
      </c>
      <c r="O25" s="306">
        <f>'2012 полн'!BE19</f>
        <v>10210.386999999999</v>
      </c>
      <c r="P25" s="307">
        <f>'2012 полн'!BF19</f>
        <v>4007.3369999999995</v>
      </c>
      <c r="Q25" s="307">
        <f>'2012 полн'!BG19</f>
        <v>2884.42</v>
      </c>
    </row>
    <row r="26" spans="1:17" ht="12.75">
      <c r="A26" s="211" t="s">
        <v>40</v>
      </c>
      <c r="B26" s="308">
        <f>'2012 полн'!B20</f>
        <v>1175.3</v>
      </c>
      <c r="C26" s="308">
        <f>'2012 полн'!C20</f>
        <v>10048.815</v>
      </c>
      <c r="D26" s="42">
        <f>'2012 полн'!D20</f>
        <v>156.47</v>
      </c>
      <c r="E26" s="303">
        <f>'2012 полн'!U20</f>
        <v>9977.550000000001</v>
      </c>
      <c r="F26" s="303">
        <f>'2012 полн'!V20</f>
        <v>0</v>
      </c>
      <c r="G26" s="309">
        <f>'2012 полн'!AF20</f>
        <v>9044.31</v>
      </c>
      <c r="H26" s="309">
        <f>'2012 полн'!AG20</f>
        <v>9200.779999999999</v>
      </c>
      <c r="I26" s="309">
        <f>'2012 полн'!AJ20</f>
        <v>1481.434</v>
      </c>
      <c r="J26" s="309">
        <f>'2012 полн'!AK20</f>
        <v>787.451</v>
      </c>
      <c r="K26" s="309">
        <f>'2012 полн'!AL20</f>
        <v>235.06</v>
      </c>
      <c r="L26" s="303">
        <f>'2012 полн'!AM20+'2012 полн'!AN20+'2012 полн'!AO20+'2012 полн'!AP20+'2012 полн'!AQ20+'2012 полн'!AR20+'2012 полн'!AS20+'2012 полн'!AT20+'2012 полн'!AX20</f>
        <v>8266.672999999999</v>
      </c>
      <c r="M26" s="304">
        <f>'2012 полн'!AU20+'2012 полн'!AV20+'2012 полн'!AW20</f>
        <v>0</v>
      </c>
      <c r="N26" s="310">
        <f>'2012 полн'!BD20</f>
        <v>921.203</v>
      </c>
      <c r="O26" s="306">
        <f>'2012 полн'!BE20</f>
        <v>10210.386999999999</v>
      </c>
      <c r="P26" s="307">
        <f>'2012 полн'!BF20</f>
        <v>471.8269999999993</v>
      </c>
      <c r="Q26" s="307">
        <f>'2012 полн'!BG20</f>
        <v>-933.2400000000016</v>
      </c>
    </row>
    <row r="27" spans="1:17" ht="13.5" thickBot="1">
      <c r="A27" s="311" t="s">
        <v>41</v>
      </c>
      <c r="B27" s="308">
        <f>'2012 полн'!B21</f>
        <v>1175.3</v>
      </c>
      <c r="C27" s="308">
        <f>'2012 полн'!C21</f>
        <v>10048.815</v>
      </c>
      <c r="D27" s="42">
        <f>'2012 полн'!D21</f>
        <v>156.47</v>
      </c>
      <c r="E27" s="303">
        <f>'2012 полн'!U21</f>
        <v>9977.3</v>
      </c>
      <c r="F27" s="303">
        <f>'2012 полн'!V21</f>
        <v>0</v>
      </c>
      <c r="G27" s="309">
        <f>'2012 полн'!AF21</f>
        <v>9505.479999999998</v>
      </c>
      <c r="H27" s="309">
        <f>'2012 полн'!AG21</f>
        <v>9661.949999999997</v>
      </c>
      <c r="I27" s="309">
        <f>'2012 полн'!AJ21</f>
        <v>1481.434</v>
      </c>
      <c r="J27" s="309">
        <f>'2012 полн'!AK21</f>
        <v>787.451</v>
      </c>
      <c r="K27" s="309">
        <f>'2012 полн'!AL21</f>
        <v>235.06</v>
      </c>
      <c r="L27" s="303">
        <f>'2012 полн'!AM21+'2012 полн'!AN21+'2012 полн'!AO21+'2012 полн'!AP21+'2012 полн'!AQ21+'2012 полн'!AR21+'2012 полн'!AS21+'2012 полн'!AT21+'2012 полн'!AX21</f>
        <v>8338.672999999999</v>
      </c>
      <c r="M27" s="304">
        <f>'2012 полн'!AU21+'2012 полн'!AV21+'2012 полн'!AW21</f>
        <v>54</v>
      </c>
      <c r="N27" s="310">
        <f>'2012 полн'!BD21</f>
        <v>921.203</v>
      </c>
      <c r="O27" s="306">
        <f>'2012 полн'!BE21</f>
        <v>10336.386999999999</v>
      </c>
      <c r="P27" s="307">
        <f>'2012 полн'!BF21</f>
        <v>806.9969999999976</v>
      </c>
      <c r="Q27" s="307">
        <f>'2012 полн'!BG21</f>
        <v>-471.8200000000015</v>
      </c>
    </row>
    <row r="28" spans="1:19" s="24" customFormat="1" ht="13.5" thickBot="1">
      <c r="A28" s="48" t="s">
        <v>3</v>
      </c>
      <c r="B28" s="49"/>
      <c r="C28" s="54">
        <f aca="true" t="shared" si="0" ref="C28:Q28">SUM(C16:C27)</f>
        <v>120585.78000000001</v>
      </c>
      <c r="D28" s="54">
        <f t="shared" si="0"/>
        <v>2098.34</v>
      </c>
      <c r="E28" s="54">
        <f t="shared" si="0"/>
        <v>118412.22</v>
      </c>
      <c r="F28" s="54">
        <f t="shared" si="0"/>
        <v>1413.8600000000001</v>
      </c>
      <c r="G28" s="309">
        <f>'[15]2011 полн'!AF22</f>
        <v>119347.64</v>
      </c>
      <c r="H28" s="54">
        <f t="shared" si="0"/>
        <v>109426.76</v>
      </c>
      <c r="I28" s="54">
        <f t="shared" si="0"/>
        <v>17777.207999999995</v>
      </c>
      <c r="J28" s="54">
        <f t="shared" si="0"/>
        <v>9449.412</v>
      </c>
      <c r="K28" s="54">
        <f t="shared" si="0"/>
        <v>2820.72</v>
      </c>
      <c r="L28" s="54">
        <f t="shared" si="0"/>
        <v>92066.12599999999</v>
      </c>
      <c r="M28" s="54">
        <f t="shared" si="0"/>
        <v>6091</v>
      </c>
      <c r="N28" s="54">
        <f t="shared" si="0"/>
        <v>11054.435999999996</v>
      </c>
      <c r="O28" s="54">
        <f t="shared" si="0"/>
        <v>121481.69399999999</v>
      </c>
      <c r="P28" s="54">
        <f t="shared" si="0"/>
        <v>5722.273999999998</v>
      </c>
      <c r="Q28" s="54">
        <f t="shared" si="0"/>
        <v>-12497.660000000002</v>
      </c>
      <c r="R28" s="56"/>
      <c r="S28" s="56"/>
    </row>
    <row r="29" spans="1:17" ht="13.5" thickBot="1">
      <c r="A29" s="480" t="s">
        <v>66</v>
      </c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296"/>
      <c r="P29" s="297"/>
      <c r="Q29" s="297"/>
    </row>
    <row r="30" spans="1:19" s="24" customFormat="1" ht="13.5" thickBot="1">
      <c r="A30" s="64" t="s">
        <v>52</v>
      </c>
      <c r="B30" s="65"/>
      <c r="C30" s="66">
        <f aca="true" t="shared" si="1" ref="C30:Q30">C28+C14</f>
        <v>394949.94000000006</v>
      </c>
      <c r="D30" s="66">
        <f t="shared" si="1"/>
        <v>34899.58776160002</v>
      </c>
      <c r="E30" s="66">
        <f t="shared" si="1"/>
        <v>336595.08</v>
      </c>
      <c r="F30" s="66">
        <f t="shared" si="1"/>
        <v>23009.910000000003</v>
      </c>
      <c r="G30" s="66">
        <f t="shared" si="1"/>
        <v>312947.23000000004</v>
      </c>
      <c r="H30" s="66">
        <f t="shared" si="1"/>
        <v>357423.64776160003</v>
      </c>
      <c r="I30" s="66">
        <f t="shared" si="1"/>
        <v>43451.994799999986</v>
      </c>
      <c r="J30" s="66">
        <f t="shared" si="1"/>
        <v>28198.596</v>
      </c>
      <c r="K30" s="66">
        <f t="shared" si="1"/>
        <v>9103.228116</v>
      </c>
      <c r="L30" s="66">
        <f t="shared" si="1"/>
        <v>232611.88758028</v>
      </c>
      <c r="M30" s="66">
        <f t="shared" si="1"/>
        <v>123293.019</v>
      </c>
      <c r="N30" s="66">
        <f t="shared" si="1"/>
        <v>22005.0471532886</v>
      </c>
      <c r="O30" s="66">
        <f t="shared" si="1"/>
        <v>415211.77784956864</v>
      </c>
      <c r="P30" s="66">
        <f t="shared" si="1"/>
        <v>-14336.135287968587</v>
      </c>
      <c r="Q30" s="66">
        <f t="shared" si="1"/>
        <v>-37080.93</v>
      </c>
      <c r="R30" s="69"/>
      <c r="S30" s="56"/>
    </row>
    <row r="31" spans="1:19" ht="12.75">
      <c r="A31" s="8" t="s">
        <v>128</v>
      </c>
      <c r="B31" s="298"/>
      <c r="C31" s="57"/>
      <c r="D31" s="58"/>
      <c r="E31" s="299"/>
      <c r="F31" s="300"/>
      <c r="G31" s="301"/>
      <c r="H31" s="300"/>
      <c r="I31" s="302"/>
      <c r="J31" s="301"/>
      <c r="K31" s="303"/>
      <c r="L31" s="303"/>
      <c r="M31" s="304"/>
      <c r="N31" s="305"/>
      <c r="O31" s="306"/>
      <c r="P31" s="307"/>
      <c r="Q31" s="307"/>
      <c r="R31" s="198"/>
      <c r="S31" s="198"/>
    </row>
    <row r="32" spans="1:19" ht="12.75">
      <c r="A32" s="211" t="s">
        <v>43</v>
      </c>
      <c r="B32" s="308">
        <f>'2012 полн'!B26</f>
        <v>1175.3</v>
      </c>
      <c r="C32" s="308">
        <f>'2012 полн'!C26</f>
        <v>10048.815</v>
      </c>
      <c r="D32" s="42">
        <f>'2012 полн'!D26</f>
        <v>156.46799999999996</v>
      </c>
      <c r="E32" s="303">
        <f>'2012 полн'!U26</f>
        <v>9977.17</v>
      </c>
      <c r="F32" s="303">
        <f>'2012 полн'!V26</f>
        <v>0</v>
      </c>
      <c r="G32" s="309">
        <f>'2012 полн'!AF26</f>
        <v>6221.870000000001</v>
      </c>
      <c r="H32" s="309">
        <f>'2012 полн'!AG26</f>
        <v>6378.338000000001</v>
      </c>
      <c r="I32" s="309">
        <f>'2012 полн'!AJ26</f>
        <v>1829.2650000000003</v>
      </c>
      <c r="J32" s="309">
        <f>'2012 полн'!AK26</f>
        <v>787.451</v>
      </c>
      <c r="K32" s="309">
        <f>'2012 полн'!AL26</f>
        <v>235.06</v>
      </c>
      <c r="L32" s="303">
        <f>'2012 полн'!AM26+'2012 полн'!AN26+'2012 полн'!AO26+'2012 полн'!AP26+'2012 полн'!AQ26+'2012 полн'!AR26+'2012 полн'!AS26+'2012 полн'!AT26</f>
        <v>8266.672999999999</v>
      </c>
      <c r="M32" s="304">
        <f>'2012 полн'!AU26+'2012 полн'!AV26+'2012 полн'!AW26+'2012 полн'!AX26</f>
        <v>0</v>
      </c>
      <c r="N32" s="310">
        <f>'2012 полн'!BD26</f>
        <v>921.203</v>
      </c>
      <c r="O32" s="306">
        <f>'2012 полн'!BE26</f>
        <v>10210.386999999999</v>
      </c>
      <c r="P32" s="306">
        <f>'2012 полн'!BF26</f>
        <v>-2002.7839999999978</v>
      </c>
      <c r="Q32" s="306">
        <f>'2012 полн'!BG26</f>
        <v>3755.2999999999993</v>
      </c>
      <c r="R32" s="198"/>
      <c r="S32" s="198"/>
    </row>
    <row r="33" spans="1:19" ht="12.75">
      <c r="A33" s="211" t="s">
        <v>44</v>
      </c>
      <c r="B33" s="308">
        <f>'2012 полн'!B27</f>
        <v>1175.3</v>
      </c>
      <c r="C33" s="308">
        <f>'2012 полн'!C27</f>
        <v>10048.815</v>
      </c>
      <c r="D33" s="42">
        <f>'2012 полн'!D27</f>
        <v>156.46799999999996</v>
      </c>
      <c r="E33" s="303">
        <f>'2012 полн'!U27</f>
        <v>9977.17</v>
      </c>
      <c r="F33" s="303">
        <f>'2012 полн'!V27</f>
        <v>0</v>
      </c>
      <c r="G33" s="309">
        <f>'2012 полн'!AF27</f>
        <v>7533.2300000000005</v>
      </c>
      <c r="H33" s="309">
        <f>'2012 полн'!AG27</f>
        <v>7689.698</v>
      </c>
      <c r="I33" s="309">
        <f>'2012 полн'!AJ27</f>
        <v>1202.6350000000002</v>
      </c>
      <c r="J33" s="309">
        <f>'2012 полн'!AK27</f>
        <v>787.451</v>
      </c>
      <c r="K33" s="309">
        <f>'2012 полн'!AL27</f>
        <v>235.06</v>
      </c>
      <c r="L33" s="303">
        <f>'2012 полн'!AM27+'2012 полн'!AN27+'2012 полн'!AO27+'2012 полн'!AP27+'2012 полн'!AQ27+'2012 полн'!AR27+'2012 полн'!AS27+'2012 полн'!AT27</f>
        <v>8266.672999999999</v>
      </c>
      <c r="M33" s="304">
        <f>'2012 полн'!AU27+'2012 полн'!AV27+'2012 полн'!AW27+'2012 полн'!AX27</f>
        <v>0</v>
      </c>
      <c r="N33" s="310">
        <f>'2012 полн'!BD27</f>
        <v>568.417</v>
      </c>
      <c r="O33" s="306">
        <f>'2012 полн'!BE27</f>
        <v>9857.600999999999</v>
      </c>
      <c r="P33" s="306">
        <f>'2012 полн'!BF27</f>
        <v>-965.2679999999982</v>
      </c>
      <c r="Q33" s="306">
        <f>'2012 полн'!BG27</f>
        <v>2443.9399999999996</v>
      </c>
      <c r="R33" s="198"/>
      <c r="S33" s="198"/>
    </row>
    <row r="34" spans="1:19" ht="12.75">
      <c r="A34" s="211" t="s">
        <v>45</v>
      </c>
      <c r="B34" s="308">
        <f>'2012 полн'!B28</f>
        <v>1175.3</v>
      </c>
      <c r="C34" s="308">
        <f>'2012 полн'!C28</f>
        <v>10048.815</v>
      </c>
      <c r="D34" s="42">
        <f>'2012 полн'!D28</f>
        <v>156.46799999999996</v>
      </c>
      <c r="E34" s="303">
        <f>'2012 полн'!U28</f>
        <v>9975.599999999999</v>
      </c>
      <c r="F34" s="303">
        <f>'2012 полн'!V28</f>
        <v>0</v>
      </c>
      <c r="G34" s="309">
        <f>'2012 полн'!AF28</f>
        <v>6847.5599999999995</v>
      </c>
      <c r="H34" s="309">
        <f>'2012 полн'!AG28</f>
        <v>7004.027999999999</v>
      </c>
      <c r="I34" s="309">
        <f>'2012 полн'!AJ28</f>
        <v>1202.6350000000002</v>
      </c>
      <c r="J34" s="309">
        <f>'2012 полн'!AK28</f>
        <v>787.451</v>
      </c>
      <c r="K34" s="309">
        <f>'2012 полн'!AL28</f>
        <v>235.06</v>
      </c>
      <c r="L34" s="303">
        <f>'2012 полн'!AM28+'2012 полн'!AN28+'2012 полн'!AO28+'2012 полн'!AP28+'2012 полн'!AQ28+'2012 полн'!AR28+'2012 полн'!AS28+'2012 полн'!AT28</f>
        <v>8266.672999999999</v>
      </c>
      <c r="M34" s="304">
        <f>'2012 полн'!AU28+'2012 полн'!AV28+'2012 полн'!AW28+'2012 полн'!AX28</f>
        <v>2925.95</v>
      </c>
      <c r="N34" s="310">
        <f>'2012 полн'!BD28</f>
        <v>568.417</v>
      </c>
      <c r="O34" s="306">
        <f>'2012 полн'!BE28</f>
        <v>12783.551</v>
      </c>
      <c r="P34" s="306">
        <f>'2012 полн'!BF28</f>
        <v>-4576.887999999999</v>
      </c>
      <c r="Q34" s="306">
        <f>'2012 полн'!BG28</f>
        <v>3128.039999999999</v>
      </c>
      <c r="R34" s="198"/>
      <c r="S34" s="198"/>
    </row>
    <row r="35" spans="1:19" ht="12.75">
      <c r="A35" s="211" t="s">
        <v>46</v>
      </c>
      <c r="B35" s="308">
        <f>'2012 полн'!B29</f>
        <v>1175.3</v>
      </c>
      <c r="C35" s="308">
        <f>'2012 полн'!C29</f>
        <v>10048.815</v>
      </c>
      <c r="D35" s="42">
        <f>'2012 полн'!D29</f>
        <v>156.46799999999996</v>
      </c>
      <c r="E35" s="303">
        <f>'2012 полн'!U29</f>
        <v>9974.320000000002</v>
      </c>
      <c r="F35" s="303">
        <f>'2012 полн'!V29</f>
        <v>0</v>
      </c>
      <c r="G35" s="309">
        <f>'2012 полн'!AF29</f>
        <v>7476.629999999999</v>
      </c>
      <c r="H35" s="309">
        <f>'2012 полн'!AG29</f>
        <v>7633.097999999999</v>
      </c>
      <c r="I35" s="309">
        <f>'2012 полн'!AJ29</f>
        <v>1202.6350000000002</v>
      </c>
      <c r="J35" s="309">
        <f>'2012 полн'!AK29</f>
        <v>787.451</v>
      </c>
      <c r="K35" s="309">
        <f>'2012 полн'!AL29</f>
        <v>235.06</v>
      </c>
      <c r="L35" s="303">
        <f>'2012 полн'!AM29+'2012 полн'!AN29+'2012 полн'!AO29+'2012 полн'!AP29+'2012 полн'!AQ29+'2012 полн'!AR29+'2012 полн'!AS29+'2012 полн'!AT29</f>
        <v>6915.0779999999995</v>
      </c>
      <c r="M35" s="304">
        <f>'2012 полн'!AU29+'2012 полн'!AV29+'2012 полн'!AW29+'2012 полн'!AX29</f>
        <v>0</v>
      </c>
      <c r="N35" s="310">
        <f>'2012 полн'!BD29</f>
        <v>568.417</v>
      </c>
      <c r="O35" s="306">
        <f>'2012 полн'!BE29</f>
        <v>8506.006</v>
      </c>
      <c r="P35" s="306">
        <f>'2012 полн'!BF29</f>
        <v>329.72700000000077</v>
      </c>
      <c r="Q35" s="306">
        <f>'2012 полн'!BG29</f>
        <v>2497.6900000000023</v>
      </c>
      <c r="R35" s="198"/>
      <c r="S35" s="198"/>
    </row>
    <row r="36" spans="1:19" ht="12.75">
      <c r="A36" s="211" t="s">
        <v>47</v>
      </c>
      <c r="B36" s="308">
        <f>'2012 полн'!B30</f>
        <v>1175.3</v>
      </c>
      <c r="C36" s="308">
        <f>'2012 полн'!C30</f>
        <v>10048.815</v>
      </c>
      <c r="D36" s="42">
        <f>'2012 полн'!D30</f>
        <v>156.46799999999996</v>
      </c>
      <c r="E36" s="303">
        <f>'2012 полн'!U30</f>
        <v>9985.43</v>
      </c>
      <c r="F36" s="303">
        <f>'2012 полн'!V30</f>
        <v>0</v>
      </c>
      <c r="G36" s="309">
        <f>'2012 полн'!AF30</f>
        <v>16019.05</v>
      </c>
      <c r="H36" s="309">
        <f>'2012 полн'!AG30</f>
        <v>16175.518</v>
      </c>
      <c r="I36" s="309">
        <f>'2012 полн'!AJ30</f>
        <v>1202.6350000000002</v>
      </c>
      <c r="J36" s="309">
        <f>'2012 полн'!AK30</f>
        <v>787.451</v>
      </c>
      <c r="K36" s="309">
        <f>'2012 полн'!AL30</f>
        <v>235.06</v>
      </c>
      <c r="L36" s="303">
        <f>'2012 полн'!AM30+'2012 полн'!AN30+'2012 полн'!AO30+'2012 полн'!AP30+'2012 полн'!AQ30+'2012 полн'!AR30+'2012 полн'!AS30+'2012 полн'!AT30</f>
        <v>6915.0779999999995</v>
      </c>
      <c r="M36" s="304">
        <f>'2012 полн'!AU30+'2012 полн'!AV30+'2012 полн'!AW30+'2012 полн'!AX30</f>
        <v>10707</v>
      </c>
      <c r="N36" s="310">
        <f>'2012 полн'!BD30</f>
        <v>568.417</v>
      </c>
      <c r="O36" s="306">
        <f>'2012 полн'!BE30</f>
        <v>19213.006</v>
      </c>
      <c r="P36" s="306">
        <f>'2012 полн'!BF30</f>
        <v>-1834.8530000000028</v>
      </c>
      <c r="Q36" s="306">
        <f>'2012 полн'!BG30</f>
        <v>-6033.619999999999</v>
      </c>
      <c r="R36" s="198"/>
      <c r="S36" s="198"/>
    </row>
    <row r="37" spans="1:19" ht="12.75">
      <c r="A37" s="211" t="s">
        <v>48</v>
      </c>
      <c r="B37" s="308">
        <f>'2012 полн'!B31</f>
        <v>1175.3</v>
      </c>
      <c r="C37" s="308">
        <f>'2012 полн'!C31</f>
        <v>10048.815</v>
      </c>
      <c r="D37" s="42">
        <f>'2012 полн'!D31</f>
        <v>156.46799999999996</v>
      </c>
      <c r="E37" s="303">
        <f>'2012 полн'!U31</f>
        <v>10005.67</v>
      </c>
      <c r="F37" s="303">
        <f>'2012 полн'!V31</f>
        <v>0</v>
      </c>
      <c r="G37" s="309">
        <f>'2012 полн'!AF31</f>
        <v>10616.18</v>
      </c>
      <c r="H37" s="309">
        <f>'2012 полн'!AG31</f>
        <v>10772.648000000001</v>
      </c>
      <c r="I37" s="309">
        <f>'2012 полн'!AJ31</f>
        <v>1202.6350000000002</v>
      </c>
      <c r="J37" s="309">
        <f>'2012 полн'!AK31</f>
        <v>787.451</v>
      </c>
      <c r="K37" s="309">
        <f>'2012 полн'!AL31</f>
        <v>235.06</v>
      </c>
      <c r="L37" s="303">
        <f>'2012 полн'!AM31+'2012 полн'!AN31+'2012 полн'!AO31+'2012 полн'!AP31+'2012 полн'!AQ31+'2012 полн'!AR31+'2012 полн'!AS31+'2012 полн'!AT31</f>
        <v>6915.0779999999995</v>
      </c>
      <c r="M37" s="304">
        <f>'2012 полн'!AU31+'2012 полн'!AV31+'2012 полн'!AW31+'2012 полн'!AX31</f>
        <v>17.1</v>
      </c>
      <c r="N37" s="310">
        <f>'2012 полн'!BD31</f>
        <v>568.417</v>
      </c>
      <c r="O37" s="306">
        <f>'2012 полн'!BE31</f>
        <v>8523.106</v>
      </c>
      <c r="P37" s="306">
        <f>'2012 полн'!BF31</f>
        <v>3452.1770000000015</v>
      </c>
      <c r="Q37" s="306">
        <f>'2012 полн'!BG31</f>
        <v>-610.5100000000002</v>
      </c>
      <c r="R37" s="198"/>
      <c r="S37" s="198"/>
    </row>
    <row r="38" spans="1:17" ht="12.75">
      <c r="A38" s="211" t="s">
        <v>49</v>
      </c>
      <c r="B38" s="308">
        <f>'2012 полн'!B32</f>
        <v>1175.3</v>
      </c>
      <c r="C38" s="308">
        <f>'2012 полн'!C32</f>
        <v>11177.103</v>
      </c>
      <c r="D38" s="42">
        <f>'2012 полн'!D32</f>
        <v>209.391</v>
      </c>
      <c r="E38" s="303">
        <f>'2012 полн'!U32</f>
        <v>11129.9</v>
      </c>
      <c r="F38" s="303">
        <f>'2012 полн'!V32</f>
        <v>0</v>
      </c>
      <c r="G38" s="309">
        <f>'2012 полн'!AF32</f>
        <v>11512.089999999998</v>
      </c>
      <c r="H38" s="309">
        <f>'2012 полн'!AG32</f>
        <v>11721.480999999998</v>
      </c>
      <c r="I38" s="309">
        <f>'2012 полн'!AJ32</f>
        <v>1202.6350000000002</v>
      </c>
      <c r="J38" s="309">
        <f>'2012 полн'!AK32</f>
        <v>881.4749999999999</v>
      </c>
      <c r="K38" s="309">
        <f>'2012 полн'!AL32</f>
        <v>235.06</v>
      </c>
      <c r="L38" s="303">
        <f>'2012 полн'!AM32+'2012 полн'!AN32+'2012 полн'!AO32+'2012 полн'!AP32+'2012 полн'!AQ32+'2012 полн'!AR32+'2012 полн'!AS32+'2012 полн'!AT32</f>
        <v>6915.0779999999995</v>
      </c>
      <c r="M38" s="304">
        <f>'2012 полн'!AU32+'2012 полн'!AV32+'2012 полн'!AW32+'2012 полн'!AX32</f>
        <v>0</v>
      </c>
      <c r="N38" s="310">
        <f>'2012 полн'!BD32</f>
        <v>568.417</v>
      </c>
      <c r="O38" s="306">
        <f>'2012 полн'!BE32</f>
        <v>8600.03</v>
      </c>
      <c r="P38" s="306">
        <f>'2012 полн'!BF32</f>
        <v>4324.0859999999975</v>
      </c>
      <c r="Q38" s="306">
        <f>'2012 полн'!BG32</f>
        <v>-382.1899999999987</v>
      </c>
    </row>
    <row r="39" spans="1:17" ht="12.75">
      <c r="A39" s="211" t="s">
        <v>50</v>
      </c>
      <c r="B39" s="308">
        <f>'2012 полн'!B33</f>
        <v>1177.9</v>
      </c>
      <c r="C39" s="308">
        <f>'2012 полн'!C33</f>
        <v>11201.829</v>
      </c>
      <c r="D39" s="42">
        <f>'2012 полн'!D33</f>
        <v>0</v>
      </c>
      <c r="E39" s="303">
        <f>'2012 полн'!U33</f>
        <v>11118.8</v>
      </c>
      <c r="F39" s="303">
        <f>'2012 полн'!V33</f>
        <v>0</v>
      </c>
      <c r="G39" s="309">
        <f>'2012 полн'!AF33</f>
        <v>10518.789999999999</v>
      </c>
      <c r="H39" s="309">
        <f>'2012 полн'!AG33</f>
        <v>10518.789999999999</v>
      </c>
      <c r="I39" s="309">
        <f>'2012 полн'!AJ33</f>
        <v>1202.6350000000002</v>
      </c>
      <c r="J39" s="309">
        <f>'2012 полн'!AK33</f>
        <v>883.4250000000001</v>
      </c>
      <c r="K39" s="309">
        <f>'2012 полн'!AL33</f>
        <v>235.58000000000004</v>
      </c>
      <c r="L39" s="303">
        <f>'2012 полн'!AM33+'2012 полн'!AN33+'2012 полн'!AO33+'2012 полн'!AP33+'2012 полн'!AQ33+'2012 полн'!AR33+'2012 полн'!AS33+'2012 полн'!AT33</f>
        <v>6930.054000000001</v>
      </c>
      <c r="M39" s="304">
        <f>'2012 полн'!AU33+'2012 полн'!AV33+'2012 полн'!AW33+'2012 полн'!AX33</f>
        <v>35.68</v>
      </c>
      <c r="N39" s="310">
        <f>'2012 полн'!BD33</f>
        <v>568.417</v>
      </c>
      <c r="O39" s="306">
        <f>'2012 полн'!BE33</f>
        <v>8653.156</v>
      </c>
      <c r="P39" s="306">
        <f>'2012 полн'!BF33</f>
        <v>3068.2689999999984</v>
      </c>
      <c r="Q39" s="306">
        <f>'2012 полн'!BG33</f>
        <v>600.0100000000002</v>
      </c>
    </row>
    <row r="40" spans="1:17" ht="12.75">
      <c r="A40" s="211" t="s">
        <v>51</v>
      </c>
      <c r="B40" s="308">
        <f>'2012 полн'!B34</f>
        <v>1177.9</v>
      </c>
      <c r="C40" s="308">
        <f>'2012 полн'!C34</f>
        <v>11201.829</v>
      </c>
      <c r="D40" s="42">
        <f>'2012 полн'!D34</f>
        <v>0</v>
      </c>
      <c r="E40" s="303">
        <f>'2012 полн'!U34</f>
        <v>11126.6</v>
      </c>
      <c r="F40" s="303">
        <f>'2012 полн'!V34</f>
        <v>0</v>
      </c>
      <c r="G40" s="309">
        <f>'2012 полн'!AF34</f>
        <v>9876.820000000002</v>
      </c>
      <c r="H40" s="309">
        <f>'2012 полн'!AG34</f>
        <v>9876.820000000002</v>
      </c>
      <c r="I40" s="309">
        <f>'2012 полн'!AJ34</f>
        <v>1202.6350000000002</v>
      </c>
      <c r="J40" s="309">
        <f>'2012 полн'!AK34</f>
        <v>883.4250000000001</v>
      </c>
      <c r="K40" s="309">
        <f>'2012 полн'!AL34</f>
        <v>235.58000000000004</v>
      </c>
      <c r="L40" s="303">
        <f>'2012 полн'!AM34+'2012 полн'!AN34+'2012 полн'!AO34+'2012 полн'!AP34+'2012 полн'!AQ34+'2012 полн'!AR34+'2012 полн'!AS34+'2012 полн'!AT34</f>
        <v>6930.054000000001</v>
      </c>
      <c r="M40" s="304">
        <f>'2012 полн'!AU34+'2012 полн'!AV34+'2012 полн'!AW34+'2012 полн'!AX34</f>
        <v>736.86</v>
      </c>
      <c r="N40" s="310">
        <f>'2012 полн'!BD34</f>
        <v>568.417</v>
      </c>
      <c r="O40" s="306">
        <f>'2012 полн'!BE34</f>
        <v>9354.336000000001</v>
      </c>
      <c r="P40" s="306">
        <f>'2012 полн'!BF34</f>
        <v>1725.1190000000006</v>
      </c>
      <c r="Q40" s="306">
        <f>'2012 полн'!BG34</f>
        <v>1249.7799999999988</v>
      </c>
    </row>
    <row r="41" spans="1:17" ht="12.75">
      <c r="A41" s="211" t="s">
        <v>39</v>
      </c>
      <c r="B41" s="308">
        <f>'2012 полн'!B35</f>
        <v>1177.9</v>
      </c>
      <c r="C41" s="308">
        <f>'2012 полн'!C35</f>
        <v>11201.829</v>
      </c>
      <c r="D41" s="42">
        <f>'2012 полн'!D35</f>
        <v>0</v>
      </c>
      <c r="E41" s="303">
        <f>'2012 полн'!U35</f>
        <v>11129.08</v>
      </c>
      <c r="F41" s="303">
        <f>'2012 полн'!V35</f>
        <v>0</v>
      </c>
      <c r="G41" s="309">
        <f>'2012 полн'!AF35</f>
        <v>15299.73</v>
      </c>
      <c r="H41" s="309">
        <f>'2012 полн'!AG35</f>
        <v>15299.73</v>
      </c>
      <c r="I41" s="309">
        <f>'2012 полн'!AJ35</f>
        <v>1202.6350000000002</v>
      </c>
      <c r="J41" s="309">
        <f>'2012 полн'!AK35</f>
        <v>883.4250000000001</v>
      </c>
      <c r="K41" s="309">
        <f>'2012 полн'!AL35</f>
        <v>235.58000000000004</v>
      </c>
      <c r="L41" s="303">
        <f>'2012 полн'!AM35+'2012 полн'!AN35+'2012 полн'!AO35+'2012 полн'!AP35+'2012 полн'!AQ35+'2012 полн'!AR35+'2012 полн'!AS35+'2012 полн'!AT35</f>
        <v>8284.639000000001</v>
      </c>
      <c r="M41" s="304">
        <f>'2012 полн'!AU35+'2012 полн'!AV35+'2012 полн'!AW35+'2012 полн'!AX35</f>
        <v>432.9</v>
      </c>
      <c r="N41" s="310">
        <f>'2012 полн'!BD35</f>
        <v>568.417</v>
      </c>
      <c r="O41" s="306">
        <f>'2012 полн'!BE35</f>
        <v>10404.961000000001</v>
      </c>
      <c r="P41" s="306">
        <f>'2012 полн'!BF35</f>
        <v>6097.403999999997</v>
      </c>
      <c r="Q41" s="306">
        <f>'2012 полн'!BG35</f>
        <v>-4170.65</v>
      </c>
    </row>
    <row r="42" spans="1:17" ht="12.75">
      <c r="A42" s="211" t="s">
        <v>40</v>
      </c>
      <c r="B42" s="308">
        <f>'2012 полн'!B36</f>
        <v>1177.9</v>
      </c>
      <c r="C42" s="308">
        <f>'2012 полн'!C36</f>
        <v>11201.829</v>
      </c>
      <c r="D42" s="42">
        <f>'2012 полн'!D36</f>
        <v>0</v>
      </c>
      <c r="E42" s="303">
        <f>'2012 полн'!U36</f>
        <v>11129.08</v>
      </c>
      <c r="F42" s="303">
        <f>'2012 полн'!V36</f>
        <v>0</v>
      </c>
      <c r="G42" s="309">
        <f>'2012 полн'!AF36</f>
        <v>11204.37</v>
      </c>
      <c r="H42" s="309">
        <f>'2012 полн'!AG36</f>
        <v>11204.37</v>
      </c>
      <c r="I42" s="309">
        <f>'2012 полн'!AJ36</f>
        <v>1202.6350000000002</v>
      </c>
      <c r="J42" s="309">
        <f>'2012 полн'!AK36</f>
        <v>883.4250000000001</v>
      </c>
      <c r="K42" s="309">
        <f>'2012 полн'!AL36</f>
        <v>235.58000000000004</v>
      </c>
      <c r="L42" s="303">
        <f>'2012 полн'!AM36+'2012 полн'!AN36+'2012 полн'!AO36+'2012 полн'!AP36+'2012 полн'!AQ36+'2012 полн'!AR36+'2012 полн'!AS36+'2012 полн'!AT36</f>
        <v>8284.639000000001</v>
      </c>
      <c r="M42" s="304">
        <f>'2012 полн'!AU36+'2012 полн'!AV36+'2012 полн'!AW36+'2012 полн'!AX36</f>
        <v>0</v>
      </c>
      <c r="N42" s="310">
        <f>'2012 полн'!BD36</f>
        <v>568.417</v>
      </c>
      <c r="O42" s="306">
        <f>'2012 полн'!BE36</f>
        <v>9972.061000000002</v>
      </c>
      <c r="P42" s="306">
        <f>'2012 полн'!BF36</f>
        <v>2434.9439999999995</v>
      </c>
      <c r="Q42" s="306">
        <f>'2012 полн'!BG36</f>
        <v>-75.29000000000087</v>
      </c>
    </row>
    <row r="43" spans="1:17" ht="13.5" thickBot="1">
      <c r="A43" s="211" t="s">
        <v>41</v>
      </c>
      <c r="B43" s="308">
        <f>'2012 полн'!B37</f>
        <v>1177.9</v>
      </c>
      <c r="C43" s="308">
        <f>'2012 полн'!C37</f>
        <v>11201.829</v>
      </c>
      <c r="D43" s="42">
        <f>'2012 полн'!D37</f>
        <v>0</v>
      </c>
      <c r="E43" s="303">
        <f>'2012 полн'!U37</f>
        <v>11129.08</v>
      </c>
      <c r="F43" s="303">
        <f>'2012 полн'!V37</f>
        <v>0</v>
      </c>
      <c r="G43" s="309">
        <f>'2012 полн'!AF37</f>
        <v>20646.01</v>
      </c>
      <c r="H43" s="309">
        <f>'2012 полн'!AG37</f>
        <v>20646.01</v>
      </c>
      <c r="I43" s="309">
        <f>'2012 полн'!AJ37</f>
        <v>1202.6350000000002</v>
      </c>
      <c r="J43" s="309">
        <f>'2012 полн'!AK37</f>
        <v>883.4250000000001</v>
      </c>
      <c r="K43" s="309">
        <f>'2012 полн'!AL37</f>
        <v>235.58000000000004</v>
      </c>
      <c r="L43" s="303">
        <f>'2012 полн'!AM37+'2012 полн'!AN37+'2012 полн'!AO37+'2012 полн'!AP37+'2012 полн'!AQ37+'2012 полн'!AR37+'2012 полн'!AS37+'2012 полн'!AT37</f>
        <v>8284.639000000001</v>
      </c>
      <c r="M43" s="304">
        <f>'2012 полн'!AU37+'2012 полн'!AV37+'2012 полн'!AW37+'2012 полн'!AX37</f>
        <v>159.35</v>
      </c>
      <c r="N43" s="310">
        <f>'2012 полн'!BD37</f>
        <v>568.417</v>
      </c>
      <c r="O43" s="306">
        <f>'2012 полн'!BE37</f>
        <v>10131.411000000002</v>
      </c>
      <c r="P43" s="306">
        <f>'2012 полн'!BF37</f>
        <v>11717.233999999995</v>
      </c>
      <c r="Q43" s="306">
        <f>'2012 полн'!BG37</f>
        <v>-9516.929999999998</v>
      </c>
    </row>
    <row r="44" spans="1:19" s="24" customFormat="1" ht="13.5" thickBot="1">
      <c r="A44" s="48" t="s">
        <v>3</v>
      </c>
      <c r="B44" s="49"/>
      <c r="C44" s="54">
        <f aca="true" t="shared" si="2" ref="C44:P44">SUM(C32:C43)</f>
        <v>127479.13799999999</v>
      </c>
      <c r="D44" s="54">
        <f t="shared" si="2"/>
        <v>1148.1989999999998</v>
      </c>
      <c r="E44" s="54">
        <f t="shared" si="2"/>
        <v>126657.90000000001</v>
      </c>
      <c r="F44" s="54">
        <f t="shared" si="2"/>
        <v>0</v>
      </c>
      <c r="G44" s="54">
        <f t="shared" si="2"/>
        <v>133772.33</v>
      </c>
      <c r="H44" s="54">
        <f t="shared" si="2"/>
        <v>134920.52899999998</v>
      </c>
      <c r="I44" s="54">
        <f t="shared" si="2"/>
        <v>15058.250000000002</v>
      </c>
      <c r="J44" s="54">
        <f t="shared" si="2"/>
        <v>10023.305999999999</v>
      </c>
      <c r="K44" s="54">
        <f t="shared" si="2"/>
        <v>2823.3199999999997</v>
      </c>
      <c r="L44" s="54">
        <f t="shared" si="2"/>
        <v>91174.35599999999</v>
      </c>
      <c r="M44" s="54">
        <f t="shared" si="2"/>
        <v>15014.840000000002</v>
      </c>
      <c r="N44" s="54">
        <f t="shared" si="2"/>
        <v>7173.790000000002</v>
      </c>
      <c r="O44" s="54">
        <f t="shared" si="2"/>
        <v>126209.61200000001</v>
      </c>
      <c r="P44" s="54">
        <f t="shared" si="2"/>
        <v>23769.166999999994</v>
      </c>
      <c r="Q44" s="54">
        <f>SUM(Q32:Q43)</f>
        <v>-7114.429999999997</v>
      </c>
      <c r="R44" s="56"/>
      <c r="S44" s="56"/>
    </row>
    <row r="45" spans="1:17" ht="13.5" thickBot="1">
      <c r="A45" s="480" t="s">
        <v>66</v>
      </c>
      <c r="B45" s="481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296"/>
      <c r="P45" s="297"/>
      <c r="Q45" s="297"/>
    </row>
    <row r="46" spans="1:19" s="24" customFormat="1" ht="13.5" thickBot="1">
      <c r="A46" s="64" t="s">
        <v>52</v>
      </c>
      <c r="B46" s="65"/>
      <c r="C46" s="66">
        <f aca="true" t="shared" si="3" ref="C46:P46">C44+C30</f>
        <v>522429.07800000004</v>
      </c>
      <c r="D46" s="66">
        <f t="shared" si="3"/>
        <v>36047.78676160002</v>
      </c>
      <c r="E46" s="66">
        <f t="shared" si="3"/>
        <v>463252.98000000004</v>
      </c>
      <c r="F46" s="66">
        <f t="shared" si="3"/>
        <v>23009.910000000003</v>
      </c>
      <c r="G46" s="66">
        <f t="shared" si="3"/>
        <v>446719.56000000006</v>
      </c>
      <c r="H46" s="66">
        <f t="shared" si="3"/>
        <v>492344.1767616</v>
      </c>
      <c r="I46" s="66">
        <f t="shared" si="3"/>
        <v>58510.244799999986</v>
      </c>
      <c r="J46" s="66">
        <f t="shared" si="3"/>
        <v>38221.902</v>
      </c>
      <c r="K46" s="66">
        <f t="shared" si="3"/>
        <v>11926.548116</v>
      </c>
      <c r="L46" s="66">
        <f t="shared" si="3"/>
        <v>323786.24358028</v>
      </c>
      <c r="M46" s="66">
        <f t="shared" si="3"/>
        <v>138307.859</v>
      </c>
      <c r="N46" s="66">
        <f t="shared" si="3"/>
        <v>29178.8371532886</v>
      </c>
      <c r="O46" s="66">
        <f t="shared" si="3"/>
        <v>541421.3898495686</v>
      </c>
      <c r="P46" s="66">
        <f t="shared" si="3"/>
        <v>9433.031712031407</v>
      </c>
      <c r="Q46" s="66">
        <f>Q44+Q30</f>
        <v>-44195.36</v>
      </c>
      <c r="R46" s="69"/>
      <c r="S46" s="56"/>
    </row>
    <row r="47" ht="6.75" customHeight="1"/>
    <row r="48" spans="1:18" ht="12.75">
      <c r="A48" s="24" t="s">
        <v>67</v>
      </c>
      <c r="D48" s="312" t="s">
        <v>125</v>
      </c>
      <c r="Q48" s="198"/>
      <c r="R48" s="198"/>
    </row>
    <row r="49" spans="1:18" ht="12.75">
      <c r="A49" s="208" t="s">
        <v>68</v>
      </c>
      <c r="B49" s="208" t="s">
        <v>69</v>
      </c>
      <c r="C49" s="506" t="s">
        <v>70</v>
      </c>
      <c r="D49" s="506"/>
      <c r="Q49" s="198"/>
      <c r="R49" s="198"/>
    </row>
    <row r="50" spans="1:18" ht="12.75">
      <c r="A50" s="126">
        <v>112434.84</v>
      </c>
      <c r="B50" s="126">
        <v>16074</v>
      </c>
      <c r="C50" s="507">
        <f>A50-B50</f>
        <v>96360.84</v>
      </c>
      <c r="D50" s="508"/>
      <c r="Q50" s="198"/>
      <c r="R50" s="198"/>
    </row>
    <row r="51" spans="1:18" ht="3.75" customHeight="1">
      <c r="A51" s="70"/>
      <c r="Q51" s="198"/>
      <c r="R51" s="198"/>
    </row>
    <row r="52" spans="1:18" ht="12.75">
      <c r="A52" s="199" t="s">
        <v>71</v>
      </c>
      <c r="G52" s="199" t="s">
        <v>72</v>
      </c>
      <c r="Q52" s="198"/>
      <c r="R52" s="198"/>
    </row>
    <row r="53" ht="4.5" customHeight="1">
      <c r="A53" s="198"/>
    </row>
    <row r="54" ht="12.75">
      <c r="A54" s="312" t="s">
        <v>123</v>
      </c>
    </row>
    <row r="55" ht="12.75">
      <c r="A55" s="199" t="s">
        <v>73</v>
      </c>
    </row>
  </sheetData>
  <sheetProtection/>
  <mergeCells count="29">
    <mergeCell ref="O10:O11"/>
    <mergeCell ref="A13:N13"/>
    <mergeCell ref="A29:N29"/>
    <mergeCell ref="C49:D49"/>
    <mergeCell ref="C50:D50"/>
    <mergeCell ref="A8:A11"/>
    <mergeCell ref="B8:B11"/>
    <mergeCell ref="C8:C11"/>
    <mergeCell ref="D8:D11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N10:N11"/>
    <mergeCell ref="A45:N45"/>
    <mergeCell ref="E8:F9"/>
    <mergeCell ref="G8:H9"/>
    <mergeCell ref="B1:H1"/>
    <mergeCell ref="B2:H2"/>
    <mergeCell ref="A5:N5"/>
    <mergeCell ref="A6:G6"/>
    <mergeCell ref="A7:D7"/>
    <mergeCell ref="E7:F7"/>
    <mergeCell ref="J8:O9"/>
  </mergeCells>
  <printOptions/>
  <pageMargins left="0.15748031496062992" right="0.15748031496062992" top="0.1968503937007874" bottom="0.15748031496062992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2012-12-06T11:00:47Z</cp:lastPrinted>
  <dcterms:created xsi:type="dcterms:W3CDTF">2010-04-03T04:08:20Z</dcterms:created>
  <dcterms:modified xsi:type="dcterms:W3CDTF">2013-03-24T14:55:26Z</dcterms:modified>
  <cp:category/>
  <cp:version/>
  <cp:contentType/>
  <cp:contentStatus/>
</cp:coreProperties>
</file>