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2 полн" sheetId="3" r:id="rId3"/>
    <sheet name="2012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<sst xmlns="http://schemas.openxmlformats.org/spreadsheetml/2006/main" count="329" uniqueCount="132">
  <si>
    <t>№ п/п</t>
  </si>
  <si>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</si>
  <si>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</si>
  <si>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</si>
  <si>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</si>
  <si>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</si>
  <si>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</si>
  <si>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</si>
  <si>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</si>
  <si>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</si>
  <si>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</si>
  <si>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</si>
  <si>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</si>
  <si>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</si>
  <si>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</si>
  <si>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</si>
  <si>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</si>
  <si>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</si>
  <si>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</si>
  <si>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</si>
  <si>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</si>
  <si>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</si>
  <si>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</si>
  <si>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</si>
  <si>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</si>
  <si>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</si>
  <si>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</si>
  <si>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</si>
  <si>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</si>
  <si>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</si>
  <si>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</si>
  <si>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</si>
  <si>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</si>
  <si>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</si>
  <si>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</si>
  <si>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</si>
  <si>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</si>
  <si>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</si>
  <si>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</si>
  <si>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</si>
  <si>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</si>
  <si>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</si>
  <si>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</si>
  <si>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</si>
  <si>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</si>
  <si>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</si>
  <si>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</si>
  <si>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</si>
  <si>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</si>
  <si>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</si>
  <si>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</si>
  <si>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</si>
  <si>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</si>
  <si>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</si>
  <si>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</si>
  <si>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</si>
  <si>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</si>
  <si>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</si>
  <si>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</si>
  <si>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</si>
  <si>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</si>
  <si>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</si>
  <si>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</si>
  <si>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</si>
  <si>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</si>
  <si>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</si>
  <si>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</si>
  <si>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</si>
  <si>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</si>
  <si>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</si>
  <si>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</si>
  <si>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</si>
  <si>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</si>
  <si>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</si>
  <si>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</si>
  <si>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</si>
  <si>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Доходы по нежил.помещениям</t>
  </si>
  <si>
    <t>Лицевой счет по адресу г. Таштагол, ул. Ленина, д. 62</t>
  </si>
  <si>
    <t>Собрано всего по жил.услугам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</si>
  <si>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</si>
  <si>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</si>
  <si>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</si>
  <si>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</si>
  <si>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</si>
  <si>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</si>
  <si>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</si>
  <si>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</si>
  <si>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</si>
  <si>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</si>
  <si>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 xml:space="preserve">Долг(-)/ переплата(+)  жителей </t>
  </si>
  <si>
    <t>2010 год</t>
  </si>
  <si>
    <t>ВСЕГО</t>
  </si>
  <si>
    <t>*по состоянию на 01.01.2011 г.</t>
  </si>
  <si>
    <t>на начало отчетного периода</t>
  </si>
  <si>
    <t>Исп. Ю.С. Дмитриева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</si>
  <si>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</si>
  <si>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</si>
  <si>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</si>
  <si>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</si>
  <si>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</si>
  <si>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</si>
  <si>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</si>
  <si>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</si>
  <si>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</si>
  <si>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</si>
  <si>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</si>
  <si>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</si>
  <si>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</si>
  <si>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</si>
  <si>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</si>
  <si>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</si>
  <si>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</si>
  <si>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</si>
  <si>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</si>
  <si>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</si>
  <si>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Собрано квартплаты от населения</t>
  </si>
  <si>
    <t>Услуга начисления</t>
  </si>
  <si>
    <t>Расходы по нежилым помещениям</t>
  </si>
  <si>
    <t>Собрано по содержанию и тек.рем.</t>
  </si>
  <si>
    <t>Исп. В.В. Колмогорова</t>
  </si>
  <si>
    <t>Выписка по лицевому счету по адресу г. Таштагол ул. Ленина, д.62</t>
  </si>
  <si>
    <t>на 01.01.2011 г.</t>
  </si>
  <si>
    <t>к Протоколу №2 Общего собрания собственников помещений в многоквартирном доме, расположенном по адресу: г. Таштагол, ул. Ленина, д.62</t>
  </si>
  <si>
    <t xml:space="preserve">Приложение №2 </t>
  </si>
  <si>
    <t>Выписка по лицевому счету дома, расположенного по адресу г. Таштагол, ул. Ленина, д. 62</t>
  </si>
  <si>
    <t>Доходы по нежилым</t>
  </si>
  <si>
    <t>Содержание сетей тепло-водо снабжения</t>
  </si>
  <si>
    <t>Тариф по содержанию и тек.ремонту 100 % (14,05руб.*площадь)</t>
  </si>
  <si>
    <t>Лицевой счет по адресу г. Таштагол, ул. Ленина, д.62</t>
  </si>
  <si>
    <t>2012 год</t>
  </si>
  <si>
    <t>*по состоянию на 01.04.2013 г.</t>
  </si>
  <si>
    <t>на 01.01.2013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</si>
</sst>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2" fillId="0" borderId="12" xfId="33" applyNumberFormat="1" applyFont="1" applyFill="1" applyBorder="1" applyAlignment="1">
      <alignment vertical="center" wrapText="1"/>
      <protection/>
    </xf>
    <xf numFmtId="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vertical="center" wrapText="1"/>
    </xf>
    <xf numFmtId="4" fontId="0" fillId="34" borderId="12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34" borderId="12" xfId="0" applyFont="1" applyFill="1" applyBorder="1" applyAlignment="1">
      <alignment vertical="center" wrapText="1"/>
    </xf>
    <xf numFmtId="4" fontId="0" fillId="33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textRotation="90"/>
    </xf>
    <xf numFmtId="2" fontId="1" fillId="0" borderId="16" xfId="0" applyNumberFormat="1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27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4" fontId="1" fillId="0" borderId="18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7" xfId="0" applyNumberFormat="1" applyFont="1" applyFill="1" applyBorder="1" applyAlignment="1">
      <alignment wrapText="1"/>
    </xf>
    <xf numFmtId="4" fontId="0" fillId="0" borderId="27" xfId="0" applyNumberFormat="1" applyFont="1" applyFill="1" applyBorder="1" applyAlignment="1">
      <alignment horizontal="right" vertical="center" wrapText="1"/>
    </xf>
    <xf numFmtId="4" fontId="0" fillId="0" borderId="31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4" fontId="2" fillId="0" borderId="12" xfId="54" applyNumberFormat="1" applyFont="1" applyFill="1" applyBorder="1" applyAlignment="1">
      <alignment horizontal="right"/>
      <protection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right" vertical="center" wrapText="1"/>
    </xf>
    <xf numFmtId="4" fontId="0" fillId="33" borderId="12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 wrapText="1"/>
    </xf>
    <xf numFmtId="4" fontId="1" fillId="0" borderId="35" xfId="0" applyNumberFormat="1" applyFont="1" applyFill="1" applyBorder="1" applyAlignment="1">
      <alignment horizontal="right"/>
    </xf>
    <xf numFmtId="4" fontId="1" fillId="33" borderId="22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right" wrapText="1"/>
    </xf>
    <xf numFmtId="4" fontId="1" fillId="33" borderId="31" xfId="0" applyNumberFormat="1" applyFont="1" applyFill="1" applyBorder="1" applyAlignment="1">
      <alignment horizontal="right"/>
    </xf>
    <xf numFmtId="4" fontId="1" fillId="33" borderId="24" xfId="0" applyNumberFormat="1" applyFont="1" applyFill="1" applyBorder="1" applyAlignment="1">
      <alignment horizontal="right" wrapText="1"/>
    </xf>
    <xf numFmtId="0" fontId="1" fillId="33" borderId="33" xfId="0" applyFont="1" applyFill="1" applyBorder="1" applyAlignment="1">
      <alignment horizontal="left"/>
    </xf>
    <xf numFmtId="4" fontId="1" fillId="33" borderId="19" xfId="0" applyNumberFormat="1" applyFont="1" applyFill="1" applyBorder="1" applyAlignment="1">
      <alignment horizontal="right"/>
    </xf>
    <xf numFmtId="0" fontId="1" fillId="33" borderId="19" xfId="0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right" wrapText="1"/>
    </xf>
    <xf numFmtId="4" fontId="1" fillId="33" borderId="24" xfId="0" applyNumberFormat="1" applyFont="1" applyFill="1" applyBorder="1" applyAlignment="1">
      <alignment horizontal="right"/>
    </xf>
    <xf numFmtId="4" fontId="1" fillId="33" borderId="13" xfId="0" applyNumberFormat="1" applyFont="1" applyFill="1" applyBorder="1" applyAlignment="1">
      <alignment horizontal="right"/>
    </xf>
    <xf numFmtId="4" fontId="1" fillId="33" borderId="28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" fontId="0" fillId="34" borderId="12" xfId="0" applyNumberFormat="1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36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4" fontId="0" fillId="37" borderId="12" xfId="0" applyNumberFormat="1" applyFont="1" applyFill="1" applyBorder="1" applyAlignment="1">
      <alignment/>
    </xf>
    <xf numFmtId="4" fontId="0" fillId="38" borderId="12" xfId="0" applyNumberFormat="1" applyFont="1" applyFill="1" applyBorder="1" applyAlignment="1">
      <alignment/>
    </xf>
    <xf numFmtId="4" fontId="2" fillId="34" borderId="12" xfId="33" applyNumberFormat="1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wrapText="1"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0" fillId="39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4" fontId="0" fillId="38" borderId="13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right" vertical="center" wrapText="1"/>
    </xf>
    <xf numFmtId="4" fontId="1" fillId="0" borderId="37" xfId="0" applyNumberFormat="1" applyFont="1" applyFill="1" applyBorder="1" applyAlignment="1">
      <alignment wrapText="1"/>
    </xf>
    <xf numFmtId="4" fontId="1" fillId="0" borderId="38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horizontal="center" textRotation="90" wrapText="1"/>
    </xf>
    <xf numFmtId="4" fontId="0" fillId="0" borderId="0" xfId="0" applyNumberFormat="1" applyFont="1" applyFill="1" applyAlignment="1">
      <alignment/>
    </xf>
    <xf numFmtId="0" fontId="1" fillId="33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4" fontId="1" fillId="33" borderId="20" xfId="0" applyNumberFormat="1" applyFont="1" applyFill="1" applyBorder="1" applyAlignment="1">
      <alignment horizontal="right"/>
    </xf>
    <xf numFmtId="0" fontId="1" fillId="33" borderId="24" xfId="0" applyFont="1" applyFill="1" applyBorder="1" applyAlignment="1">
      <alignment horizontal="center" vertical="center" wrapText="1"/>
    </xf>
    <xf numFmtId="4" fontId="1" fillId="33" borderId="39" xfId="0" applyNumberFormat="1" applyFont="1" applyFill="1" applyBorder="1" applyAlignment="1">
      <alignment horizontal="right"/>
    </xf>
    <xf numFmtId="4" fontId="1" fillId="33" borderId="40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1" fillId="0" borderId="41" xfId="0" applyNumberFormat="1" applyFont="1" applyFill="1" applyBorder="1" applyAlignment="1">
      <alignment horizontal="right" wrapText="1"/>
    </xf>
    <xf numFmtId="4" fontId="1" fillId="0" borderId="41" xfId="0" applyNumberFormat="1" applyFont="1" applyFill="1" applyBorder="1" applyAlignment="1">
      <alignment horizontal="right"/>
    </xf>
    <xf numFmtId="0" fontId="1" fillId="33" borderId="3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 vertical="center" wrapText="1"/>
    </xf>
    <xf numFmtId="4" fontId="2" fillId="0" borderId="39" xfId="33" applyNumberFormat="1" applyFont="1" applyFill="1" applyBorder="1" applyAlignment="1">
      <alignment horizontal="right" vertical="center" wrapText="1"/>
      <protection/>
    </xf>
    <xf numFmtId="4" fontId="2" fillId="0" borderId="40" xfId="33" applyNumberFormat="1" applyFont="1" applyFill="1" applyBorder="1" applyAlignment="1">
      <alignment horizontal="right" vertical="center" wrapText="1"/>
      <protection/>
    </xf>
    <xf numFmtId="4" fontId="1" fillId="0" borderId="26" xfId="0" applyNumberFormat="1" applyFont="1" applyFill="1" applyBorder="1" applyAlignment="1">
      <alignment horizontal="right"/>
    </xf>
    <xf numFmtId="4" fontId="2" fillId="0" borderId="28" xfId="33" applyNumberFormat="1" applyFont="1" applyFill="1" applyBorder="1" applyAlignment="1">
      <alignment horizontal="right" vertical="center" wrapText="1"/>
      <protection/>
    </xf>
    <xf numFmtId="4" fontId="2" fillId="0" borderId="13" xfId="33" applyNumberFormat="1" applyFont="1" applyFill="1" applyBorder="1" applyAlignment="1">
      <alignment horizontal="right" vertical="center" wrapText="1"/>
      <protection/>
    </xf>
    <xf numFmtId="0" fontId="0" fillId="0" borderId="3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" fontId="1" fillId="0" borderId="4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horizontal="right" vertical="center" wrapText="1"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 wrapText="1"/>
    </xf>
    <xf numFmtId="4" fontId="2" fillId="0" borderId="21" xfId="33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4" fontId="0" fillId="39" borderId="13" xfId="0" applyNumberFormat="1" applyFont="1" applyFill="1" applyBorder="1" applyAlignment="1">
      <alignment horizontal="center"/>
    </xf>
    <xf numFmtId="4" fontId="0" fillId="34" borderId="47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0" fillId="36" borderId="47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/>
    </xf>
    <xf numFmtId="4" fontId="0" fillId="36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0" fillId="33" borderId="44" xfId="0" applyNumberFormat="1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38" borderId="45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46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1" fillId="0" borderId="53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4" fontId="2" fillId="34" borderId="27" xfId="33" applyNumberFormat="1" applyFont="1" applyFill="1" applyBorder="1" applyAlignment="1">
      <alignment horizontal="center" vertical="center" wrapText="1"/>
      <protection/>
    </xf>
    <xf numFmtId="4" fontId="2" fillId="34" borderId="47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0" fillId="36" borderId="47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1" fillId="0" borderId="54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1" fillId="0" borderId="55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50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4" fontId="1" fillId="0" borderId="50" xfId="0" applyNumberFormat="1" applyFont="1" applyFill="1" applyBorder="1" applyAlignment="1">
      <alignment/>
    </xf>
    <xf numFmtId="4" fontId="1" fillId="0" borderId="56" xfId="0" applyNumberFormat="1" applyFont="1" applyFill="1" applyBorder="1" applyAlignment="1">
      <alignment/>
    </xf>
    <xf numFmtId="4" fontId="1" fillId="0" borderId="5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textRotation="90" wrapText="1"/>
    </xf>
    <xf numFmtId="0" fontId="0" fillId="0" borderId="20" xfId="0" applyFont="1" applyFill="1" applyBorder="1" applyAlignment="1">
      <alignment/>
    </xf>
    <xf numFmtId="4" fontId="0" fillId="0" borderId="27" xfId="0" applyNumberFormat="1" applyFont="1" applyFill="1" applyBorder="1" applyAlignment="1">
      <alignment horizontal="right" wrapText="1"/>
    </xf>
    <xf numFmtId="4" fontId="2" fillId="0" borderId="58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1" fillId="0" borderId="47" xfId="0" applyNumberFormat="1" applyFont="1" applyFill="1" applyBorder="1" applyAlignment="1">
      <alignment horizontal="right" vertical="center" wrapText="1"/>
    </xf>
    <xf numFmtId="2" fontId="0" fillId="0" borderId="13" xfId="0" applyNumberFormat="1" applyBorder="1" applyAlignment="1">
      <alignment horizontal="center"/>
    </xf>
    <xf numFmtId="4" fontId="2" fillId="0" borderId="4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4" fontId="0" fillId="0" borderId="12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11" fillId="0" borderId="13" xfId="0" applyNumberFormat="1" applyFont="1" applyFill="1" applyBorder="1" applyAlignment="1">
      <alignment horizontal="center" wrapText="1"/>
    </xf>
    <xf numFmtId="4" fontId="12" fillId="0" borderId="21" xfId="33" applyNumberFormat="1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wrapText="1"/>
    </xf>
    <xf numFmtId="0" fontId="13" fillId="0" borderId="47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43" fontId="11" fillId="36" borderId="12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3" fontId="11" fillId="36" borderId="12" xfId="0" applyNumberFormat="1" applyFont="1" applyFill="1" applyBorder="1" applyAlignment="1">
      <alignment horizontal="center"/>
    </xf>
    <xf numFmtId="2" fontId="1" fillId="0" borderId="54" xfId="0" applyNumberFormat="1" applyFont="1" applyFill="1" applyBorder="1" applyAlignment="1">
      <alignment vertical="center" wrapText="1"/>
    </xf>
    <xf numFmtId="0" fontId="0" fillId="0" borderId="5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1" fillId="0" borderId="33" xfId="0" applyFont="1" applyFill="1" applyBorder="1" applyAlignment="1">
      <alignment horizontal="center" wrapText="1"/>
    </xf>
    <xf numFmtId="2" fontId="0" fillId="0" borderId="47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60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39" borderId="28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/>
    </xf>
    <xf numFmtId="4" fontId="0" fillId="0" borderId="61" xfId="0" applyNumberFormat="1" applyFont="1" applyBorder="1" applyAlignment="1">
      <alignment horizontal="center"/>
    </xf>
    <xf numFmtId="2" fontId="0" fillId="34" borderId="27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43" fontId="0" fillId="36" borderId="12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43" fontId="0" fillId="36" borderId="12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4" fontId="0" fillId="0" borderId="47" xfId="0" applyNumberFormat="1" applyFont="1" applyBorder="1" applyAlignment="1">
      <alignment horizontal="center"/>
    </xf>
    <xf numFmtId="4" fontId="0" fillId="39" borderId="22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39" borderId="22" xfId="0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0" fontId="12" fillId="39" borderId="22" xfId="0" applyFont="1" applyFill="1" applyBorder="1" applyAlignment="1">
      <alignment/>
    </xf>
    <xf numFmtId="0" fontId="13" fillId="0" borderId="21" xfId="0" applyFont="1" applyBorder="1" applyAlignment="1">
      <alignment wrapText="1"/>
    </xf>
    <xf numFmtId="2" fontId="11" fillId="34" borderId="27" xfId="0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/>
    </xf>
    <xf numFmtId="0" fontId="12" fillId="0" borderId="47" xfId="0" applyFont="1" applyBorder="1" applyAlignment="1">
      <alignment wrapText="1"/>
    </xf>
    <xf numFmtId="0" fontId="12" fillId="0" borderId="61" xfId="0" applyFont="1" applyBorder="1" applyAlignment="1">
      <alignment wrapText="1"/>
    </xf>
    <xf numFmtId="0" fontId="12" fillId="39" borderId="13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9" borderId="13" xfId="0" applyFont="1" applyFill="1" applyBorder="1" applyAlignment="1">
      <alignment wrapText="1"/>
    </xf>
    <xf numFmtId="4" fontId="11" fillId="0" borderId="27" xfId="0" applyNumberFormat="1" applyFont="1" applyFill="1" applyBorder="1" applyAlignment="1">
      <alignment/>
    </xf>
    <xf numFmtId="4" fontId="2" fillId="34" borderId="43" xfId="0" applyNumberFormat="1" applyFont="1" applyFill="1" applyBorder="1" applyAlignment="1">
      <alignment horizontal="right" wrapText="1"/>
    </xf>
    <xf numFmtId="4" fontId="2" fillId="0" borderId="12" xfId="0" applyNumberFormat="1" applyFont="1" applyBorder="1" applyAlignment="1">
      <alignment wrapText="1"/>
    </xf>
    <xf numFmtId="4" fontId="2" fillId="0" borderId="47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0" fillId="0" borderId="39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textRotation="90"/>
    </xf>
    <xf numFmtId="0" fontId="1" fillId="0" borderId="4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textRotation="90"/>
    </xf>
    <xf numFmtId="0" fontId="0" fillId="0" borderId="45" xfId="0" applyFont="1" applyBorder="1" applyAlignment="1">
      <alignment/>
    </xf>
    <xf numFmtId="0" fontId="0" fillId="0" borderId="12" xfId="0" applyFont="1" applyBorder="1" applyAlignment="1">
      <alignment/>
    </xf>
    <xf numFmtId="2" fontId="8" fillId="34" borderId="45" xfId="0" applyNumberFormat="1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4" borderId="45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44" xfId="0" applyNumberFormat="1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/>
    </xf>
    <xf numFmtId="43" fontId="0" fillId="0" borderId="47" xfId="61" applyFont="1" applyFill="1" applyBorder="1" applyAlignment="1">
      <alignment horizontal="center"/>
    </xf>
    <xf numFmtId="43" fontId="0" fillId="0" borderId="21" xfId="61" applyFont="1" applyFill="1" applyBorder="1" applyAlignment="1">
      <alignment horizontal="center"/>
    </xf>
    <xf numFmtId="2" fontId="1" fillId="33" borderId="51" xfId="0" applyNumberFormat="1" applyFont="1" applyFill="1" applyBorder="1" applyAlignment="1">
      <alignment horizontal="center" textRotation="90" wrapText="1"/>
    </xf>
    <xf numFmtId="2" fontId="1" fillId="33" borderId="62" xfId="0" applyNumberFormat="1" applyFont="1" applyFill="1" applyBorder="1" applyAlignment="1">
      <alignment horizontal="center" textRotation="90" wrapText="1"/>
    </xf>
    <xf numFmtId="2" fontId="1" fillId="33" borderId="52" xfId="0" applyNumberFormat="1" applyFont="1" applyFill="1" applyBorder="1" applyAlignment="1">
      <alignment horizontal="center" textRotation="90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2" fontId="1" fillId="33" borderId="58" xfId="0" applyNumberFormat="1" applyFont="1" applyFill="1" applyBorder="1" applyAlignment="1">
      <alignment horizontal="center" vertical="center" textRotation="90" wrapText="1"/>
    </xf>
    <xf numFmtId="2" fontId="1" fillId="33" borderId="67" xfId="0" applyNumberFormat="1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4" fontId="1" fillId="0" borderId="44" xfId="0" applyNumberFormat="1" applyFont="1" applyFill="1" applyBorder="1" applyAlignment="1">
      <alignment horizontal="center" vertical="center" textRotation="90" wrapText="1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4" fontId="1" fillId="0" borderId="13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40" xfId="0" applyNumberFormat="1" applyFont="1" applyFill="1" applyBorder="1" applyAlignment="1">
      <alignment horizontal="center" vertical="center" textRotation="90" wrapText="1"/>
    </xf>
    <xf numFmtId="4" fontId="1" fillId="0" borderId="69" xfId="0" applyNumberFormat="1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textRotation="90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38" borderId="32" xfId="0" applyFont="1" applyFill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center" vertical="center" wrapText="1"/>
    </xf>
    <xf numFmtId="0" fontId="1" fillId="38" borderId="7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34" borderId="32" xfId="0" applyNumberFormat="1" applyFont="1" applyFill="1" applyBorder="1" applyAlignment="1">
      <alignment horizontal="center" vertical="center" wrapText="1"/>
    </xf>
    <xf numFmtId="2" fontId="1" fillId="34" borderId="7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textRotation="90"/>
    </xf>
    <xf numFmtId="0" fontId="1" fillId="0" borderId="52" xfId="0" applyFont="1" applyFill="1" applyBorder="1" applyAlignment="1">
      <alignment horizontal="center" textRotation="90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62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wrapText="1"/>
    </xf>
    <xf numFmtId="4" fontId="1" fillId="34" borderId="51" xfId="0" applyNumberFormat="1" applyFont="1" applyFill="1" applyBorder="1" applyAlignment="1">
      <alignment horizontal="center" vertical="center" wrapText="1"/>
    </xf>
    <xf numFmtId="4" fontId="1" fillId="34" borderId="62" xfId="0" applyNumberFormat="1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8" borderId="62" xfId="0" applyFont="1" applyFill="1" applyBorder="1" applyAlignment="1">
      <alignment horizontal="center" vertical="center" wrapText="1"/>
    </xf>
    <xf numFmtId="0" fontId="1" fillId="38" borderId="52" xfId="0" applyFont="1" applyFill="1" applyBorder="1" applyAlignment="1">
      <alignment horizontal="center" vertical="center" wrapText="1"/>
    </xf>
    <xf numFmtId="2" fontId="1" fillId="34" borderId="65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73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35" borderId="51" xfId="0" applyNumberFormat="1" applyFont="1" applyFill="1" applyBorder="1" applyAlignment="1">
      <alignment horizontal="center" vertical="center" wrapText="1"/>
    </xf>
    <xf numFmtId="2" fontId="1" fillId="35" borderId="52" xfId="0" applyNumberFormat="1" applyFont="1" applyFill="1" applyBorder="1" applyAlignment="1">
      <alignment horizontal="center" vertical="center" wrapText="1"/>
    </xf>
    <xf numFmtId="2" fontId="9" fillId="0" borderId="51" xfId="0" applyNumberFormat="1" applyFont="1" applyFill="1" applyBorder="1" applyAlignment="1">
      <alignment horizontal="center" vertical="center" wrapText="1"/>
    </xf>
    <xf numFmtId="2" fontId="9" fillId="0" borderId="5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73" xfId="0" applyNumberFormat="1" applyFont="1" applyFill="1" applyBorder="1" applyAlignment="1">
      <alignment horizontal="center" vertical="center" wrapText="1"/>
    </xf>
    <xf numFmtId="2" fontId="1" fillId="36" borderId="51" xfId="0" applyNumberFormat="1" applyFont="1" applyFill="1" applyBorder="1" applyAlignment="1">
      <alignment horizontal="center" vertical="center" wrapText="1"/>
    </xf>
    <xf numFmtId="2" fontId="1" fillId="36" borderId="52" xfId="0" applyNumberFormat="1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8" fillId="0" borderId="51" xfId="0" applyNumberFormat="1" applyFont="1" applyFill="1" applyBorder="1" applyAlignment="1">
      <alignment horizontal="center" vertical="center" wrapText="1"/>
    </xf>
    <xf numFmtId="2" fontId="8" fillId="0" borderId="62" xfId="0" applyNumberFormat="1" applyFont="1" applyFill="1" applyBorder="1" applyAlignment="1">
      <alignment horizontal="center" vertical="center" wrapText="1"/>
    </xf>
    <xf numFmtId="2" fontId="8" fillId="0" borderId="52" xfId="0" applyNumberFormat="1" applyFont="1" applyFill="1" applyBorder="1" applyAlignment="1">
      <alignment horizontal="center" vertical="center" wrapText="1"/>
    </xf>
    <xf numFmtId="0" fontId="1" fillId="39" borderId="51" xfId="0" applyFont="1" applyFill="1" applyBorder="1" applyAlignment="1">
      <alignment horizontal="center" textRotation="90"/>
    </xf>
    <xf numFmtId="0" fontId="1" fillId="39" borderId="52" xfId="0" applyFont="1" applyFill="1" applyBorder="1" applyAlignment="1">
      <alignment horizontal="center" textRotation="90"/>
    </xf>
    <xf numFmtId="0" fontId="1" fillId="0" borderId="62" xfId="0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57" xfId="0" applyNumberFormat="1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4" fontId="1" fillId="0" borderId="76" xfId="0" applyNumberFormat="1" applyFont="1" applyFill="1" applyBorder="1" applyAlignment="1">
      <alignment horizontal="center" vertical="center" textRotation="90" wrapText="1"/>
    </xf>
    <xf numFmtId="4" fontId="1" fillId="0" borderId="47" xfId="0" applyNumberFormat="1" applyFont="1" applyFill="1" applyBorder="1" applyAlignment="1">
      <alignment horizontal="center" vertical="center" textRotation="90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textRotation="90" wrapText="1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0" fillId="0" borderId="47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4" fontId="11" fillId="0" borderId="12" xfId="0" applyNumberFormat="1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right" wrapText="1"/>
    </xf>
    <xf numFmtId="0" fontId="32" fillId="0" borderId="12" xfId="0" applyFont="1" applyBorder="1" applyAlignment="1">
      <alignment wrapText="1"/>
    </xf>
    <xf numFmtId="0" fontId="32" fillId="0" borderId="47" xfId="0" applyFont="1" applyBorder="1" applyAlignment="1">
      <alignment wrapText="1"/>
    </xf>
    <xf numFmtId="4" fontId="2" fillId="39" borderId="13" xfId="0" applyNumberFormat="1" applyFont="1" applyFill="1" applyBorder="1" applyAlignment="1">
      <alignment wrapText="1"/>
    </xf>
    <xf numFmtId="4" fontId="0" fillId="34" borderId="27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right"/>
    </xf>
    <xf numFmtId="4" fontId="0" fillId="40" borderId="13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152400</xdr:colOff>
      <xdr:row>5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581025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74;&#1099;&#1087;&#1080;&#1089;&#1082;&#1080;%202009%20&#1075;&#1086;&#1076;\&#1058;&#1072;&#1096;&#1090;&#1072;&#1075;&#1086;&#1083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&#1083;&#1080;&#1094;.&#1089;&#1095;&#1077;&#1090;&#1072;%20&#1085;&#1077;&#1078;&#1080;&#1083;.%20&#1087;&#1086;&#1084;.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74;&#1099;&#1087;&#1080;&#1089;&#1082;&#1080;%202009%20&#1075;&#1086;&#1076;\&#1058;&#1072;&#1096;&#1090;&#1072;&#1075;&#1086;&#1083;\2009&#1075;&#1086;&#1076;\&#1083;&#1089;&#1095;&#1077;&#1090;%20&#1085;&#1077;&#1078;&#1080;&#1083;%20&#1087;&#1086;&#1084;%201-3&#1082;&#1074;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74;&#1099;&#1087;&#1080;&#1089;&#1082;&#1080;%202009%20&#1075;&#1086;&#1076;\&#1058;&#1072;&#1096;&#1090;&#1072;&#1075;&#1086;&#1083;\2009&#1075;&#1086;&#1076;\&#1101;&#1082;&#1089;&#1077;&#1083;&#1100;\&#1083;&#1089;&#1095;&#1077;&#1090;%20&#1085;&#1077;&#1078;&#1080;&#1083;%20&#1087;&#1086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&#1055;&#1086;&#1089;&#1087;&#1077;&#1083;&#1086;&#1074;&#1072;,%2013%20&#1089;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0">
        <row r="9">
          <cell r="I9">
            <v>3041.37038</v>
          </cell>
        </row>
      </sheetData>
      <sheetData sheetId="1">
        <row r="9">
          <cell r="I9">
            <v>3041.37038</v>
          </cell>
        </row>
      </sheetData>
      <sheetData sheetId="6">
        <row r="9">
          <cell r="I9">
            <v>3041.37038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8">
          <cell r="J8">
            <v>3038.618</v>
          </cell>
        </row>
        <row r="153">
          <cell r="J153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8">
          <cell r="I8">
            <v>3038.618</v>
          </cell>
          <cell r="R8">
            <v>1851.731</v>
          </cell>
        </row>
        <row r="149">
          <cell r="I149">
            <v>100</v>
          </cell>
          <cell r="R149">
            <v>25</v>
          </cell>
        </row>
      </sheetData>
      <sheetData sheetId="1">
        <row r="8">
          <cell r="J8">
            <v>3038.618</v>
          </cell>
          <cell r="S8">
            <v>1851.731</v>
          </cell>
        </row>
        <row r="150">
          <cell r="S150">
            <v>25</v>
          </cell>
        </row>
        <row r="151">
          <cell r="J151">
            <v>100</v>
          </cell>
        </row>
      </sheetData>
      <sheetData sheetId="2">
        <row r="8">
          <cell r="J8">
            <v>3038.618</v>
          </cell>
          <cell r="S8">
            <v>1851.731</v>
          </cell>
        </row>
        <row r="151">
          <cell r="J151">
            <v>100</v>
          </cell>
          <cell r="S151">
            <v>25</v>
          </cell>
        </row>
      </sheetData>
      <sheetData sheetId="3">
        <row r="8">
          <cell r="S8">
            <v>1851.731</v>
          </cell>
        </row>
        <row r="153">
          <cell r="S153">
            <v>25</v>
          </cell>
        </row>
      </sheetData>
      <sheetData sheetId="4">
        <row r="8">
          <cell r="J8">
            <v>3038.618</v>
          </cell>
          <cell r="S8">
            <v>1851.731</v>
          </cell>
        </row>
        <row r="151">
          <cell r="J151">
            <v>100</v>
          </cell>
          <cell r="S151">
            <v>25</v>
          </cell>
        </row>
      </sheetData>
      <sheetData sheetId="5">
        <row r="8">
          <cell r="J8">
            <v>3038.618</v>
          </cell>
          <cell r="S8">
            <v>1851.731</v>
          </cell>
        </row>
        <row r="151">
          <cell r="J151">
            <v>100</v>
          </cell>
          <cell r="S151">
            <v>25</v>
          </cell>
        </row>
      </sheetData>
      <sheetData sheetId="6">
        <row r="8">
          <cell r="J8">
            <v>3038.618</v>
          </cell>
          <cell r="S8">
            <v>1851.731</v>
          </cell>
        </row>
        <row r="155">
          <cell r="J155">
            <v>100</v>
          </cell>
          <cell r="S155">
            <v>25</v>
          </cell>
        </row>
      </sheetData>
      <sheetData sheetId="7">
        <row r="8">
          <cell r="J8">
            <v>3038.618</v>
          </cell>
          <cell r="S8">
            <v>1851.731</v>
          </cell>
        </row>
        <row r="159">
          <cell r="J159">
            <v>100</v>
          </cell>
          <cell r="S159">
            <v>25</v>
          </cell>
        </row>
      </sheetData>
      <sheetData sheetId="8">
        <row r="8">
          <cell r="J8">
            <v>3038.618</v>
          </cell>
        </row>
        <row r="159">
          <cell r="J159">
            <v>100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</sheetNames>
    <sheetDataSet>
      <sheetData sheetId="0">
        <row r="3">
          <cell r="J3">
            <v>3757.305</v>
          </cell>
          <cell r="S3">
            <v>1851.731</v>
          </cell>
        </row>
        <row r="181">
          <cell r="J181">
            <v>100</v>
          </cell>
          <cell r="S181">
            <v>25</v>
          </cell>
        </row>
      </sheetData>
      <sheetData sheetId="4">
        <row r="3">
          <cell r="J3">
            <v>3757.305</v>
          </cell>
          <cell r="S3">
            <v>1851.731</v>
          </cell>
        </row>
        <row r="182">
          <cell r="J182">
            <v>100</v>
          </cell>
          <cell r="S182">
            <v>25</v>
          </cell>
        </row>
      </sheetData>
      <sheetData sheetId="5">
        <row r="3">
          <cell r="J3">
            <v>3757.305</v>
          </cell>
          <cell r="S3">
            <v>1851.731</v>
          </cell>
        </row>
        <row r="213">
          <cell r="J213">
            <v>100</v>
          </cell>
          <cell r="S213">
            <v>25</v>
          </cell>
        </row>
      </sheetData>
      <sheetData sheetId="6">
        <row r="3">
          <cell r="J3">
            <v>3757.305</v>
          </cell>
          <cell r="S3">
            <v>1851.731</v>
          </cell>
        </row>
        <row r="215">
          <cell r="J215">
            <v>100</v>
          </cell>
          <cell r="S215">
            <v>25</v>
          </cell>
        </row>
      </sheetData>
      <sheetData sheetId="7">
        <row r="3">
          <cell r="J3">
            <v>3757.305</v>
          </cell>
          <cell r="S3">
            <v>1851.731</v>
          </cell>
        </row>
        <row r="215">
          <cell r="J215">
            <v>100</v>
          </cell>
          <cell r="S215">
            <v>25</v>
          </cell>
        </row>
      </sheetData>
      <sheetData sheetId="8">
        <row r="3">
          <cell r="J3">
            <v>3757.305</v>
          </cell>
          <cell r="S3">
            <v>1851.731</v>
          </cell>
        </row>
        <row r="215">
          <cell r="J215">
            <v>100</v>
          </cell>
          <cell r="S215">
            <v>25</v>
          </cell>
        </row>
      </sheetData>
      <sheetData sheetId="9">
        <row r="3">
          <cell r="J3">
            <v>3757.305</v>
          </cell>
          <cell r="S3">
            <v>1851.731</v>
          </cell>
        </row>
        <row r="214">
          <cell r="J214">
            <v>100</v>
          </cell>
          <cell r="S214">
            <v>25</v>
          </cell>
        </row>
      </sheetData>
      <sheetData sheetId="10">
        <row r="3">
          <cell r="J3">
            <v>3757.305</v>
          </cell>
          <cell r="S3">
            <v>1851.731</v>
          </cell>
        </row>
        <row r="216">
          <cell r="J216">
            <v>100</v>
          </cell>
          <cell r="S216">
            <v>25</v>
          </cell>
        </row>
      </sheetData>
      <sheetData sheetId="11">
        <row r="3">
          <cell r="J3">
            <v>3757.305</v>
          </cell>
          <cell r="S3">
            <v>1851.731</v>
          </cell>
        </row>
        <row r="219">
          <cell r="J219">
            <v>100</v>
          </cell>
          <cell r="S219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3">
        <row r="9">
          <cell r="I9">
            <v>3041.37038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9">
          <cell r="I9">
            <v>3041.37038</v>
          </cell>
        </row>
      </sheetData>
      <sheetData sheetId="1">
        <row r="9">
          <cell r="I9">
            <v>3041.37038</v>
          </cell>
        </row>
      </sheetData>
      <sheetData sheetId="2">
        <row r="9">
          <cell r="I9">
            <v>3041.37038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9">
          <cell r="I9">
            <v>3041.37038</v>
          </cell>
        </row>
      </sheetData>
      <sheetData sheetId="2">
        <row r="9">
          <cell r="M9">
            <v>1224.343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9">
          <cell r="I9">
            <v>3041.37038</v>
          </cell>
          <cell r="M9">
            <v>1224.343</v>
          </cell>
        </row>
      </sheetData>
      <sheetData sheetId="5">
        <row r="9">
          <cell r="M9">
            <v>1224.343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8">
          <cell r="I8">
            <v>3041.37038</v>
          </cell>
        </row>
      </sheetData>
      <sheetData sheetId="9">
        <row r="8">
          <cell r="I8">
            <v>3041.37038</v>
          </cell>
          <cell r="M8">
            <v>1224.343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9">
        <row r="8">
          <cell r="J8">
            <v>3038.618</v>
          </cell>
          <cell r="S8">
            <v>1851.731</v>
          </cell>
        </row>
        <row r="159">
          <cell r="J159">
            <v>100</v>
          </cell>
          <cell r="S159">
            <v>25</v>
          </cell>
        </row>
      </sheetData>
      <sheetData sheetId="10">
        <row r="8">
          <cell r="J8">
            <v>3038.618</v>
          </cell>
          <cell r="S8">
            <v>1851.731</v>
          </cell>
        </row>
        <row r="159">
          <cell r="J159">
            <v>100</v>
          </cell>
          <cell r="S159">
            <v>25</v>
          </cell>
        </row>
      </sheetData>
      <sheetData sheetId="11">
        <row r="8">
          <cell r="J8">
            <v>3038.618</v>
          </cell>
          <cell r="S8">
            <v>1851.731</v>
          </cell>
        </row>
        <row r="183">
          <cell r="J183">
            <v>100</v>
          </cell>
          <cell r="S18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7"/>
  <sheetViews>
    <sheetView zoomScalePageLayoutView="0" workbookViewId="0" topLeftCell="Q4">
      <selection activeCell="AY37" sqref="AY37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5" width="9.125" style="2" customWidth="1"/>
    <col min="26" max="26" width="8.125" style="2" customWidth="1"/>
    <col min="27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1.375" style="2" customWidth="1"/>
    <col min="33" max="33" width="10.25390625" style="2" customWidth="1"/>
    <col min="34" max="36" width="9.25390625" style="2" bestFit="1" customWidth="1"/>
    <col min="37" max="37" width="9.25390625" style="2" customWidth="1"/>
    <col min="38" max="39" width="9.25390625" style="2" bestFit="1" customWidth="1"/>
    <col min="40" max="40" width="9.25390625" style="2" customWidth="1"/>
    <col min="41" max="41" width="10.125" style="2" bestFit="1" customWidth="1"/>
    <col min="42" max="42" width="9.25390625" style="2" bestFit="1" customWidth="1"/>
    <col min="43" max="44" width="9.25390625" style="2" customWidth="1"/>
    <col min="45" max="45" width="10.125" style="2" bestFit="1" customWidth="1"/>
    <col min="46" max="46" width="9.25390625" style="2" bestFit="1" customWidth="1"/>
    <col min="47" max="47" width="10.625" style="2" customWidth="1"/>
    <col min="48" max="48" width="9.25390625" style="2" bestFit="1" customWidth="1"/>
    <col min="49" max="50" width="10.125" style="2" bestFit="1" customWidth="1"/>
    <col min="51" max="51" width="10.375" style="2" customWidth="1"/>
    <col min="52" max="52" width="10.75390625" style="2" customWidth="1"/>
    <col min="53" max="53" width="14.00390625" style="2" customWidth="1"/>
    <col min="54" max="55" width="9.125" style="2" customWidth="1"/>
    <col min="56" max="56" width="10.125" style="2" customWidth="1"/>
    <col min="57" max="57" width="0.2421875" style="2" customWidth="1"/>
    <col min="58" max="58" width="10.25390625" style="2" hidden="1" customWidth="1"/>
    <col min="59" max="59" width="10.25390625" style="2" customWidth="1"/>
    <col min="60" max="60" width="10.75390625" style="2" customWidth="1"/>
    <col min="61" max="16384" width="9.125" style="2" customWidth="1"/>
  </cols>
  <sheetData>
    <row r="1" spans="1:18" ht="12.75">
      <c r="A1" s="306" t="s">
        <v>77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61" ht="13.5" customHeight="1">
      <c r="A3" s="307" t="s">
        <v>0</v>
      </c>
      <c r="B3" s="309" t="s">
        <v>1</v>
      </c>
      <c r="C3" s="309" t="s">
        <v>2</v>
      </c>
      <c r="D3" s="311" t="s">
        <v>3</v>
      </c>
      <c r="E3" s="292" t="s">
        <v>12</v>
      </c>
      <c r="F3" s="302"/>
      <c r="G3" s="292" t="s">
        <v>13</v>
      </c>
      <c r="H3" s="292"/>
      <c r="I3" s="292" t="s">
        <v>14</v>
      </c>
      <c r="J3" s="292"/>
      <c r="K3" s="292" t="s">
        <v>15</v>
      </c>
      <c r="L3" s="292"/>
      <c r="M3" s="292" t="s">
        <v>16</v>
      </c>
      <c r="N3" s="292"/>
      <c r="O3" s="292" t="s">
        <v>17</v>
      </c>
      <c r="P3" s="292"/>
      <c r="Q3" s="292" t="s">
        <v>18</v>
      </c>
      <c r="R3" s="292"/>
      <c r="S3" s="292" t="s">
        <v>4</v>
      </c>
      <c r="T3" s="292"/>
      <c r="U3" s="299" t="s">
        <v>5</v>
      </c>
      <c r="V3" s="299"/>
      <c r="W3" s="299"/>
      <c r="X3" s="299"/>
      <c r="Y3" s="299"/>
      <c r="Z3" s="299"/>
      <c r="AA3" s="299"/>
      <c r="AB3" s="299"/>
      <c r="AC3" s="294" t="s">
        <v>78</v>
      </c>
      <c r="AD3" s="294" t="s">
        <v>7</v>
      </c>
      <c r="AE3" s="294" t="s">
        <v>8</v>
      </c>
      <c r="AF3" s="304" t="s">
        <v>76</v>
      </c>
      <c r="AG3" s="288" t="s">
        <v>9</v>
      </c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91" t="s">
        <v>79</v>
      </c>
      <c r="BF3" s="291"/>
      <c r="BG3" s="169" t="s">
        <v>80</v>
      </c>
      <c r="BH3" s="164" t="s">
        <v>10</v>
      </c>
      <c r="BI3" s="166" t="s">
        <v>11</v>
      </c>
    </row>
    <row r="4" spans="1:61" ht="36" customHeight="1">
      <c r="A4" s="308"/>
      <c r="B4" s="310"/>
      <c r="C4" s="310"/>
      <c r="D4" s="312"/>
      <c r="E4" s="303"/>
      <c r="F4" s="30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300"/>
      <c r="V4" s="300"/>
      <c r="W4" s="300"/>
      <c r="X4" s="300"/>
      <c r="Y4" s="300"/>
      <c r="Z4" s="300"/>
      <c r="AA4" s="300"/>
      <c r="AB4" s="300"/>
      <c r="AC4" s="295"/>
      <c r="AD4" s="295"/>
      <c r="AE4" s="295"/>
      <c r="AF4" s="305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168" t="s">
        <v>80</v>
      </c>
      <c r="BF4" s="85" t="s">
        <v>81</v>
      </c>
      <c r="BG4" s="170"/>
      <c r="BH4" s="165"/>
      <c r="BI4" s="167"/>
    </row>
    <row r="5" spans="1:61" ht="29.25" customHeight="1">
      <c r="A5" s="308"/>
      <c r="B5" s="310"/>
      <c r="C5" s="310"/>
      <c r="D5" s="312"/>
      <c r="E5" s="301" t="s">
        <v>19</v>
      </c>
      <c r="F5" s="301" t="s">
        <v>20</v>
      </c>
      <c r="G5" s="301" t="s">
        <v>19</v>
      </c>
      <c r="H5" s="301" t="s">
        <v>20</v>
      </c>
      <c r="I5" s="301" t="s">
        <v>19</v>
      </c>
      <c r="J5" s="301" t="s">
        <v>20</v>
      </c>
      <c r="K5" s="301" t="s">
        <v>19</v>
      </c>
      <c r="L5" s="301" t="s">
        <v>20</v>
      </c>
      <c r="M5" s="301" t="s">
        <v>19</v>
      </c>
      <c r="N5" s="301" t="s">
        <v>20</v>
      </c>
      <c r="O5" s="301" t="s">
        <v>19</v>
      </c>
      <c r="P5" s="301" t="s">
        <v>20</v>
      </c>
      <c r="Q5" s="301" t="s">
        <v>19</v>
      </c>
      <c r="R5" s="301" t="s">
        <v>20</v>
      </c>
      <c r="S5" s="301" t="s">
        <v>19</v>
      </c>
      <c r="T5" s="298" t="s">
        <v>20</v>
      </c>
      <c r="U5" s="289" t="s">
        <v>21</v>
      </c>
      <c r="V5" s="289" t="s">
        <v>22</v>
      </c>
      <c r="W5" s="289" t="s">
        <v>23</v>
      </c>
      <c r="X5" s="289" t="s">
        <v>24</v>
      </c>
      <c r="Y5" s="289" t="s">
        <v>25</v>
      </c>
      <c r="Z5" s="289" t="s">
        <v>26</v>
      </c>
      <c r="AA5" s="289" t="s">
        <v>27</v>
      </c>
      <c r="AB5" s="289" t="s">
        <v>28</v>
      </c>
      <c r="AC5" s="295"/>
      <c r="AD5" s="295"/>
      <c r="AE5" s="295"/>
      <c r="AF5" s="305"/>
      <c r="AG5" s="286" t="s">
        <v>29</v>
      </c>
      <c r="AH5" s="286" t="s">
        <v>30</v>
      </c>
      <c r="AI5" s="286" t="s">
        <v>31</v>
      </c>
      <c r="AJ5" s="286" t="s">
        <v>32</v>
      </c>
      <c r="AK5" s="296" t="s">
        <v>33</v>
      </c>
      <c r="AL5" s="286" t="s">
        <v>32</v>
      </c>
      <c r="AM5" s="286" t="s">
        <v>34</v>
      </c>
      <c r="AN5" s="286" t="s">
        <v>32</v>
      </c>
      <c r="AO5" s="286" t="s">
        <v>35</v>
      </c>
      <c r="AP5" s="286" t="s">
        <v>32</v>
      </c>
      <c r="AQ5" s="286" t="s">
        <v>35</v>
      </c>
      <c r="AR5" s="286" t="s">
        <v>32</v>
      </c>
      <c r="AS5" s="290" t="s">
        <v>82</v>
      </c>
      <c r="AT5" s="290" t="s">
        <v>32</v>
      </c>
      <c r="AU5" s="285" t="s">
        <v>83</v>
      </c>
      <c r="AV5" s="285" t="s">
        <v>84</v>
      </c>
      <c r="AW5" s="285" t="s">
        <v>32</v>
      </c>
      <c r="AX5" s="286" t="s">
        <v>85</v>
      </c>
      <c r="AY5" s="286"/>
      <c r="AZ5" s="286"/>
      <c r="BA5" s="287" t="s">
        <v>18</v>
      </c>
      <c r="BB5" s="286" t="s">
        <v>37</v>
      </c>
      <c r="BC5" s="286" t="s">
        <v>32</v>
      </c>
      <c r="BD5" s="286" t="s">
        <v>38</v>
      </c>
      <c r="BE5" s="168"/>
      <c r="BF5" s="85"/>
      <c r="BG5" s="170"/>
      <c r="BH5" s="165"/>
      <c r="BI5" s="167"/>
    </row>
    <row r="6" spans="1:61" ht="54" customHeight="1" thickBot="1">
      <c r="A6" s="308"/>
      <c r="B6" s="310"/>
      <c r="C6" s="310"/>
      <c r="D6" s="312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298"/>
      <c r="U6" s="289"/>
      <c r="V6" s="289"/>
      <c r="W6" s="289"/>
      <c r="X6" s="289"/>
      <c r="Y6" s="289"/>
      <c r="Z6" s="289"/>
      <c r="AA6" s="289"/>
      <c r="AB6" s="289"/>
      <c r="AC6" s="295"/>
      <c r="AD6" s="295"/>
      <c r="AE6" s="295"/>
      <c r="AF6" s="305"/>
      <c r="AG6" s="286"/>
      <c r="AH6" s="286"/>
      <c r="AI6" s="286"/>
      <c r="AJ6" s="286"/>
      <c r="AK6" s="297"/>
      <c r="AL6" s="286"/>
      <c r="AM6" s="286"/>
      <c r="AN6" s="286"/>
      <c r="AO6" s="286"/>
      <c r="AP6" s="286"/>
      <c r="AQ6" s="286"/>
      <c r="AR6" s="286"/>
      <c r="AS6" s="290"/>
      <c r="AT6" s="290"/>
      <c r="AU6" s="285"/>
      <c r="AV6" s="285"/>
      <c r="AW6" s="285"/>
      <c r="AX6" s="85" t="s">
        <v>86</v>
      </c>
      <c r="AY6" s="85" t="s">
        <v>87</v>
      </c>
      <c r="AZ6" s="85" t="s">
        <v>88</v>
      </c>
      <c r="BA6" s="287"/>
      <c r="BB6" s="286"/>
      <c r="BC6" s="286"/>
      <c r="BD6" s="286"/>
      <c r="BE6" s="168"/>
      <c r="BF6" s="85"/>
      <c r="BG6" s="171"/>
      <c r="BH6" s="165"/>
      <c r="BI6" s="167"/>
    </row>
    <row r="7" spans="1:61" ht="12.75">
      <c r="A7" s="5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  <c r="S7" s="86">
        <v>19</v>
      </c>
      <c r="T7" s="86">
        <v>20</v>
      </c>
      <c r="U7" s="86">
        <v>21</v>
      </c>
      <c r="V7" s="86">
        <v>22</v>
      </c>
      <c r="W7" s="86">
        <v>23</v>
      </c>
      <c r="X7" s="86">
        <v>24</v>
      </c>
      <c r="Y7" s="86">
        <v>25</v>
      </c>
      <c r="Z7" s="86">
        <v>26</v>
      </c>
      <c r="AA7" s="86">
        <v>27</v>
      </c>
      <c r="AB7" s="86">
        <v>28</v>
      </c>
      <c r="AC7" s="86">
        <v>29</v>
      </c>
      <c r="AD7" s="86">
        <v>30</v>
      </c>
      <c r="AE7" s="86">
        <v>31</v>
      </c>
      <c r="AF7" s="86">
        <v>32</v>
      </c>
      <c r="AG7" s="86">
        <v>33</v>
      </c>
      <c r="AH7" s="86">
        <v>34</v>
      </c>
      <c r="AI7" s="86">
        <v>35</v>
      </c>
      <c r="AJ7" s="86">
        <v>36</v>
      </c>
      <c r="AK7" s="86"/>
      <c r="AL7" s="86">
        <v>37</v>
      </c>
      <c r="AM7" s="86">
        <v>38</v>
      </c>
      <c r="AN7" s="86"/>
      <c r="AO7" s="86">
        <v>39</v>
      </c>
      <c r="AP7" s="86">
        <v>40</v>
      </c>
      <c r="AQ7" s="86">
        <v>41</v>
      </c>
      <c r="AR7" s="86">
        <v>42</v>
      </c>
      <c r="AS7" s="86">
        <v>43</v>
      </c>
      <c r="AT7" s="86">
        <v>44</v>
      </c>
      <c r="AU7" s="86">
        <v>45</v>
      </c>
      <c r="AV7" s="86">
        <v>46</v>
      </c>
      <c r="AW7" s="86">
        <v>47</v>
      </c>
      <c r="AX7" s="86">
        <v>48</v>
      </c>
      <c r="AY7" s="86">
        <v>49</v>
      </c>
      <c r="AZ7" s="86">
        <v>50</v>
      </c>
      <c r="BA7" s="86">
        <v>51</v>
      </c>
      <c r="BB7" s="86">
        <v>52</v>
      </c>
      <c r="BC7" s="86">
        <v>53</v>
      </c>
      <c r="BD7" s="86">
        <v>54</v>
      </c>
      <c r="BE7" s="86">
        <v>55</v>
      </c>
      <c r="BF7" s="86">
        <v>56</v>
      </c>
      <c r="BG7" s="86"/>
      <c r="BH7" s="86">
        <v>57</v>
      </c>
      <c r="BI7" s="87">
        <v>58</v>
      </c>
    </row>
    <row r="8" spans="1:61" ht="15" customHeight="1" hidden="1">
      <c r="A8" s="5" t="s">
        <v>42</v>
      </c>
      <c r="B8" s="58"/>
      <c r="C8" s="9"/>
      <c r="D8" s="9"/>
      <c r="E8" s="60"/>
      <c r="F8" s="60"/>
      <c r="G8" s="60"/>
      <c r="H8" s="60"/>
      <c r="I8" s="60"/>
      <c r="J8" s="60"/>
      <c r="K8" s="60"/>
      <c r="L8" s="60"/>
      <c r="M8" s="60"/>
      <c r="N8" s="60"/>
      <c r="O8" s="102"/>
      <c r="P8" s="11"/>
      <c r="Q8" s="10"/>
      <c r="R8" s="10"/>
      <c r="S8" s="10"/>
      <c r="T8" s="10"/>
      <c r="U8" s="18"/>
      <c r="V8" s="18"/>
      <c r="W8" s="18"/>
      <c r="X8" s="18"/>
      <c r="Y8" s="18"/>
      <c r="Z8" s="18"/>
      <c r="AA8" s="12"/>
      <c r="AB8" s="12"/>
      <c r="AC8" s="13"/>
      <c r="AD8" s="14"/>
      <c r="AE8" s="14"/>
      <c r="AF8" s="13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  <c r="AR8" s="15"/>
      <c r="AS8" s="67"/>
      <c r="AT8" s="19"/>
      <c r="AU8" s="15"/>
      <c r="AV8" s="15"/>
      <c r="AW8" s="15"/>
      <c r="AX8" s="14"/>
      <c r="AY8" s="14"/>
      <c r="AZ8" s="14"/>
      <c r="BA8" s="14"/>
      <c r="BB8" s="21"/>
      <c r="BC8" s="21"/>
      <c r="BD8" s="21"/>
      <c r="BE8" s="21"/>
      <c r="BF8" s="21"/>
      <c r="BG8" s="21"/>
      <c r="BH8" s="21"/>
      <c r="BI8" s="107"/>
    </row>
    <row r="9" spans="1:61" ht="12.75" hidden="1">
      <c r="A9" s="7" t="s">
        <v>43</v>
      </c>
      <c r="B9" s="103">
        <v>1228.7</v>
      </c>
      <c r="C9" s="104">
        <f aca="true" t="shared" si="0" ref="C9:C20">B9*8.65</f>
        <v>10628.255000000001</v>
      </c>
      <c r="D9" s="101">
        <f>C9*0.125</f>
        <v>1328.5318750000001</v>
      </c>
      <c r="E9" s="64">
        <v>823.53</v>
      </c>
      <c r="F9" s="64">
        <v>189.18</v>
      </c>
      <c r="G9" s="64">
        <v>1111.8</v>
      </c>
      <c r="H9" s="64">
        <v>255.39</v>
      </c>
      <c r="I9" s="64">
        <v>2676.49</v>
      </c>
      <c r="J9" s="64">
        <v>614.84</v>
      </c>
      <c r="K9" s="64">
        <v>1852.96</v>
      </c>
      <c r="L9" s="64">
        <v>425.66</v>
      </c>
      <c r="M9" s="62">
        <v>658.8</v>
      </c>
      <c r="N9" s="62">
        <v>151.35</v>
      </c>
      <c r="O9" s="64">
        <v>0</v>
      </c>
      <c r="P9" s="64">
        <v>0</v>
      </c>
      <c r="Q9" s="64">
        <v>0</v>
      </c>
      <c r="R9" s="64">
        <v>0</v>
      </c>
      <c r="S9" s="64">
        <f>E9+G9+I9+K9+M9+O9+Q9</f>
        <v>7123.58</v>
      </c>
      <c r="T9" s="105">
        <f>P9+N9+L9+J9+H9+F9+R9</f>
        <v>1636.4199999999998</v>
      </c>
      <c r="U9" s="14">
        <v>574.52</v>
      </c>
      <c r="V9" s="14">
        <v>775.62</v>
      </c>
      <c r="W9" s="14">
        <v>1867.24</v>
      </c>
      <c r="X9" s="14">
        <v>1292.69</v>
      </c>
      <c r="Y9" s="14">
        <v>459.59</v>
      </c>
      <c r="Z9" s="14">
        <v>0</v>
      </c>
      <c r="AA9" s="14">
        <v>0</v>
      </c>
      <c r="AB9" s="63">
        <f>SUM(U9:AA9)</f>
        <v>4969.66</v>
      </c>
      <c r="AC9" s="89">
        <f>D9+T9+AB9</f>
        <v>7934.611875</v>
      </c>
      <c r="AD9" s="89">
        <f>P9+Z9</f>
        <v>0</v>
      </c>
      <c r="AE9" s="89">
        <f>R9+AA9</f>
        <v>0</v>
      </c>
      <c r="AF9" s="89">
        <f>'[1]Т01-09'!$I$9</f>
        <v>3041.37038</v>
      </c>
      <c r="AG9" s="20">
        <f>0.6*B9*0.9+234.1</f>
        <v>897.5980000000001</v>
      </c>
      <c r="AH9" s="20">
        <f>B9*0.2*0.891</f>
        <v>218.95434</v>
      </c>
      <c r="AI9" s="20">
        <f>0.85*B9*0.867</f>
        <v>905.490465</v>
      </c>
      <c r="AJ9" s="20">
        <f aca="true" t="shared" si="1" ref="AJ9:AJ20">AI9*0.18</f>
        <v>162.98828369999998</v>
      </c>
      <c r="AK9" s="20">
        <v>201.92</v>
      </c>
      <c r="AL9" s="20">
        <f>0.83*B9*0.8685</f>
        <v>885.7145385000001</v>
      </c>
      <c r="AM9" s="20">
        <f aca="true" t="shared" si="2" ref="AM9:AM20">AL9*0.18</f>
        <v>159.42861693</v>
      </c>
      <c r="AN9" s="20">
        <v>657.36</v>
      </c>
      <c r="AO9" s="20">
        <f>1.91*B9*0.8686</f>
        <v>2038.4452462000002</v>
      </c>
      <c r="AP9" s="20">
        <f aca="true" t="shared" si="3" ref="AP9:AP20">AO9*0.18</f>
        <v>366.920144316</v>
      </c>
      <c r="AQ9" s="20"/>
      <c r="AR9" s="20">
        <f aca="true" t="shared" si="4" ref="AR9:AT20">AQ9*0.18</f>
        <v>0</v>
      </c>
      <c r="AS9" s="90"/>
      <c r="AT9" s="90">
        <f>AS9*0.18</f>
        <v>0</v>
      </c>
      <c r="AU9" s="68"/>
      <c r="AV9" s="68"/>
      <c r="AW9" s="68">
        <f aca="true" t="shared" si="5" ref="AW9:AW20">(AU9+AV9)*0.18</f>
        <v>0</v>
      </c>
      <c r="AX9" s="91">
        <v>508</v>
      </c>
      <c r="AY9" s="92">
        <v>0.45</v>
      </c>
      <c r="AZ9" s="20">
        <f>AX9*AY9*1.12*1.18</f>
        <v>302.11776000000003</v>
      </c>
      <c r="BA9" s="93"/>
      <c r="BB9" s="20"/>
      <c r="BC9" s="20">
        <f>BB9*0.18</f>
        <v>0</v>
      </c>
      <c r="BD9" s="20">
        <f aca="true" t="shared" si="6" ref="BD9:BD20">SUM(AG9:BC9)-AX9-AY9</f>
        <v>6796.937394646</v>
      </c>
      <c r="BE9" s="95"/>
      <c r="BF9" s="94"/>
      <c r="BG9" s="94"/>
      <c r="BH9" s="100">
        <f aca="true" t="shared" si="7" ref="BH9:BH19">AC9+AF9-BD9-BG9</f>
        <v>4179.044860353999</v>
      </c>
      <c r="BI9" s="108">
        <f aca="true" t="shared" si="8" ref="BI9:BI20">AB9-S9</f>
        <v>-2153.92</v>
      </c>
    </row>
    <row r="10" spans="1:61" ht="12.75" hidden="1">
      <c r="A10" s="7" t="s">
        <v>44</v>
      </c>
      <c r="B10" s="103">
        <v>1228.7</v>
      </c>
      <c r="C10" s="104">
        <f t="shared" si="0"/>
        <v>10628.255000000001</v>
      </c>
      <c r="D10" s="101">
        <f>C10*0.125</f>
        <v>1328.5318750000001</v>
      </c>
      <c r="E10" s="64">
        <v>833.48</v>
      </c>
      <c r="F10" s="64">
        <v>189.18</v>
      </c>
      <c r="G10" s="64">
        <v>1125.23</v>
      </c>
      <c r="H10" s="64">
        <v>255.39</v>
      </c>
      <c r="I10" s="64">
        <v>2708.84</v>
      </c>
      <c r="J10" s="64">
        <v>614.84</v>
      </c>
      <c r="K10" s="64">
        <v>1875.36</v>
      </c>
      <c r="L10" s="64">
        <v>425.66</v>
      </c>
      <c r="M10" s="62">
        <v>666.75</v>
      </c>
      <c r="N10" s="62">
        <v>151.35</v>
      </c>
      <c r="O10" s="64">
        <v>0</v>
      </c>
      <c r="P10" s="64">
        <v>0</v>
      </c>
      <c r="Q10" s="64">
        <v>0</v>
      </c>
      <c r="R10" s="64">
        <v>0</v>
      </c>
      <c r="S10" s="64">
        <f>E10+G10+I10+K10+M10+O10+Q10</f>
        <v>7209.66</v>
      </c>
      <c r="T10" s="105">
        <f>P10+N10+L10+J10+H10+F10+R10</f>
        <v>1636.4199999999998</v>
      </c>
      <c r="U10" s="14">
        <v>814.72</v>
      </c>
      <c r="V10" s="14">
        <v>1099.92</v>
      </c>
      <c r="W10" s="14">
        <v>2647.88</v>
      </c>
      <c r="X10" s="14">
        <v>1833.14</v>
      </c>
      <c r="Y10" s="14">
        <v>651.76</v>
      </c>
      <c r="Z10" s="14">
        <v>0</v>
      </c>
      <c r="AA10" s="14">
        <v>0</v>
      </c>
      <c r="AB10" s="14">
        <f>SUM(U10:AA10)</f>
        <v>7047.420000000001</v>
      </c>
      <c r="AC10" s="89">
        <f>D10+T10+AB10</f>
        <v>10012.371875</v>
      </c>
      <c r="AD10" s="89">
        <f>P10+Z10</f>
        <v>0</v>
      </c>
      <c r="AE10" s="89">
        <f>R10+AA10</f>
        <v>0</v>
      </c>
      <c r="AF10" s="89">
        <f>'[1]Т02-09'!$I$9</f>
        <v>3041.37038</v>
      </c>
      <c r="AG10" s="20">
        <f>0.6*B10*0.9+234.1</f>
        <v>897.5980000000001</v>
      </c>
      <c r="AH10" s="20">
        <f>B10*0.2*0.9153</f>
        <v>224.925822</v>
      </c>
      <c r="AI10" s="20">
        <f>0.85*B10*0.867</f>
        <v>905.490465</v>
      </c>
      <c r="AJ10" s="20">
        <f t="shared" si="1"/>
        <v>162.98828369999998</v>
      </c>
      <c r="AK10" s="20">
        <v>203.57</v>
      </c>
      <c r="AL10" s="20">
        <f>0.83*B10*0.8684</f>
        <v>885.6125564</v>
      </c>
      <c r="AM10" s="20">
        <f t="shared" si="2"/>
        <v>159.410260152</v>
      </c>
      <c r="AN10" s="20">
        <v>657.36</v>
      </c>
      <c r="AO10" s="20">
        <f>(1.91)*B10*0.8684</f>
        <v>2037.9758828</v>
      </c>
      <c r="AP10" s="20">
        <f t="shared" si="3"/>
        <v>366.83565890399996</v>
      </c>
      <c r="AQ10" s="20"/>
      <c r="AR10" s="20">
        <f t="shared" si="4"/>
        <v>0</v>
      </c>
      <c r="AS10" s="90"/>
      <c r="AT10" s="90">
        <f>AS10*0.18</f>
        <v>0</v>
      </c>
      <c r="AU10" s="68">
        <v>4681</v>
      </c>
      <c r="AV10" s="68"/>
      <c r="AW10" s="68">
        <f t="shared" si="5"/>
        <v>842.5799999999999</v>
      </c>
      <c r="AX10" s="91">
        <v>407</v>
      </c>
      <c r="AY10" s="92">
        <v>0.45</v>
      </c>
      <c r="AZ10" s="20">
        <f>AX10*AY10*1.12*1.18</f>
        <v>242.05104</v>
      </c>
      <c r="BA10" s="93"/>
      <c r="BB10" s="20"/>
      <c r="BC10" s="20">
        <f>BB10*0.18</f>
        <v>0</v>
      </c>
      <c r="BD10" s="20">
        <f t="shared" si="6"/>
        <v>12267.397968956</v>
      </c>
      <c r="BE10" s="95"/>
      <c r="BF10" s="94"/>
      <c r="BG10" s="94"/>
      <c r="BH10" s="100">
        <f t="shared" si="7"/>
        <v>786.3442860440009</v>
      </c>
      <c r="BI10" s="108">
        <f t="shared" si="8"/>
        <v>-162.23999999999887</v>
      </c>
    </row>
    <row r="11" spans="1:61" ht="12.75" hidden="1">
      <c r="A11" s="7" t="s">
        <v>45</v>
      </c>
      <c r="B11" s="96">
        <v>1228.7</v>
      </c>
      <c r="C11" s="104">
        <f t="shared" si="0"/>
        <v>10628.255000000001</v>
      </c>
      <c r="D11" s="101">
        <f>C11*0.125</f>
        <v>1328.5318750000001</v>
      </c>
      <c r="E11" s="64">
        <v>819.54</v>
      </c>
      <c r="F11" s="64">
        <v>189.18</v>
      </c>
      <c r="G11" s="64">
        <v>1106.41</v>
      </c>
      <c r="H11" s="64">
        <v>255.39</v>
      </c>
      <c r="I11" s="64">
        <v>2663.51</v>
      </c>
      <c r="J11" s="64">
        <v>614.84</v>
      </c>
      <c r="K11" s="64">
        <v>1843.99</v>
      </c>
      <c r="L11" s="64">
        <v>425.66</v>
      </c>
      <c r="M11" s="62">
        <v>655.62</v>
      </c>
      <c r="N11" s="62">
        <v>151.35</v>
      </c>
      <c r="O11" s="64">
        <v>0</v>
      </c>
      <c r="P11" s="64">
        <v>0</v>
      </c>
      <c r="Q11" s="64">
        <v>0</v>
      </c>
      <c r="R11" s="64">
        <v>0</v>
      </c>
      <c r="S11" s="64">
        <f>E11+G11+I11+K11+M11+O11+Q11</f>
        <v>7089.07</v>
      </c>
      <c r="T11" s="105">
        <f>P11+N11+L11+J11+H11+F11+R11</f>
        <v>1636.4199999999998</v>
      </c>
      <c r="U11" s="63">
        <v>843.6</v>
      </c>
      <c r="V11" s="63">
        <v>1138.89</v>
      </c>
      <c r="W11" s="63">
        <v>2741.67</v>
      </c>
      <c r="X11" s="63">
        <v>1898.09</v>
      </c>
      <c r="Y11" s="63">
        <v>674.84</v>
      </c>
      <c r="Z11" s="63">
        <v>0</v>
      </c>
      <c r="AA11" s="63">
        <v>0</v>
      </c>
      <c r="AB11" s="63">
        <f>SUM(U11:AA11)</f>
        <v>7297.09</v>
      </c>
      <c r="AC11" s="89">
        <f>D11+T11+AB11</f>
        <v>10262.041874999999</v>
      </c>
      <c r="AD11" s="89">
        <f>P11+Z11</f>
        <v>0</v>
      </c>
      <c r="AE11" s="89">
        <f>R11+AA11</f>
        <v>0</v>
      </c>
      <c r="AF11" s="89">
        <f>'[1]Т02-09'!$I$9</f>
        <v>3041.37038</v>
      </c>
      <c r="AG11" s="20">
        <f>0.6*B11*0.9+234.1</f>
        <v>897.5980000000001</v>
      </c>
      <c r="AH11" s="97">
        <f>B11*0.2*0.9082</f>
        <v>223.181068</v>
      </c>
      <c r="AI11" s="20">
        <f>0.85*B11*0.8675</f>
        <v>906.0126625</v>
      </c>
      <c r="AJ11" s="20">
        <f t="shared" si="1"/>
        <v>163.08227925</v>
      </c>
      <c r="AK11" s="20">
        <v>203.69</v>
      </c>
      <c r="AL11" s="97">
        <f>0.83*B11*0.838</f>
        <v>854.609998</v>
      </c>
      <c r="AM11" s="20">
        <f t="shared" si="2"/>
        <v>153.82979964</v>
      </c>
      <c r="AN11" s="20">
        <v>634.28</v>
      </c>
      <c r="AO11" s="20">
        <f>1.91*B11*0.8381</f>
        <v>1966.8673276999998</v>
      </c>
      <c r="AP11" s="20">
        <f t="shared" si="3"/>
        <v>354.03611898599996</v>
      </c>
      <c r="AQ11" s="20"/>
      <c r="AR11" s="20">
        <f t="shared" si="4"/>
        <v>0</v>
      </c>
      <c r="AS11" s="90"/>
      <c r="AT11" s="90">
        <f>AS11*0.18</f>
        <v>0</v>
      </c>
      <c r="AU11" s="68"/>
      <c r="AV11" s="68"/>
      <c r="AW11" s="68">
        <f t="shared" si="5"/>
        <v>0</v>
      </c>
      <c r="AX11" s="91">
        <v>383</v>
      </c>
      <c r="AY11" s="92">
        <v>0.45</v>
      </c>
      <c r="AZ11" s="20">
        <f>AX11*AY11*1.12*1.18</f>
        <v>227.77776</v>
      </c>
      <c r="BA11" s="93"/>
      <c r="BB11" s="20"/>
      <c r="BC11" s="20">
        <f>BB11*0.18</f>
        <v>0</v>
      </c>
      <c r="BD11" s="20">
        <f t="shared" si="6"/>
        <v>6584.9650140759995</v>
      </c>
      <c r="BE11" s="95"/>
      <c r="BF11" s="94"/>
      <c r="BG11" s="94"/>
      <c r="BH11" s="100">
        <f t="shared" si="7"/>
        <v>6718.447240924</v>
      </c>
      <c r="BI11" s="108">
        <f t="shared" si="8"/>
        <v>208.02000000000044</v>
      </c>
    </row>
    <row r="12" spans="1:61" ht="12.75" hidden="1">
      <c r="A12" s="7" t="s">
        <v>46</v>
      </c>
      <c r="B12" s="98">
        <v>1228.7</v>
      </c>
      <c r="C12" s="104">
        <f t="shared" si="0"/>
        <v>10628.255000000001</v>
      </c>
      <c r="D12" s="101">
        <f>C12*0.125</f>
        <v>1328.5318750000001</v>
      </c>
      <c r="E12" s="65">
        <v>833.55</v>
      </c>
      <c r="F12" s="65">
        <v>189.18</v>
      </c>
      <c r="G12" s="65">
        <v>1125.33</v>
      </c>
      <c r="H12" s="65">
        <v>255.39</v>
      </c>
      <c r="I12" s="65">
        <v>2709.06</v>
      </c>
      <c r="J12" s="65">
        <v>614.84</v>
      </c>
      <c r="K12" s="65">
        <v>1875.51</v>
      </c>
      <c r="L12" s="65">
        <v>425.66</v>
      </c>
      <c r="M12" s="66">
        <v>666.81</v>
      </c>
      <c r="N12" s="66">
        <v>151.35</v>
      </c>
      <c r="O12" s="65">
        <v>0</v>
      </c>
      <c r="P12" s="65">
        <v>0</v>
      </c>
      <c r="Q12" s="65">
        <v>0</v>
      </c>
      <c r="R12" s="65">
        <v>0</v>
      </c>
      <c r="S12" s="64">
        <f aca="true" t="shared" si="9" ref="S12:S20">E12+G12+I12+K12+M12+O12+Q12</f>
        <v>7210.26</v>
      </c>
      <c r="T12" s="105">
        <f aca="true" t="shared" si="10" ref="T12:T20">P12+N12+L12+J12+H12+F12+R12</f>
        <v>1636.4199999999998</v>
      </c>
      <c r="U12" s="14">
        <v>957.19</v>
      </c>
      <c r="V12" s="14">
        <v>1292.2</v>
      </c>
      <c r="W12" s="14">
        <v>3110.81</v>
      </c>
      <c r="X12" s="14">
        <v>2153.67</v>
      </c>
      <c r="Y12" s="14">
        <v>765.73</v>
      </c>
      <c r="Z12" s="14">
        <v>0</v>
      </c>
      <c r="AA12" s="14">
        <v>0</v>
      </c>
      <c r="AB12" s="63">
        <f aca="true" t="shared" si="11" ref="AB12:AB17">SUM(U12:AA12)</f>
        <v>8279.6</v>
      </c>
      <c r="AC12" s="89">
        <f aca="true" t="shared" si="12" ref="AC12:AC19">D12+T12+AB12</f>
        <v>11244.551875000001</v>
      </c>
      <c r="AD12" s="89">
        <f aca="true" t="shared" si="13" ref="AD12:AD20">P12+Z12</f>
        <v>0</v>
      </c>
      <c r="AE12" s="89">
        <f aca="true" t="shared" si="14" ref="AE12:AE20">R12+AA12</f>
        <v>0</v>
      </c>
      <c r="AF12" s="89">
        <f>'[2]Т04-09'!$I$9</f>
        <v>3041.37038</v>
      </c>
      <c r="AG12" s="20">
        <f>0.6*B12*0.9+234.1</f>
        <v>897.5980000000001</v>
      </c>
      <c r="AH12" s="97">
        <f>B12*0.2*0.9234</f>
        <v>226.916316</v>
      </c>
      <c r="AI12" s="20">
        <f>0.85*B12*0.8934</f>
        <v>933.0624929999999</v>
      </c>
      <c r="AJ12" s="20">
        <f t="shared" si="1"/>
        <v>167.95124873999998</v>
      </c>
      <c r="AK12" s="20">
        <v>209.68</v>
      </c>
      <c r="AL12" s="20">
        <f>0.83*B12*0.8498</f>
        <v>866.6438858</v>
      </c>
      <c r="AM12" s="20">
        <f t="shared" si="2"/>
        <v>155.995899444</v>
      </c>
      <c r="AN12" s="20">
        <v>658.87</v>
      </c>
      <c r="AO12" s="20">
        <f>(1.91)*B12*0.8498</f>
        <v>1994.3250866</v>
      </c>
      <c r="AP12" s="20">
        <f t="shared" si="3"/>
        <v>358.978515588</v>
      </c>
      <c r="AQ12" s="20"/>
      <c r="AR12" s="20">
        <f t="shared" si="4"/>
        <v>0</v>
      </c>
      <c r="AS12" s="90"/>
      <c r="AT12" s="90">
        <f t="shared" si="4"/>
        <v>0</v>
      </c>
      <c r="AU12" s="99">
        <v>1360.93</v>
      </c>
      <c r="AV12" s="68"/>
      <c r="AW12" s="68">
        <f t="shared" si="5"/>
        <v>244.9674</v>
      </c>
      <c r="AX12" s="91">
        <v>307</v>
      </c>
      <c r="AY12" s="92">
        <v>0.45</v>
      </c>
      <c r="AZ12" s="20">
        <f aca="true" t="shared" si="15" ref="AZ12:AZ20">AX12*AY12*1.12*1.18</f>
        <v>182.57904</v>
      </c>
      <c r="BA12" s="93"/>
      <c r="BB12" s="20"/>
      <c r="BC12" s="20">
        <f>BB12*0.18</f>
        <v>0</v>
      </c>
      <c r="BD12" s="20">
        <f t="shared" si="6"/>
        <v>8258.497885172</v>
      </c>
      <c r="BE12" s="95"/>
      <c r="BF12" s="20"/>
      <c r="BG12" s="20"/>
      <c r="BH12" s="100">
        <f t="shared" si="7"/>
        <v>6027.424369828001</v>
      </c>
      <c r="BI12" s="108">
        <f t="shared" si="8"/>
        <v>1069.3400000000001</v>
      </c>
    </row>
    <row r="13" spans="1:61" ht="12.75" hidden="1">
      <c r="A13" s="7" t="s">
        <v>47</v>
      </c>
      <c r="B13" s="96">
        <v>1228.7</v>
      </c>
      <c r="C13" s="104">
        <f t="shared" si="0"/>
        <v>10628.255000000001</v>
      </c>
      <c r="D13" s="101">
        <f aca="true" t="shared" si="16" ref="D13:D20">C13-E13-F13-G13-H13-I13-J13-K13-L13-M13-N13</f>
        <v>1016.4449999999995</v>
      </c>
      <c r="E13" s="65">
        <v>896.37</v>
      </c>
      <c r="F13" s="65">
        <v>212.83</v>
      </c>
      <c r="G13" s="65">
        <v>1214.03</v>
      </c>
      <c r="H13" s="65">
        <v>288.49</v>
      </c>
      <c r="I13" s="65">
        <v>2917.09</v>
      </c>
      <c r="J13" s="65">
        <v>692.89</v>
      </c>
      <c r="K13" s="65">
        <v>2020.69</v>
      </c>
      <c r="L13" s="65">
        <v>480.07</v>
      </c>
      <c r="M13" s="66">
        <v>719.09</v>
      </c>
      <c r="N13" s="66">
        <v>170.26</v>
      </c>
      <c r="O13" s="65">
        <v>0</v>
      </c>
      <c r="P13" s="65">
        <v>0</v>
      </c>
      <c r="Q13" s="65">
        <v>0</v>
      </c>
      <c r="R13" s="65">
        <v>0</v>
      </c>
      <c r="S13" s="64">
        <f t="shared" si="9"/>
        <v>7767.27</v>
      </c>
      <c r="T13" s="105">
        <f t="shared" si="10"/>
        <v>1844.5399999999997</v>
      </c>
      <c r="U13" s="63">
        <v>673.91</v>
      </c>
      <c r="V13" s="63">
        <v>909.81</v>
      </c>
      <c r="W13" s="63">
        <v>2190.24</v>
      </c>
      <c r="X13" s="63">
        <v>1516.33</v>
      </c>
      <c r="Y13" s="63">
        <v>539.09</v>
      </c>
      <c r="Z13" s="63">
        <v>0</v>
      </c>
      <c r="AA13" s="63">
        <v>0</v>
      </c>
      <c r="AB13" s="63">
        <f t="shared" si="11"/>
        <v>5829.379999999999</v>
      </c>
      <c r="AC13" s="89">
        <f t="shared" si="12"/>
        <v>8690.364999999998</v>
      </c>
      <c r="AD13" s="89">
        <f t="shared" si="13"/>
        <v>0</v>
      </c>
      <c r="AE13" s="89">
        <f t="shared" si="14"/>
        <v>0</v>
      </c>
      <c r="AF13" s="89">
        <f>'[2]Т04-09'!$I$9</f>
        <v>3041.37038</v>
      </c>
      <c r="AG13" s="20">
        <f>0.6*B13+234.1</f>
        <v>971.32</v>
      </c>
      <c r="AH13" s="20">
        <f>B13*0.2*1.01</f>
        <v>248.19740000000002</v>
      </c>
      <c r="AI13" s="20">
        <f>0.85*B13</f>
        <v>1044.395</v>
      </c>
      <c r="AJ13" s="20">
        <f t="shared" si="1"/>
        <v>187.9911</v>
      </c>
      <c r="AK13" s="20">
        <v>224.53</v>
      </c>
      <c r="AL13" s="20">
        <f>0.83*B13</f>
        <v>1019.821</v>
      </c>
      <c r="AM13" s="20">
        <f t="shared" si="2"/>
        <v>183.56778</v>
      </c>
      <c r="AN13" s="20">
        <v>772.18</v>
      </c>
      <c r="AO13" s="20">
        <f>(1.91)*B13</f>
        <v>2346.817</v>
      </c>
      <c r="AP13" s="20">
        <f t="shared" si="3"/>
        <v>422.42706</v>
      </c>
      <c r="AQ13" s="20"/>
      <c r="AR13" s="20">
        <f t="shared" si="4"/>
        <v>0</v>
      </c>
      <c r="AS13" s="90"/>
      <c r="AT13" s="90">
        <f t="shared" si="4"/>
        <v>0</v>
      </c>
      <c r="AU13" s="68">
        <v>2254.35</v>
      </c>
      <c r="AV13" s="68"/>
      <c r="AW13" s="68">
        <f t="shared" si="5"/>
        <v>405.78299999999996</v>
      </c>
      <c r="AX13" s="91">
        <v>263</v>
      </c>
      <c r="AY13" s="92">
        <v>0.45</v>
      </c>
      <c r="AZ13" s="20">
        <f t="shared" si="15"/>
        <v>156.41136000000003</v>
      </c>
      <c r="BA13" s="93"/>
      <c r="BB13" s="20"/>
      <c r="BC13" s="20">
        <f aca="true" t="shared" si="17" ref="BC13:BC20">BB13*0.18</f>
        <v>0</v>
      </c>
      <c r="BD13" s="20">
        <f t="shared" si="6"/>
        <v>10237.7907</v>
      </c>
      <c r="BE13" s="95"/>
      <c r="BF13" s="20"/>
      <c r="BG13" s="20"/>
      <c r="BH13" s="100">
        <f t="shared" si="7"/>
        <v>1493.9446799999987</v>
      </c>
      <c r="BI13" s="108">
        <f t="shared" si="8"/>
        <v>-1937.8900000000012</v>
      </c>
    </row>
    <row r="14" spans="1:61" ht="12.75" hidden="1">
      <c r="A14" s="7" t="s">
        <v>48</v>
      </c>
      <c r="B14" s="96">
        <v>1228.7</v>
      </c>
      <c r="C14" s="104">
        <f t="shared" si="0"/>
        <v>10628.255000000001</v>
      </c>
      <c r="D14" s="101">
        <f t="shared" si="16"/>
        <v>859.9850000000008</v>
      </c>
      <c r="E14" s="65">
        <v>914.69</v>
      </c>
      <c r="F14" s="65">
        <v>212.83</v>
      </c>
      <c r="G14" s="65">
        <v>1238.75</v>
      </c>
      <c r="H14" s="65">
        <v>288.49</v>
      </c>
      <c r="I14" s="65">
        <v>2976.62</v>
      </c>
      <c r="J14" s="65">
        <v>692.89</v>
      </c>
      <c r="K14" s="65">
        <v>2061.91</v>
      </c>
      <c r="L14" s="65">
        <v>480.07</v>
      </c>
      <c r="M14" s="66">
        <v>731.76</v>
      </c>
      <c r="N14" s="66">
        <v>170.26</v>
      </c>
      <c r="O14" s="65">
        <v>0</v>
      </c>
      <c r="P14" s="65">
        <v>0</v>
      </c>
      <c r="Q14" s="65">
        <v>0</v>
      </c>
      <c r="R14" s="65">
        <v>0</v>
      </c>
      <c r="S14" s="64">
        <f t="shared" si="9"/>
        <v>7923.73</v>
      </c>
      <c r="T14" s="105">
        <f t="shared" si="10"/>
        <v>1844.5399999999997</v>
      </c>
      <c r="U14" s="63">
        <v>852.13</v>
      </c>
      <c r="V14" s="63">
        <v>1153.79</v>
      </c>
      <c r="W14" s="63">
        <v>2772.82</v>
      </c>
      <c r="X14" s="63">
        <v>1920.57</v>
      </c>
      <c r="Y14" s="63">
        <v>681.67</v>
      </c>
      <c r="Z14" s="63">
        <v>0</v>
      </c>
      <c r="AA14" s="63">
        <v>0</v>
      </c>
      <c r="AB14" s="63">
        <f t="shared" si="11"/>
        <v>7380.98</v>
      </c>
      <c r="AC14" s="89">
        <f t="shared" si="12"/>
        <v>10085.505000000001</v>
      </c>
      <c r="AD14" s="89">
        <f t="shared" si="13"/>
        <v>0</v>
      </c>
      <c r="AE14" s="89">
        <f t="shared" si="14"/>
        <v>0</v>
      </c>
      <c r="AF14" s="89">
        <f>'[2]Т04-09'!$I$9</f>
        <v>3041.37038</v>
      </c>
      <c r="AG14" s="20">
        <f aca="true" t="shared" si="18" ref="AG14:AG20">0.6*B14+234.1</f>
        <v>971.32</v>
      </c>
      <c r="AH14" s="20">
        <f>B14*0.2*1.01045</f>
        <v>248.30798300000004</v>
      </c>
      <c r="AI14" s="20">
        <f>0.85*B14</f>
        <v>1044.395</v>
      </c>
      <c r="AJ14" s="20">
        <f t="shared" si="1"/>
        <v>187.9911</v>
      </c>
      <c r="AK14" s="20">
        <v>223.48</v>
      </c>
      <c r="AL14" s="20">
        <f>0.83*B14</f>
        <v>1019.821</v>
      </c>
      <c r="AM14" s="20">
        <f t="shared" si="2"/>
        <v>183.56778</v>
      </c>
      <c r="AN14" s="20">
        <v>707.69</v>
      </c>
      <c r="AO14" s="20">
        <f>(1.91)*B14</f>
        <v>2346.817</v>
      </c>
      <c r="AP14" s="20">
        <f t="shared" si="3"/>
        <v>422.42706</v>
      </c>
      <c r="AQ14" s="20"/>
      <c r="AR14" s="20">
        <f t="shared" si="4"/>
        <v>0</v>
      </c>
      <c r="AS14" s="90"/>
      <c r="AT14" s="90">
        <f t="shared" si="4"/>
        <v>0</v>
      </c>
      <c r="AU14" s="68"/>
      <c r="AV14" s="68"/>
      <c r="AW14" s="68">
        <f t="shared" si="5"/>
        <v>0</v>
      </c>
      <c r="AX14" s="91">
        <v>233</v>
      </c>
      <c r="AY14" s="92">
        <v>0.45</v>
      </c>
      <c r="AZ14" s="20">
        <f t="shared" si="15"/>
        <v>138.56976</v>
      </c>
      <c r="BA14" s="93"/>
      <c r="BB14" s="20"/>
      <c r="BC14" s="20">
        <f t="shared" si="17"/>
        <v>0</v>
      </c>
      <c r="BD14" s="20">
        <f t="shared" si="6"/>
        <v>7494.386683</v>
      </c>
      <c r="BE14" s="95"/>
      <c r="BF14" s="20"/>
      <c r="BG14" s="20"/>
      <c r="BH14" s="100">
        <f t="shared" si="7"/>
        <v>5632.488697000002</v>
      </c>
      <c r="BI14" s="108">
        <f t="shared" si="8"/>
        <v>-542.75</v>
      </c>
    </row>
    <row r="15" spans="1:61" ht="12.75" hidden="1">
      <c r="A15" s="7" t="s">
        <v>49</v>
      </c>
      <c r="B15" s="103">
        <v>1228.7</v>
      </c>
      <c r="C15" s="104">
        <f t="shared" si="0"/>
        <v>10628.255000000001</v>
      </c>
      <c r="D15" s="101">
        <f t="shared" si="16"/>
        <v>859.9850000000008</v>
      </c>
      <c r="E15" s="65">
        <v>914.69</v>
      </c>
      <c r="F15" s="65">
        <v>212.83</v>
      </c>
      <c r="G15" s="65">
        <v>1238.75</v>
      </c>
      <c r="H15" s="65">
        <v>288.49</v>
      </c>
      <c r="I15" s="65">
        <v>2976.62</v>
      </c>
      <c r="J15" s="65">
        <v>692.89</v>
      </c>
      <c r="K15" s="65">
        <v>2061.91</v>
      </c>
      <c r="L15" s="65">
        <v>480.07</v>
      </c>
      <c r="M15" s="66">
        <v>731.76</v>
      </c>
      <c r="N15" s="66">
        <v>170.26</v>
      </c>
      <c r="O15" s="65">
        <v>0</v>
      </c>
      <c r="P15" s="65">
        <v>0</v>
      </c>
      <c r="Q15" s="65">
        <v>0</v>
      </c>
      <c r="R15" s="65">
        <v>0</v>
      </c>
      <c r="S15" s="64">
        <f t="shared" si="9"/>
        <v>7923.73</v>
      </c>
      <c r="T15" s="105">
        <f t="shared" si="10"/>
        <v>1844.5399999999997</v>
      </c>
      <c r="U15" s="63">
        <v>1094.19</v>
      </c>
      <c r="V15" s="63">
        <v>1481.08</v>
      </c>
      <c r="W15" s="63">
        <v>3560.04</v>
      </c>
      <c r="X15" s="63">
        <v>2465.82</v>
      </c>
      <c r="Y15" s="63">
        <v>875.35</v>
      </c>
      <c r="Z15" s="63">
        <v>0</v>
      </c>
      <c r="AA15" s="63">
        <v>0</v>
      </c>
      <c r="AB15" s="63">
        <f t="shared" si="11"/>
        <v>9476.48</v>
      </c>
      <c r="AC15" s="89">
        <f t="shared" si="12"/>
        <v>12181.005000000001</v>
      </c>
      <c r="AD15" s="89">
        <f t="shared" si="13"/>
        <v>0</v>
      </c>
      <c r="AE15" s="89">
        <f t="shared" si="14"/>
        <v>0</v>
      </c>
      <c r="AF15" s="89">
        <f>'[1]Т07-09'!$I$9</f>
        <v>3041.37038</v>
      </c>
      <c r="AG15" s="20">
        <f t="shared" si="18"/>
        <v>971.32</v>
      </c>
      <c r="AH15" s="20">
        <f>B15*0.2*0.99426</f>
        <v>244.3294524</v>
      </c>
      <c r="AI15" s="20">
        <f>0.85*B15*0.9857</f>
        <v>1029.4601515</v>
      </c>
      <c r="AJ15" s="20">
        <f t="shared" si="1"/>
        <v>185.30282727</v>
      </c>
      <c r="AK15" s="20">
        <v>231.52</v>
      </c>
      <c r="AL15" s="20">
        <f>0.83*B15*0.9905</f>
        <v>1010.1327005</v>
      </c>
      <c r="AM15" s="20">
        <f t="shared" si="2"/>
        <v>181.82388609</v>
      </c>
      <c r="AN15" s="20">
        <v>749.7</v>
      </c>
      <c r="AO15" s="20">
        <f>(1.91)*B15*0.9905</f>
        <v>2324.5222385</v>
      </c>
      <c r="AP15" s="20">
        <f t="shared" si="3"/>
        <v>418.41400293000004</v>
      </c>
      <c r="AQ15" s="20"/>
      <c r="AR15" s="20">
        <f t="shared" si="4"/>
        <v>0</v>
      </c>
      <c r="AS15" s="90"/>
      <c r="AT15" s="90">
        <f t="shared" si="4"/>
        <v>0</v>
      </c>
      <c r="AU15" s="68">
        <v>9778.92</v>
      </c>
      <c r="AV15" s="68"/>
      <c r="AW15" s="68">
        <f t="shared" si="5"/>
        <v>1760.2056</v>
      </c>
      <c r="AX15" s="91">
        <v>248</v>
      </c>
      <c r="AY15" s="92">
        <v>0.45</v>
      </c>
      <c r="AZ15" s="20">
        <f t="shared" si="15"/>
        <v>147.49056000000002</v>
      </c>
      <c r="BA15" s="93"/>
      <c r="BB15" s="20"/>
      <c r="BC15" s="20">
        <f t="shared" si="17"/>
        <v>0</v>
      </c>
      <c r="BD15" s="20">
        <f t="shared" si="6"/>
        <v>19033.141419189997</v>
      </c>
      <c r="BE15" s="95"/>
      <c r="BF15" s="20"/>
      <c r="BG15" s="20"/>
      <c r="BH15" s="100">
        <f t="shared" si="7"/>
        <v>-3810.7660391899954</v>
      </c>
      <c r="BI15" s="108">
        <f t="shared" si="8"/>
        <v>1552.75</v>
      </c>
    </row>
    <row r="16" spans="1:61" ht="12.75" hidden="1">
      <c r="A16" s="7" t="s">
        <v>50</v>
      </c>
      <c r="B16" s="103">
        <v>1226.7</v>
      </c>
      <c r="C16" s="104">
        <f t="shared" si="0"/>
        <v>10610.955</v>
      </c>
      <c r="D16" s="101">
        <f t="shared" si="16"/>
        <v>872.8450000000007</v>
      </c>
      <c r="E16" s="65">
        <v>904.38</v>
      </c>
      <c r="F16" s="65">
        <v>219.63</v>
      </c>
      <c r="G16" s="65">
        <v>1224.86</v>
      </c>
      <c r="H16" s="65">
        <v>297.7</v>
      </c>
      <c r="I16" s="65">
        <v>2943.17</v>
      </c>
      <c r="J16" s="65">
        <v>715</v>
      </c>
      <c r="K16" s="65">
        <v>2038.76</v>
      </c>
      <c r="L16" s="65">
        <v>495.4</v>
      </c>
      <c r="M16" s="66">
        <v>723.51</v>
      </c>
      <c r="N16" s="66">
        <v>175.7</v>
      </c>
      <c r="O16" s="65">
        <v>0</v>
      </c>
      <c r="P16" s="65">
        <v>0</v>
      </c>
      <c r="Q16" s="65">
        <v>0</v>
      </c>
      <c r="R16" s="65">
        <v>0</v>
      </c>
      <c r="S16" s="64">
        <f t="shared" si="9"/>
        <v>7834.68</v>
      </c>
      <c r="T16" s="105">
        <f t="shared" si="10"/>
        <v>1903.4299999999998</v>
      </c>
      <c r="U16" s="63">
        <v>668.32</v>
      </c>
      <c r="V16" s="63">
        <v>905.11</v>
      </c>
      <c r="W16" s="63">
        <v>2174.89</v>
      </c>
      <c r="X16" s="63">
        <v>1506.53</v>
      </c>
      <c r="Y16" s="63">
        <v>534.7</v>
      </c>
      <c r="Z16" s="63">
        <v>0</v>
      </c>
      <c r="AA16" s="63">
        <v>0</v>
      </c>
      <c r="AB16" s="63">
        <f t="shared" si="11"/>
        <v>5789.549999999999</v>
      </c>
      <c r="AC16" s="89">
        <f t="shared" si="12"/>
        <v>8565.825</v>
      </c>
      <c r="AD16" s="89">
        <f t="shared" si="13"/>
        <v>0</v>
      </c>
      <c r="AE16" s="89">
        <f t="shared" si="14"/>
        <v>0</v>
      </c>
      <c r="AF16" s="89">
        <f>'[1]Т07-09'!$I$9</f>
        <v>3041.37038</v>
      </c>
      <c r="AG16" s="20">
        <f t="shared" si="18"/>
        <v>970.12</v>
      </c>
      <c r="AH16" s="20">
        <f>B16*0.2*0.99875</f>
        <v>245.03332500000005</v>
      </c>
      <c r="AI16" s="20">
        <f>0.85*B16*0.98526</f>
        <v>1027.3256757</v>
      </c>
      <c r="AJ16" s="20">
        <f t="shared" si="1"/>
        <v>184.91862162599998</v>
      </c>
      <c r="AK16" s="20">
        <v>231.34</v>
      </c>
      <c r="AL16" s="20">
        <f>0.83*B16*0.99</f>
        <v>1007.97939</v>
      </c>
      <c r="AM16" s="20">
        <f t="shared" si="2"/>
        <v>181.43629019999997</v>
      </c>
      <c r="AN16" s="20">
        <v>749.32</v>
      </c>
      <c r="AO16" s="20">
        <f>(1.91)*B16*0.99</f>
        <v>2319.5670299999997</v>
      </c>
      <c r="AP16" s="20">
        <f t="shared" si="3"/>
        <v>417.5220653999999</v>
      </c>
      <c r="AQ16" s="20"/>
      <c r="AR16" s="20">
        <f t="shared" si="4"/>
        <v>0</v>
      </c>
      <c r="AS16" s="90">
        <v>9256.96</v>
      </c>
      <c r="AT16" s="90">
        <f t="shared" si="4"/>
        <v>1666.2527999999998</v>
      </c>
      <c r="AU16" s="68">
        <v>3636</v>
      </c>
      <c r="AV16" s="68"/>
      <c r="AW16" s="68">
        <f t="shared" si="5"/>
        <v>654.48</v>
      </c>
      <c r="AX16" s="91">
        <v>293</v>
      </c>
      <c r="AY16" s="92">
        <v>0.45</v>
      </c>
      <c r="AZ16" s="20">
        <f t="shared" si="15"/>
        <v>174.25295999999997</v>
      </c>
      <c r="BA16" s="93"/>
      <c r="BB16" s="20"/>
      <c r="BC16" s="20">
        <f t="shared" si="17"/>
        <v>0</v>
      </c>
      <c r="BD16" s="20">
        <f t="shared" si="6"/>
        <v>22722.508157925997</v>
      </c>
      <c r="BE16" s="95"/>
      <c r="BF16" s="20"/>
      <c r="BG16" s="20"/>
      <c r="BH16" s="100">
        <f t="shared" si="7"/>
        <v>-11115.312777925996</v>
      </c>
      <c r="BI16" s="108">
        <f t="shared" si="8"/>
        <v>-2045.130000000001</v>
      </c>
    </row>
    <row r="17" spans="1:61" ht="12.75" hidden="1">
      <c r="A17" s="7" t="s">
        <v>51</v>
      </c>
      <c r="B17" s="106">
        <v>1226.7</v>
      </c>
      <c r="C17" s="104">
        <f t="shared" si="0"/>
        <v>10610.955</v>
      </c>
      <c r="D17" s="101">
        <f t="shared" si="16"/>
        <v>875.2950000000008</v>
      </c>
      <c r="E17" s="64">
        <v>902.79</v>
      </c>
      <c r="F17" s="64">
        <v>220.93</v>
      </c>
      <c r="G17" s="64">
        <v>1222.72</v>
      </c>
      <c r="H17" s="64">
        <v>299.47</v>
      </c>
      <c r="I17" s="64">
        <v>2937.99</v>
      </c>
      <c r="J17" s="64">
        <v>719.26</v>
      </c>
      <c r="K17" s="64">
        <v>2035.18</v>
      </c>
      <c r="L17" s="64">
        <v>498.34</v>
      </c>
      <c r="M17" s="62">
        <v>722.24</v>
      </c>
      <c r="N17" s="62">
        <v>176.74</v>
      </c>
      <c r="O17" s="64">
        <v>0</v>
      </c>
      <c r="P17" s="64">
        <v>0</v>
      </c>
      <c r="Q17" s="64">
        <v>0</v>
      </c>
      <c r="R17" s="64">
        <v>0</v>
      </c>
      <c r="S17" s="64">
        <f t="shared" si="9"/>
        <v>7820.92</v>
      </c>
      <c r="T17" s="105">
        <f t="shared" si="10"/>
        <v>1914.74</v>
      </c>
      <c r="U17" s="14">
        <v>1077.48</v>
      </c>
      <c r="V17" s="14">
        <v>1459.3</v>
      </c>
      <c r="W17" s="14">
        <v>3506.47</v>
      </c>
      <c r="X17" s="14">
        <v>2428.97</v>
      </c>
      <c r="Y17" s="14">
        <v>861.98</v>
      </c>
      <c r="Z17" s="14">
        <v>0</v>
      </c>
      <c r="AA17" s="14">
        <v>0</v>
      </c>
      <c r="AB17" s="63">
        <f t="shared" si="11"/>
        <v>9334.199999999999</v>
      </c>
      <c r="AC17" s="89">
        <f t="shared" si="12"/>
        <v>12124.235</v>
      </c>
      <c r="AD17" s="89">
        <f t="shared" si="13"/>
        <v>0</v>
      </c>
      <c r="AE17" s="89">
        <f t="shared" si="14"/>
        <v>0</v>
      </c>
      <c r="AF17" s="89">
        <f>'[1]Т07-09'!$I$9</f>
        <v>3041.37038</v>
      </c>
      <c r="AG17" s="20">
        <f t="shared" si="18"/>
        <v>970.12</v>
      </c>
      <c r="AH17" s="20">
        <f>B17*0.2*0.9997</f>
        <v>245.26639800000004</v>
      </c>
      <c r="AI17" s="20">
        <f>0.85*B17*0.98509</f>
        <v>1027.14841755</v>
      </c>
      <c r="AJ17" s="20">
        <f t="shared" si="1"/>
        <v>184.88671515899998</v>
      </c>
      <c r="AK17" s="20">
        <v>231.3</v>
      </c>
      <c r="AL17" s="20">
        <f>0.83*B17*0.98981</f>
        <v>1007.7859394099999</v>
      </c>
      <c r="AM17" s="20">
        <f t="shared" si="2"/>
        <v>181.40146909379996</v>
      </c>
      <c r="AN17" s="20">
        <v>749.17</v>
      </c>
      <c r="AO17" s="20">
        <f>(1.91)*B17*0.9898</f>
        <v>2319.0984306</v>
      </c>
      <c r="AP17" s="20">
        <f t="shared" si="3"/>
        <v>417.437717508</v>
      </c>
      <c r="AQ17" s="20"/>
      <c r="AR17" s="20">
        <f t="shared" si="4"/>
        <v>0</v>
      </c>
      <c r="AS17" s="90"/>
      <c r="AT17" s="90">
        <f t="shared" si="4"/>
        <v>0</v>
      </c>
      <c r="AU17" s="68"/>
      <c r="AV17" s="68"/>
      <c r="AW17" s="68">
        <f t="shared" si="5"/>
        <v>0</v>
      </c>
      <c r="AX17" s="91">
        <v>349</v>
      </c>
      <c r="AY17" s="92">
        <v>0.45</v>
      </c>
      <c r="AZ17" s="20">
        <f t="shared" si="15"/>
        <v>207.55728000000005</v>
      </c>
      <c r="BA17" s="93"/>
      <c r="BB17" s="20"/>
      <c r="BC17" s="20">
        <f t="shared" si="17"/>
        <v>0</v>
      </c>
      <c r="BD17" s="20">
        <f t="shared" si="6"/>
        <v>7541.1723673208</v>
      </c>
      <c r="BE17" s="95"/>
      <c r="BF17" s="20"/>
      <c r="BG17" s="20"/>
      <c r="BH17" s="100">
        <f t="shared" si="7"/>
        <v>7624.433012679201</v>
      </c>
      <c r="BI17" s="108">
        <f t="shared" si="8"/>
        <v>1513.2799999999988</v>
      </c>
    </row>
    <row r="18" spans="1:61" ht="12.75" hidden="1">
      <c r="A18" s="7" t="s">
        <v>39</v>
      </c>
      <c r="B18" s="106">
        <v>1226.7</v>
      </c>
      <c r="C18" s="104">
        <f t="shared" si="0"/>
        <v>10610.955</v>
      </c>
      <c r="D18" s="101">
        <f t="shared" si="16"/>
        <v>875.2950000000008</v>
      </c>
      <c r="E18" s="64">
        <v>902.79</v>
      </c>
      <c r="F18" s="64">
        <v>220.93</v>
      </c>
      <c r="G18" s="64">
        <v>1222.72</v>
      </c>
      <c r="H18" s="64">
        <v>299.47</v>
      </c>
      <c r="I18" s="64">
        <v>2937.99</v>
      </c>
      <c r="J18" s="64">
        <v>719.26</v>
      </c>
      <c r="K18" s="64">
        <v>2035.18</v>
      </c>
      <c r="L18" s="64">
        <v>498.34</v>
      </c>
      <c r="M18" s="64">
        <v>722.24</v>
      </c>
      <c r="N18" s="64">
        <v>176.74</v>
      </c>
      <c r="O18" s="64">
        <v>0</v>
      </c>
      <c r="P18" s="64">
        <v>0</v>
      </c>
      <c r="Q18" s="64">
        <v>0</v>
      </c>
      <c r="R18" s="64">
        <v>0</v>
      </c>
      <c r="S18" s="64">
        <f t="shared" si="9"/>
        <v>7820.92</v>
      </c>
      <c r="T18" s="105">
        <f t="shared" si="10"/>
        <v>1914.74</v>
      </c>
      <c r="U18" s="14">
        <f>641.34+272</f>
        <v>913.34</v>
      </c>
      <c r="V18" s="14">
        <f>868.31+368.53</f>
        <v>1236.84</v>
      </c>
      <c r="W18" s="14">
        <f>2086.87+885.35</f>
        <v>2972.22</v>
      </c>
      <c r="X18" s="14">
        <f>1445.51+613.34</f>
        <v>2058.85</v>
      </c>
      <c r="Y18" s="14">
        <f>513.11+217.6</f>
        <v>730.71</v>
      </c>
      <c r="Z18" s="14">
        <v>0</v>
      </c>
      <c r="AA18" s="14">
        <v>0</v>
      </c>
      <c r="AB18" s="14">
        <f>SUM(U18:AA18)</f>
        <v>7911.96</v>
      </c>
      <c r="AC18" s="89">
        <f t="shared" si="12"/>
        <v>10701.995</v>
      </c>
      <c r="AD18" s="20">
        <f t="shared" si="13"/>
        <v>0</v>
      </c>
      <c r="AE18" s="20">
        <f t="shared" si="14"/>
        <v>0</v>
      </c>
      <c r="AF18" s="20">
        <f>'[3]Т10'!$I$9</f>
        <v>3041.37038</v>
      </c>
      <c r="AG18" s="20">
        <f t="shared" si="18"/>
        <v>970.12</v>
      </c>
      <c r="AH18" s="20">
        <f>B18*0.2</f>
        <v>245.34000000000003</v>
      </c>
      <c r="AI18" s="20">
        <f>0.847*B18</f>
        <v>1039.0149</v>
      </c>
      <c r="AJ18" s="20">
        <f t="shared" si="1"/>
        <v>187.02268199999997</v>
      </c>
      <c r="AK18" s="20">
        <v>233.99</v>
      </c>
      <c r="AL18" s="20">
        <f>0.83*B18</f>
        <v>1018.161</v>
      </c>
      <c r="AM18" s="20">
        <f t="shared" si="2"/>
        <v>183.26897999999997</v>
      </c>
      <c r="AN18" s="20">
        <v>756</v>
      </c>
      <c r="AO18" s="20">
        <f>(2.25/1.18)*B18</f>
        <v>2339.0466101694915</v>
      </c>
      <c r="AP18" s="20">
        <f t="shared" si="3"/>
        <v>421.02838983050844</v>
      </c>
      <c r="AQ18" s="20"/>
      <c r="AR18" s="20">
        <f t="shared" si="4"/>
        <v>0</v>
      </c>
      <c r="AS18" s="90"/>
      <c r="AT18" s="90">
        <f t="shared" si="4"/>
        <v>0</v>
      </c>
      <c r="AU18" s="68">
        <v>0</v>
      </c>
      <c r="AV18" s="68"/>
      <c r="AW18" s="68">
        <f t="shared" si="5"/>
        <v>0</v>
      </c>
      <c r="AX18" s="91">
        <v>425</v>
      </c>
      <c r="AY18" s="92">
        <v>0.45</v>
      </c>
      <c r="AZ18" s="20">
        <f t="shared" si="15"/>
        <v>252.756</v>
      </c>
      <c r="BA18" s="93"/>
      <c r="BB18" s="20"/>
      <c r="BC18" s="20">
        <f t="shared" si="17"/>
        <v>0</v>
      </c>
      <c r="BD18" s="20">
        <f t="shared" si="6"/>
        <v>7645.748562000001</v>
      </c>
      <c r="BE18" s="95"/>
      <c r="BF18" s="20"/>
      <c r="BG18" s="20"/>
      <c r="BH18" s="100">
        <f t="shared" si="7"/>
        <v>6097.616818</v>
      </c>
      <c r="BI18" s="108">
        <f t="shared" si="8"/>
        <v>91.03999999999996</v>
      </c>
    </row>
    <row r="19" spans="1:61" ht="12.75" hidden="1">
      <c r="A19" s="7" t="s">
        <v>40</v>
      </c>
      <c r="B19" s="103">
        <v>1226.7</v>
      </c>
      <c r="C19" s="104">
        <f t="shared" si="0"/>
        <v>10610.955</v>
      </c>
      <c r="D19" s="101">
        <f t="shared" si="16"/>
        <v>875.2950000000008</v>
      </c>
      <c r="E19" s="64">
        <v>902.79</v>
      </c>
      <c r="F19" s="64">
        <v>220.93</v>
      </c>
      <c r="G19" s="64">
        <v>1222.72</v>
      </c>
      <c r="H19" s="64">
        <v>299.47</v>
      </c>
      <c r="I19" s="64">
        <v>2937.99</v>
      </c>
      <c r="J19" s="64">
        <v>719.26</v>
      </c>
      <c r="K19" s="64">
        <v>2035.18</v>
      </c>
      <c r="L19" s="64">
        <v>498.34</v>
      </c>
      <c r="M19" s="62">
        <v>722.24</v>
      </c>
      <c r="N19" s="62">
        <v>176.74</v>
      </c>
      <c r="O19" s="64">
        <v>0</v>
      </c>
      <c r="P19" s="64">
        <v>0</v>
      </c>
      <c r="Q19" s="64">
        <v>0</v>
      </c>
      <c r="R19" s="64">
        <v>0</v>
      </c>
      <c r="S19" s="64">
        <f t="shared" si="9"/>
        <v>7820.92</v>
      </c>
      <c r="T19" s="105">
        <f t="shared" si="10"/>
        <v>1914.74</v>
      </c>
      <c r="U19" s="14">
        <v>759.39</v>
      </c>
      <c r="V19" s="14">
        <v>1028.56</v>
      </c>
      <c r="W19" s="14">
        <v>2471.36</v>
      </c>
      <c r="X19" s="14">
        <v>1711.92</v>
      </c>
      <c r="Y19" s="14">
        <v>607.5</v>
      </c>
      <c r="Z19" s="14">
        <v>0</v>
      </c>
      <c r="AA19" s="14">
        <v>0</v>
      </c>
      <c r="AB19" s="14">
        <f>SUM(U19:AA19)</f>
        <v>6578.73</v>
      </c>
      <c r="AC19" s="89">
        <f t="shared" si="12"/>
        <v>9368.765</v>
      </c>
      <c r="AD19" s="89">
        <f t="shared" si="13"/>
        <v>0</v>
      </c>
      <c r="AE19" s="89">
        <f t="shared" si="14"/>
        <v>0</v>
      </c>
      <c r="AF19" s="89">
        <f>'[3]Т11'!$I$9</f>
        <v>3041.37038</v>
      </c>
      <c r="AG19" s="20">
        <f t="shared" si="18"/>
        <v>970.12</v>
      </c>
      <c r="AH19" s="20">
        <f>B19*0.2</f>
        <v>245.34000000000003</v>
      </c>
      <c r="AI19" s="20">
        <f>0.85*B19</f>
        <v>1042.695</v>
      </c>
      <c r="AJ19" s="20">
        <f t="shared" si="1"/>
        <v>187.68509999999998</v>
      </c>
      <c r="AK19" s="20">
        <v>234.8</v>
      </c>
      <c r="AL19" s="20">
        <f>0.83*B19</f>
        <v>1018.161</v>
      </c>
      <c r="AM19" s="20">
        <f t="shared" si="2"/>
        <v>183.26897999999997</v>
      </c>
      <c r="AN19" s="20">
        <v>756.89</v>
      </c>
      <c r="AO19" s="20">
        <f>(1.91)*B19</f>
        <v>2342.997</v>
      </c>
      <c r="AP19" s="20">
        <f t="shared" si="3"/>
        <v>421.73945999999995</v>
      </c>
      <c r="AQ19" s="20"/>
      <c r="AR19" s="20">
        <f t="shared" si="4"/>
        <v>0</v>
      </c>
      <c r="AS19" s="90"/>
      <c r="AT19" s="90">
        <f t="shared" si="4"/>
        <v>0</v>
      </c>
      <c r="AU19" s="68">
        <v>6286</v>
      </c>
      <c r="AV19" s="68"/>
      <c r="AW19" s="68">
        <f t="shared" si="5"/>
        <v>1131.48</v>
      </c>
      <c r="AX19" s="91">
        <v>470</v>
      </c>
      <c r="AY19" s="92">
        <v>0.45</v>
      </c>
      <c r="AZ19" s="20">
        <f t="shared" si="15"/>
        <v>279.5184</v>
      </c>
      <c r="BA19" s="93"/>
      <c r="BB19" s="20"/>
      <c r="BC19" s="20">
        <f t="shared" si="17"/>
        <v>0</v>
      </c>
      <c r="BD19" s="20">
        <f t="shared" si="6"/>
        <v>15100.694940000001</v>
      </c>
      <c r="BE19" s="95"/>
      <c r="BF19" s="20"/>
      <c r="BG19" s="154"/>
      <c r="BH19" s="100">
        <f t="shared" si="7"/>
        <v>-2690.5595600000015</v>
      </c>
      <c r="BI19" s="108">
        <f t="shared" si="8"/>
        <v>-1242.1900000000005</v>
      </c>
    </row>
    <row r="20" spans="1:61" ht="12.75" hidden="1">
      <c r="A20" s="7" t="s">
        <v>41</v>
      </c>
      <c r="B20" s="106">
        <v>1226.7</v>
      </c>
      <c r="C20" s="104">
        <f t="shared" si="0"/>
        <v>10610.955</v>
      </c>
      <c r="D20" s="101">
        <f t="shared" si="16"/>
        <v>875.2750000000017</v>
      </c>
      <c r="E20" s="64">
        <v>902.81</v>
      </c>
      <c r="F20" s="64">
        <v>220.91</v>
      </c>
      <c r="G20" s="64">
        <v>1222.71</v>
      </c>
      <c r="H20" s="64">
        <v>299.48</v>
      </c>
      <c r="I20" s="64">
        <v>2938.01</v>
      </c>
      <c r="J20" s="64">
        <v>719.26</v>
      </c>
      <c r="K20" s="64">
        <v>2035.2</v>
      </c>
      <c r="L20" s="64">
        <v>498.33</v>
      </c>
      <c r="M20" s="62">
        <v>722.23</v>
      </c>
      <c r="N20" s="62">
        <v>176.74</v>
      </c>
      <c r="O20" s="64">
        <v>0</v>
      </c>
      <c r="P20" s="64">
        <v>0</v>
      </c>
      <c r="Q20" s="64">
        <v>0</v>
      </c>
      <c r="R20" s="64">
        <v>0</v>
      </c>
      <c r="S20" s="64">
        <f t="shared" si="9"/>
        <v>7820.960000000001</v>
      </c>
      <c r="T20" s="105">
        <f t="shared" si="10"/>
        <v>1914.72</v>
      </c>
      <c r="U20" s="14">
        <v>1256.19</v>
      </c>
      <c r="V20" s="14">
        <v>1701.15</v>
      </c>
      <c r="W20" s="14">
        <v>4087.8</v>
      </c>
      <c r="X20" s="14">
        <v>2831.69</v>
      </c>
      <c r="Y20" s="14">
        <v>1004.94</v>
      </c>
      <c r="Z20" s="14">
        <v>0</v>
      </c>
      <c r="AA20" s="14">
        <v>0</v>
      </c>
      <c r="AB20" s="14">
        <f>SUM(U20:AA20)</f>
        <v>10881.77</v>
      </c>
      <c r="AC20" s="89">
        <f>D20+T20+AB20</f>
        <v>13671.765000000003</v>
      </c>
      <c r="AD20" s="89">
        <f t="shared" si="13"/>
        <v>0</v>
      </c>
      <c r="AE20" s="89">
        <f t="shared" si="14"/>
        <v>0</v>
      </c>
      <c r="AF20" s="89">
        <f>'[3]Т12'!$I$9</f>
        <v>3041.37038</v>
      </c>
      <c r="AG20" s="20">
        <f t="shared" si="18"/>
        <v>970.12</v>
      </c>
      <c r="AH20" s="20">
        <f>B20*0.2</f>
        <v>245.34000000000003</v>
      </c>
      <c r="AI20" s="20">
        <f>0.85*B20</f>
        <v>1042.695</v>
      </c>
      <c r="AJ20" s="20">
        <f t="shared" si="1"/>
        <v>187.68509999999998</v>
      </c>
      <c r="AK20" s="20">
        <v>234.8</v>
      </c>
      <c r="AL20" s="20">
        <f>0.83*B20</f>
        <v>1018.161</v>
      </c>
      <c r="AM20" s="20">
        <f t="shared" si="2"/>
        <v>183.26897999999997</v>
      </c>
      <c r="AN20" s="20">
        <v>756.89</v>
      </c>
      <c r="AO20" s="20">
        <f>(1.91)*B20</f>
        <v>2342.997</v>
      </c>
      <c r="AP20" s="20">
        <f t="shared" si="3"/>
        <v>421.73945999999995</v>
      </c>
      <c r="AQ20" s="20"/>
      <c r="AR20" s="20">
        <f t="shared" si="4"/>
        <v>0</v>
      </c>
      <c r="AS20" s="90"/>
      <c r="AT20" s="90">
        <f t="shared" si="4"/>
        <v>0</v>
      </c>
      <c r="AU20" s="68">
        <v>1163</v>
      </c>
      <c r="AV20" s="68"/>
      <c r="AW20" s="68">
        <f t="shared" si="5"/>
        <v>209.34</v>
      </c>
      <c r="AX20" s="91">
        <v>514</v>
      </c>
      <c r="AY20" s="92">
        <v>0.45</v>
      </c>
      <c r="AZ20" s="20">
        <f t="shared" si="15"/>
        <v>305.68608</v>
      </c>
      <c r="BA20" s="93"/>
      <c r="BB20" s="20"/>
      <c r="BC20" s="20">
        <f t="shared" si="17"/>
        <v>0</v>
      </c>
      <c r="BD20" s="20">
        <f t="shared" si="6"/>
        <v>9081.72262</v>
      </c>
      <c r="BE20" s="95"/>
      <c r="BF20" s="20"/>
      <c r="BG20" s="154"/>
      <c r="BH20" s="100">
        <f>AC20+AF20-BD20-BG20</f>
        <v>7631.412760000003</v>
      </c>
      <c r="BI20" s="108">
        <f t="shared" si="8"/>
        <v>3060.8099999999995</v>
      </c>
    </row>
    <row r="21" spans="1:61" s="17" customFormat="1" ht="13.5" thickBot="1">
      <c r="A21" s="109" t="s">
        <v>4</v>
      </c>
      <c r="B21" s="110"/>
      <c r="C21" s="110">
        <f>SUM(C9:C20)</f>
        <v>127452.56000000003</v>
      </c>
      <c r="D21" s="110">
        <f aca="true" t="shared" si="19" ref="D21:BI21">SUM(D9:D20)</f>
        <v>12424.547500000004</v>
      </c>
      <c r="E21" s="110">
        <f t="shared" si="19"/>
        <v>10551.410000000002</v>
      </c>
      <c r="F21" s="110">
        <f t="shared" si="19"/>
        <v>2498.54</v>
      </c>
      <c r="G21" s="110">
        <f t="shared" si="19"/>
        <v>14276.029999999999</v>
      </c>
      <c r="H21" s="110">
        <f t="shared" si="19"/>
        <v>3382.6200000000003</v>
      </c>
      <c r="I21" s="110">
        <f t="shared" si="19"/>
        <v>34323.38</v>
      </c>
      <c r="J21" s="110">
        <f t="shared" si="19"/>
        <v>8130.070000000001</v>
      </c>
      <c r="K21" s="110">
        <f t="shared" si="19"/>
        <v>23771.83</v>
      </c>
      <c r="L21" s="110">
        <f t="shared" si="19"/>
        <v>5631.6</v>
      </c>
      <c r="M21" s="110">
        <f t="shared" si="19"/>
        <v>8443.05</v>
      </c>
      <c r="N21" s="110">
        <f t="shared" si="19"/>
        <v>1998.84</v>
      </c>
      <c r="O21" s="110">
        <f t="shared" si="19"/>
        <v>0</v>
      </c>
      <c r="P21" s="110">
        <f t="shared" si="19"/>
        <v>0</v>
      </c>
      <c r="Q21" s="110">
        <f t="shared" si="19"/>
        <v>0</v>
      </c>
      <c r="R21" s="110">
        <f t="shared" si="19"/>
        <v>0</v>
      </c>
      <c r="S21" s="110">
        <f t="shared" si="19"/>
        <v>91365.7</v>
      </c>
      <c r="T21" s="110">
        <f t="shared" si="19"/>
        <v>21641.670000000002</v>
      </c>
      <c r="U21" s="110">
        <f t="shared" si="19"/>
        <v>10484.98</v>
      </c>
      <c r="V21" s="110">
        <f t="shared" si="19"/>
        <v>14182.269999999999</v>
      </c>
      <c r="W21" s="110">
        <f t="shared" si="19"/>
        <v>34103.44</v>
      </c>
      <c r="X21" s="110">
        <f t="shared" si="19"/>
        <v>23618.27</v>
      </c>
      <c r="Y21" s="110">
        <f t="shared" si="19"/>
        <v>8387.86</v>
      </c>
      <c r="Z21" s="110">
        <f t="shared" si="19"/>
        <v>0</v>
      </c>
      <c r="AA21" s="110">
        <f t="shared" si="19"/>
        <v>0</v>
      </c>
      <c r="AB21" s="110">
        <f t="shared" si="19"/>
        <v>90776.82</v>
      </c>
      <c r="AC21" s="110">
        <f t="shared" si="19"/>
        <v>124843.03749999999</v>
      </c>
      <c r="AD21" s="110">
        <f t="shared" si="19"/>
        <v>0</v>
      </c>
      <c r="AE21" s="110">
        <f t="shared" si="19"/>
        <v>0</v>
      </c>
      <c r="AF21" s="110">
        <f t="shared" si="19"/>
        <v>36496.444559999996</v>
      </c>
      <c r="AG21" s="110">
        <f t="shared" si="19"/>
        <v>11354.952000000003</v>
      </c>
      <c r="AH21" s="110">
        <f t="shared" si="19"/>
        <v>2861.132104400001</v>
      </c>
      <c r="AI21" s="110">
        <f t="shared" si="19"/>
        <v>11947.18523025</v>
      </c>
      <c r="AJ21" s="110">
        <f t="shared" si="19"/>
        <v>2150.493341445</v>
      </c>
      <c r="AK21" s="110"/>
      <c r="AL21" s="110"/>
      <c r="AM21" s="110"/>
      <c r="AN21" s="110"/>
      <c r="AO21" s="110"/>
      <c r="AP21" s="110"/>
      <c r="AQ21" s="110">
        <f t="shared" si="19"/>
        <v>0</v>
      </c>
      <c r="AR21" s="110">
        <f t="shared" si="19"/>
        <v>0</v>
      </c>
      <c r="AS21" s="110">
        <f t="shared" si="19"/>
        <v>9256.96</v>
      </c>
      <c r="AT21" s="110">
        <f t="shared" si="19"/>
        <v>1666.2527999999998</v>
      </c>
      <c r="AU21" s="110">
        <f t="shared" si="19"/>
        <v>29160.2</v>
      </c>
      <c r="AV21" s="110">
        <f t="shared" si="19"/>
        <v>0</v>
      </c>
      <c r="AW21" s="110">
        <f t="shared" si="19"/>
        <v>5248.836</v>
      </c>
      <c r="AX21" s="110"/>
      <c r="AY21" s="110"/>
      <c r="AZ21" s="110">
        <f t="shared" si="19"/>
        <v>2616.768</v>
      </c>
      <c r="BA21" s="110">
        <f t="shared" si="19"/>
        <v>0</v>
      </c>
      <c r="BB21" s="110">
        <f t="shared" si="19"/>
        <v>0</v>
      </c>
      <c r="BC21" s="110">
        <f t="shared" si="19"/>
        <v>0</v>
      </c>
      <c r="BD21" s="110">
        <f t="shared" si="19"/>
        <v>132764.9637122868</v>
      </c>
      <c r="BE21" s="110">
        <f t="shared" si="19"/>
        <v>0</v>
      </c>
      <c r="BF21" s="110">
        <f t="shared" si="19"/>
        <v>0</v>
      </c>
      <c r="BG21" s="110"/>
      <c r="BH21" s="110">
        <f t="shared" si="19"/>
        <v>28574.518347713212</v>
      </c>
      <c r="BI21" s="111">
        <f t="shared" si="19"/>
        <v>-588.8800000000028</v>
      </c>
    </row>
    <row r="22" spans="1:61" ht="15" customHeight="1">
      <c r="A22" s="5" t="s">
        <v>90</v>
      </c>
      <c r="B22" s="58"/>
      <c r="C22" s="9"/>
      <c r="D22" s="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102"/>
      <c r="P22" s="11"/>
      <c r="Q22" s="10"/>
      <c r="R22" s="10"/>
      <c r="S22" s="10"/>
      <c r="T22" s="10"/>
      <c r="U22" s="18"/>
      <c r="V22" s="18"/>
      <c r="W22" s="18"/>
      <c r="X22" s="18"/>
      <c r="Y22" s="18"/>
      <c r="Z22" s="18"/>
      <c r="AA22" s="12"/>
      <c r="AB22" s="12"/>
      <c r="AC22" s="13"/>
      <c r="AD22" s="14"/>
      <c r="AE22" s="14"/>
      <c r="AF22" s="13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5"/>
      <c r="AT22" s="15"/>
      <c r="AU22" s="67"/>
      <c r="AV22" s="19"/>
      <c r="AW22" s="15"/>
      <c r="AX22" s="15"/>
      <c r="AY22" s="15"/>
      <c r="AZ22" s="14"/>
      <c r="BA22" s="14"/>
      <c r="BB22" s="14"/>
      <c r="BC22" s="14"/>
      <c r="BD22" s="21"/>
      <c r="BE22" s="21"/>
      <c r="BF22" s="21"/>
      <c r="BG22" s="21"/>
      <c r="BH22" s="21"/>
      <c r="BI22" s="21"/>
    </row>
    <row r="23" spans="1:61" ht="12.75">
      <c r="A23" s="7" t="s">
        <v>43</v>
      </c>
      <c r="B23" s="139">
        <v>1226.7</v>
      </c>
      <c r="C23" s="140">
        <f aca="true" t="shared" si="20" ref="C23:C34">B23*8.65</f>
        <v>10610.955</v>
      </c>
      <c r="D23" s="101">
        <f aca="true" t="shared" si="21" ref="D23:D28">C23-E23-F23-G23-H23-I23-J23-K23-L23-M23-N23</f>
        <v>875.2950000000008</v>
      </c>
      <c r="E23" s="141">
        <v>902.79</v>
      </c>
      <c r="F23" s="141">
        <v>220.93</v>
      </c>
      <c r="G23" s="141">
        <v>1222.72</v>
      </c>
      <c r="H23" s="141">
        <v>299.47</v>
      </c>
      <c r="I23" s="141">
        <v>2937.99</v>
      </c>
      <c r="J23" s="141">
        <v>719.26</v>
      </c>
      <c r="K23" s="141">
        <v>2035.18</v>
      </c>
      <c r="L23" s="141">
        <v>498.34</v>
      </c>
      <c r="M23" s="142">
        <v>722.24</v>
      </c>
      <c r="N23" s="143">
        <v>176.74</v>
      </c>
      <c r="O23" s="144">
        <v>0</v>
      </c>
      <c r="P23" s="144">
        <v>0</v>
      </c>
      <c r="Q23" s="144"/>
      <c r="R23" s="144"/>
      <c r="S23" s="141">
        <f aca="true" t="shared" si="22" ref="S23:S28">E23+G23+I23+K23+M23+O23+Q23</f>
        <v>7820.92</v>
      </c>
      <c r="T23" s="145">
        <f aca="true" t="shared" si="23" ref="T23:T28">P23+N23+L23+J23+H23+F23+R23</f>
        <v>1914.74</v>
      </c>
      <c r="U23" s="141">
        <v>650.53</v>
      </c>
      <c r="V23" s="141">
        <v>881.04</v>
      </c>
      <c r="W23" s="141">
        <v>2117.08</v>
      </c>
      <c r="X23" s="141">
        <v>1466.5</v>
      </c>
      <c r="Y23" s="141">
        <v>520.44</v>
      </c>
      <c r="Z23" s="141">
        <v>0</v>
      </c>
      <c r="AA23" s="144">
        <v>0</v>
      </c>
      <c r="AB23" s="144">
        <f aca="true" t="shared" si="24" ref="AB23:AB34">SUM(U23:AA23)</f>
        <v>5635.59</v>
      </c>
      <c r="AC23" s="146">
        <f aca="true" t="shared" si="25" ref="AC23:AC28">D23+T23+AB23</f>
        <v>8425.625</v>
      </c>
      <c r="AD23" s="147">
        <f aca="true" t="shared" si="26" ref="AD23:AD28">P23+Z23</f>
        <v>0</v>
      </c>
      <c r="AE23" s="147">
        <f aca="true" t="shared" si="27" ref="AE23:AE28">R23+AA23</f>
        <v>0</v>
      </c>
      <c r="AF23" s="147">
        <f>'[4]Т01-10'!$I$9</f>
        <v>3041.37038</v>
      </c>
      <c r="AG23" s="148">
        <f aca="true" t="shared" si="28" ref="AG23:AG28">0.6*B23</f>
        <v>736.02</v>
      </c>
      <c r="AH23" s="148">
        <f aca="true" t="shared" si="29" ref="AH23:AH28">B23*0.2</f>
        <v>245.34000000000003</v>
      </c>
      <c r="AI23" s="148">
        <f aca="true" t="shared" si="30" ref="AI23:AI28">1*B23</f>
        <v>1226.7</v>
      </c>
      <c r="AJ23" s="148">
        <v>0</v>
      </c>
      <c r="AK23" s="148">
        <f aca="true" t="shared" si="31" ref="AK23:AK28">0.98*B23</f>
        <v>1202.166</v>
      </c>
      <c r="AL23" s="148">
        <v>0</v>
      </c>
      <c r="AM23" s="148">
        <f aca="true" t="shared" si="32" ref="AM23:AM28">2.25*B23</f>
        <v>2760.0750000000003</v>
      </c>
      <c r="AN23" s="148">
        <v>0</v>
      </c>
      <c r="AO23" s="148"/>
      <c r="AP23" s="148">
        <v>0</v>
      </c>
      <c r="AQ23" s="148"/>
      <c r="AR23" s="148"/>
      <c r="AS23" s="149"/>
      <c r="AT23" s="149"/>
      <c r="AU23" s="150">
        <v>596</v>
      </c>
      <c r="AV23" s="150"/>
      <c r="AW23" s="150">
        <f aca="true" t="shared" si="33" ref="AW23:AW28">AV23*0.18</f>
        <v>0</v>
      </c>
      <c r="AX23" s="151">
        <v>508</v>
      </c>
      <c r="AY23" s="152">
        <v>0.45</v>
      </c>
      <c r="AZ23" s="148">
        <f aca="true" t="shared" si="34" ref="AZ23:AZ28">AX23*AY23*1.4</f>
        <v>320.03999999999996</v>
      </c>
      <c r="BA23" s="93"/>
      <c r="BB23" s="153"/>
      <c r="BC23" s="153">
        <f aca="true" t="shared" si="35" ref="BC23:BC28">BB23*0.18</f>
        <v>0</v>
      </c>
      <c r="BD23" s="153">
        <f aca="true" t="shared" si="36" ref="BD23:BD34">SUM(AG23:BC23)-AX23-AY23</f>
        <v>7086.340999999999</v>
      </c>
      <c r="BE23" s="154">
        <f>'[4]Т03-10'!$M$9</f>
        <v>1224.343</v>
      </c>
      <c r="BF23" s="20"/>
      <c r="BG23" s="154">
        <f>'[4]Т03-10'!$M$9</f>
        <v>1224.343</v>
      </c>
      <c r="BH23" s="100">
        <f aca="true" t="shared" si="37" ref="BH23:BH33">AC23+AF23-BD23-BG23</f>
        <v>3156.311380000001</v>
      </c>
      <c r="BI23" s="108">
        <f>AB23-S23</f>
        <v>-2185.33</v>
      </c>
    </row>
    <row r="24" spans="1:61" ht="12.75">
      <c r="A24" s="7" t="s">
        <v>44</v>
      </c>
      <c r="B24" s="139">
        <v>1226.7</v>
      </c>
      <c r="C24" s="140">
        <f t="shared" si="20"/>
        <v>10610.955</v>
      </c>
      <c r="D24" s="101">
        <f t="shared" si="21"/>
        <v>875.2950000000008</v>
      </c>
      <c r="E24" s="155">
        <v>902.79</v>
      </c>
      <c r="F24" s="141">
        <v>220.93</v>
      </c>
      <c r="G24" s="141">
        <v>1222.72</v>
      </c>
      <c r="H24" s="141">
        <v>299.47</v>
      </c>
      <c r="I24" s="141">
        <v>2937.99</v>
      </c>
      <c r="J24" s="141">
        <v>719.26</v>
      </c>
      <c r="K24" s="141">
        <v>2035.18</v>
      </c>
      <c r="L24" s="141">
        <v>498.34</v>
      </c>
      <c r="M24" s="142">
        <v>722.24</v>
      </c>
      <c r="N24" s="143">
        <v>176.74</v>
      </c>
      <c r="O24" s="144">
        <v>0</v>
      </c>
      <c r="P24" s="144">
        <v>0</v>
      </c>
      <c r="Q24" s="141">
        <v>0</v>
      </c>
      <c r="R24" s="144">
        <v>0</v>
      </c>
      <c r="S24" s="141">
        <f t="shared" si="22"/>
        <v>7820.92</v>
      </c>
      <c r="T24" s="145">
        <f t="shared" si="23"/>
        <v>1914.74</v>
      </c>
      <c r="U24" s="141">
        <v>863.1</v>
      </c>
      <c r="V24" s="141">
        <v>1168.96</v>
      </c>
      <c r="W24" s="141">
        <v>2808.77</v>
      </c>
      <c r="X24" s="141">
        <v>1945.65</v>
      </c>
      <c r="Y24" s="141">
        <v>690.46</v>
      </c>
      <c r="Z24" s="141">
        <v>0</v>
      </c>
      <c r="AA24" s="144">
        <v>0</v>
      </c>
      <c r="AB24" s="144">
        <f t="shared" si="24"/>
        <v>7476.94</v>
      </c>
      <c r="AC24" s="146">
        <f t="shared" si="25"/>
        <v>10266.975</v>
      </c>
      <c r="AD24" s="147">
        <f t="shared" si="26"/>
        <v>0</v>
      </c>
      <c r="AE24" s="147">
        <f t="shared" si="27"/>
        <v>0</v>
      </c>
      <c r="AF24" s="147">
        <f>'[4]Т01-10'!$I$9</f>
        <v>3041.37038</v>
      </c>
      <c r="AG24" s="148">
        <f t="shared" si="28"/>
        <v>736.02</v>
      </c>
      <c r="AH24" s="148">
        <f t="shared" si="29"/>
        <v>245.34000000000003</v>
      </c>
      <c r="AI24" s="148">
        <f t="shared" si="30"/>
        <v>1226.7</v>
      </c>
      <c r="AJ24" s="148">
        <v>0</v>
      </c>
      <c r="AK24" s="148">
        <f t="shared" si="31"/>
        <v>1202.166</v>
      </c>
      <c r="AL24" s="148">
        <v>0</v>
      </c>
      <c r="AM24" s="148">
        <f t="shared" si="32"/>
        <v>2760.0750000000003</v>
      </c>
      <c r="AN24" s="148">
        <v>0</v>
      </c>
      <c r="AO24" s="148">
        <f>483*5.4</f>
        <v>2608.2000000000003</v>
      </c>
      <c r="AP24" s="148"/>
      <c r="AQ24" s="148"/>
      <c r="AR24" s="148"/>
      <c r="AS24" s="149"/>
      <c r="AT24" s="149"/>
      <c r="AU24" s="150">
        <v>1604</v>
      </c>
      <c r="AV24" s="150"/>
      <c r="AW24" s="150">
        <f t="shared" si="33"/>
        <v>0</v>
      </c>
      <c r="AX24" s="151">
        <v>407</v>
      </c>
      <c r="AY24" s="152">
        <v>0.45</v>
      </c>
      <c r="AZ24" s="148">
        <f t="shared" si="34"/>
        <v>256.40999999999997</v>
      </c>
      <c r="BA24" s="93"/>
      <c r="BB24" s="153"/>
      <c r="BC24" s="153">
        <f t="shared" si="35"/>
        <v>0</v>
      </c>
      <c r="BD24" s="153">
        <f t="shared" si="36"/>
        <v>10638.911</v>
      </c>
      <c r="BE24" s="154">
        <f>'[4]Т03-10'!$M$9</f>
        <v>1224.343</v>
      </c>
      <c r="BF24" s="20"/>
      <c r="BG24" s="154">
        <f>'[4]Т03-10'!$M$9</f>
        <v>1224.343</v>
      </c>
      <c r="BH24" s="100">
        <f t="shared" si="37"/>
        <v>1445.0913800000005</v>
      </c>
      <c r="BI24" s="108">
        <f aca="true" t="shared" si="38" ref="BI24:BI34">AB24-S24</f>
        <v>-343.9800000000005</v>
      </c>
    </row>
    <row r="25" spans="1:61" ht="12.75">
      <c r="A25" s="7" t="s">
        <v>45</v>
      </c>
      <c r="B25" s="139">
        <v>1226.7</v>
      </c>
      <c r="C25" s="140">
        <f t="shared" si="20"/>
        <v>10610.955</v>
      </c>
      <c r="D25" s="101">
        <f t="shared" si="21"/>
        <v>875.2950000000008</v>
      </c>
      <c r="E25" s="141">
        <v>902.79</v>
      </c>
      <c r="F25" s="141">
        <v>220.93</v>
      </c>
      <c r="G25" s="141">
        <v>1222.72</v>
      </c>
      <c r="H25" s="141">
        <v>299.47</v>
      </c>
      <c r="I25" s="141">
        <v>2937.99</v>
      </c>
      <c r="J25" s="141">
        <v>719.26</v>
      </c>
      <c r="K25" s="141">
        <v>2035.18</v>
      </c>
      <c r="L25" s="141">
        <v>498.34</v>
      </c>
      <c r="M25" s="142">
        <v>722.24</v>
      </c>
      <c r="N25" s="143">
        <v>176.74</v>
      </c>
      <c r="O25" s="144">
        <v>0</v>
      </c>
      <c r="P25" s="144">
        <v>0</v>
      </c>
      <c r="Q25" s="144">
        <v>0</v>
      </c>
      <c r="R25" s="144">
        <v>0</v>
      </c>
      <c r="S25" s="141">
        <f t="shared" si="22"/>
        <v>7820.92</v>
      </c>
      <c r="T25" s="145">
        <f t="shared" si="23"/>
        <v>1914.74</v>
      </c>
      <c r="U25" s="141">
        <v>1037.35</v>
      </c>
      <c r="V25" s="141">
        <v>1404.9</v>
      </c>
      <c r="W25" s="141">
        <v>3375.86</v>
      </c>
      <c r="X25" s="141">
        <v>2338.48</v>
      </c>
      <c r="Y25" s="141">
        <v>829.89</v>
      </c>
      <c r="Z25" s="141">
        <v>0</v>
      </c>
      <c r="AA25" s="144">
        <v>0</v>
      </c>
      <c r="AB25" s="144">
        <f t="shared" si="24"/>
        <v>8986.48</v>
      </c>
      <c r="AC25" s="146">
        <f t="shared" si="25"/>
        <v>11776.515</v>
      </c>
      <c r="AD25" s="147">
        <f t="shared" si="26"/>
        <v>0</v>
      </c>
      <c r="AE25" s="147">
        <f t="shared" si="27"/>
        <v>0</v>
      </c>
      <c r="AF25" s="147">
        <f>'[4]Т01-10'!$I$9</f>
        <v>3041.37038</v>
      </c>
      <c r="AG25" s="148">
        <f t="shared" si="28"/>
        <v>736.02</v>
      </c>
      <c r="AH25" s="148">
        <f t="shared" si="29"/>
        <v>245.34000000000003</v>
      </c>
      <c r="AI25" s="148">
        <f t="shared" si="30"/>
        <v>1226.7</v>
      </c>
      <c r="AJ25" s="148">
        <v>0</v>
      </c>
      <c r="AK25" s="148">
        <f t="shared" si="31"/>
        <v>1202.166</v>
      </c>
      <c r="AL25" s="148">
        <v>0</v>
      </c>
      <c r="AM25" s="148">
        <f t="shared" si="32"/>
        <v>2760.0750000000003</v>
      </c>
      <c r="AN25" s="148">
        <v>0</v>
      </c>
      <c r="AO25" s="148"/>
      <c r="AP25" s="148"/>
      <c r="AQ25" s="148"/>
      <c r="AR25" s="148"/>
      <c r="AS25" s="149">
        <v>6984</v>
      </c>
      <c r="AT25" s="149"/>
      <c r="AU25" s="150"/>
      <c r="AV25" s="150"/>
      <c r="AW25" s="150">
        <f t="shared" si="33"/>
        <v>0</v>
      </c>
      <c r="AX25" s="151">
        <v>383</v>
      </c>
      <c r="AY25" s="152">
        <v>0.45</v>
      </c>
      <c r="AZ25" s="148">
        <f t="shared" si="34"/>
        <v>241.28999999999996</v>
      </c>
      <c r="BA25" s="93"/>
      <c r="BB25" s="153"/>
      <c r="BC25" s="153">
        <f t="shared" si="35"/>
        <v>0</v>
      </c>
      <c r="BD25" s="153">
        <f t="shared" si="36"/>
        <v>13395.591</v>
      </c>
      <c r="BE25" s="154">
        <f>'[4]Т03-10'!$M$9</f>
        <v>1224.343</v>
      </c>
      <c r="BF25" s="20"/>
      <c r="BG25" s="154">
        <f>'[4]Т03-10'!$M$9</f>
        <v>1224.343</v>
      </c>
      <c r="BH25" s="100">
        <f t="shared" si="37"/>
        <v>197.9513799999993</v>
      </c>
      <c r="BI25" s="108">
        <f t="shared" si="38"/>
        <v>1165.5599999999995</v>
      </c>
    </row>
    <row r="26" spans="1:61" ht="12.75">
      <c r="A26" s="7" t="s">
        <v>46</v>
      </c>
      <c r="B26" s="139">
        <v>1226.7</v>
      </c>
      <c r="C26" s="140">
        <f t="shared" si="20"/>
        <v>10610.955</v>
      </c>
      <c r="D26" s="101">
        <f t="shared" si="21"/>
        <v>875.2950000000008</v>
      </c>
      <c r="E26" s="141">
        <v>902.79</v>
      </c>
      <c r="F26" s="141">
        <v>220.93</v>
      </c>
      <c r="G26" s="141">
        <v>1222.72</v>
      </c>
      <c r="H26" s="141">
        <v>299.47</v>
      </c>
      <c r="I26" s="141">
        <v>2937.99</v>
      </c>
      <c r="J26" s="141">
        <v>719.26</v>
      </c>
      <c r="K26" s="141">
        <v>2035.18</v>
      </c>
      <c r="L26" s="141">
        <v>498.34</v>
      </c>
      <c r="M26" s="142">
        <v>722.24</v>
      </c>
      <c r="N26" s="143">
        <v>176.74</v>
      </c>
      <c r="O26" s="144">
        <v>0</v>
      </c>
      <c r="P26" s="144">
        <v>0</v>
      </c>
      <c r="Q26" s="144"/>
      <c r="R26" s="144"/>
      <c r="S26" s="141">
        <f t="shared" si="22"/>
        <v>7820.92</v>
      </c>
      <c r="T26" s="145">
        <f t="shared" si="23"/>
        <v>1914.74</v>
      </c>
      <c r="U26" s="141">
        <v>957.19</v>
      </c>
      <c r="V26" s="141">
        <v>1292.2</v>
      </c>
      <c r="W26" s="141">
        <v>3110.81</v>
      </c>
      <c r="X26" s="141">
        <v>2153.67</v>
      </c>
      <c r="Y26" s="141">
        <v>765.73</v>
      </c>
      <c r="Z26" s="141">
        <v>0</v>
      </c>
      <c r="AA26" s="144">
        <v>0</v>
      </c>
      <c r="AB26" s="144">
        <f t="shared" si="24"/>
        <v>8279.6</v>
      </c>
      <c r="AC26" s="146">
        <f t="shared" si="25"/>
        <v>11069.635000000002</v>
      </c>
      <c r="AD26" s="147">
        <f t="shared" si="26"/>
        <v>0</v>
      </c>
      <c r="AE26" s="147">
        <f t="shared" si="27"/>
        <v>0</v>
      </c>
      <c r="AF26" s="147">
        <f>'[5]Т04-10'!$I$9</f>
        <v>3041.37038</v>
      </c>
      <c r="AG26" s="148">
        <f t="shared" si="28"/>
        <v>736.02</v>
      </c>
      <c r="AH26" s="148">
        <f t="shared" si="29"/>
        <v>245.34000000000003</v>
      </c>
      <c r="AI26" s="148">
        <f t="shared" si="30"/>
        <v>1226.7</v>
      </c>
      <c r="AJ26" s="148">
        <v>0</v>
      </c>
      <c r="AK26" s="148">
        <f t="shared" si="31"/>
        <v>1202.166</v>
      </c>
      <c r="AL26" s="148">
        <v>0</v>
      </c>
      <c r="AM26" s="148">
        <f t="shared" si="32"/>
        <v>2760.0750000000003</v>
      </c>
      <c r="AN26" s="148">
        <v>0</v>
      </c>
      <c r="AO26" s="148"/>
      <c r="AP26" s="148"/>
      <c r="AQ26" s="148"/>
      <c r="AR26" s="148"/>
      <c r="AS26" s="149"/>
      <c r="AT26" s="149"/>
      <c r="AU26" s="150">
        <v>195</v>
      </c>
      <c r="AV26" s="150">
        <v>500</v>
      </c>
      <c r="AW26" s="150">
        <v>0</v>
      </c>
      <c r="AX26" s="151">
        <v>307</v>
      </c>
      <c r="AY26" s="152">
        <v>0.45</v>
      </c>
      <c r="AZ26" s="148">
        <f t="shared" si="34"/>
        <v>193.41</v>
      </c>
      <c r="BA26" s="93"/>
      <c r="BB26" s="153"/>
      <c r="BC26" s="153">
        <f t="shared" si="35"/>
        <v>0</v>
      </c>
      <c r="BD26" s="153">
        <f t="shared" si="36"/>
        <v>7058.710999999999</v>
      </c>
      <c r="BE26" s="154">
        <f>'[5]Т04-10'!$M$9</f>
        <v>1224.343</v>
      </c>
      <c r="BF26" s="20"/>
      <c r="BG26" s="154">
        <f>'[5]Т04-10'!$M$9</f>
        <v>1224.343</v>
      </c>
      <c r="BH26" s="100">
        <f t="shared" si="37"/>
        <v>5827.951380000003</v>
      </c>
      <c r="BI26" s="108">
        <f t="shared" si="38"/>
        <v>458.6800000000003</v>
      </c>
    </row>
    <row r="27" spans="1:61" ht="12.75">
      <c r="A27" s="7" t="s">
        <v>47</v>
      </c>
      <c r="B27" s="139">
        <v>1226.7</v>
      </c>
      <c r="C27" s="140">
        <f t="shared" si="20"/>
        <v>10610.955</v>
      </c>
      <c r="D27" s="101">
        <f t="shared" si="21"/>
        <v>875.374999999998</v>
      </c>
      <c r="E27" s="141">
        <v>902.78</v>
      </c>
      <c r="F27" s="141">
        <v>220.93</v>
      </c>
      <c r="G27" s="141">
        <v>1222.7</v>
      </c>
      <c r="H27" s="141">
        <v>299.47</v>
      </c>
      <c r="I27" s="156">
        <v>2937.96</v>
      </c>
      <c r="J27" s="141">
        <v>719.26</v>
      </c>
      <c r="K27" s="141">
        <v>2035.16</v>
      </c>
      <c r="L27" s="141">
        <v>498.34</v>
      </c>
      <c r="M27" s="142">
        <v>722.24</v>
      </c>
      <c r="N27" s="143">
        <v>176.74</v>
      </c>
      <c r="O27" s="144">
        <v>0</v>
      </c>
      <c r="P27" s="144">
        <v>0</v>
      </c>
      <c r="Q27" s="144"/>
      <c r="R27" s="144"/>
      <c r="S27" s="141">
        <f t="shared" si="22"/>
        <v>7820.84</v>
      </c>
      <c r="T27" s="145">
        <f t="shared" si="23"/>
        <v>1914.74</v>
      </c>
      <c r="U27" s="157">
        <v>992.31</v>
      </c>
      <c r="V27" s="157">
        <v>1344</v>
      </c>
      <c r="W27" s="157">
        <v>3229.29</v>
      </c>
      <c r="X27" s="157">
        <v>2236.98</v>
      </c>
      <c r="Y27" s="157">
        <v>793.85</v>
      </c>
      <c r="Z27" s="157">
        <v>0</v>
      </c>
      <c r="AA27" s="158">
        <v>0</v>
      </c>
      <c r="AB27" s="144">
        <f t="shared" si="24"/>
        <v>8596.43</v>
      </c>
      <c r="AC27" s="146">
        <f t="shared" si="25"/>
        <v>11386.544999999998</v>
      </c>
      <c r="AD27" s="147">
        <f t="shared" si="26"/>
        <v>0</v>
      </c>
      <c r="AE27" s="147">
        <f t="shared" si="27"/>
        <v>0</v>
      </c>
      <c r="AF27" s="147">
        <f>'[5]Т04-10'!$I$9</f>
        <v>3041.37038</v>
      </c>
      <c r="AG27" s="148">
        <f t="shared" si="28"/>
        <v>736.02</v>
      </c>
      <c r="AH27" s="148">
        <f t="shared" si="29"/>
        <v>245.34000000000003</v>
      </c>
      <c r="AI27" s="148">
        <f t="shared" si="30"/>
        <v>1226.7</v>
      </c>
      <c r="AJ27" s="148">
        <v>0</v>
      </c>
      <c r="AK27" s="148">
        <f t="shared" si="31"/>
        <v>1202.166</v>
      </c>
      <c r="AL27" s="148">
        <v>0</v>
      </c>
      <c r="AM27" s="148">
        <f t="shared" si="32"/>
        <v>2760.0750000000003</v>
      </c>
      <c r="AN27" s="148">
        <v>0</v>
      </c>
      <c r="AO27" s="148"/>
      <c r="AP27" s="148"/>
      <c r="AQ27" s="148"/>
      <c r="AR27" s="148"/>
      <c r="AS27" s="149"/>
      <c r="AT27" s="149"/>
      <c r="AU27" s="150">
        <v>9470</v>
      </c>
      <c r="AV27" s="150"/>
      <c r="AW27" s="150">
        <f t="shared" si="33"/>
        <v>0</v>
      </c>
      <c r="AX27" s="151">
        <v>263</v>
      </c>
      <c r="AY27" s="152">
        <v>0.45</v>
      </c>
      <c r="AZ27" s="148">
        <f t="shared" si="34"/>
        <v>165.69</v>
      </c>
      <c r="BA27" s="93"/>
      <c r="BB27" s="153"/>
      <c r="BC27" s="153">
        <f t="shared" si="35"/>
        <v>0</v>
      </c>
      <c r="BD27" s="153">
        <f t="shared" si="36"/>
        <v>15805.991</v>
      </c>
      <c r="BE27" s="154">
        <f>'[5]Т04-10'!$M$9</f>
        <v>1224.343</v>
      </c>
      <c r="BF27" s="20"/>
      <c r="BG27" s="154">
        <f>'[5]Т04-10'!$M$9</f>
        <v>1224.343</v>
      </c>
      <c r="BH27" s="100">
        <f t="shared" si="37"/>
        <v>-2602.4186200000013</v>
      </c>
      <c r="BI27" s="108">
        <f t="shared" si="38"/>
        <v>775.5900000000001</v>
      </c>
    </row>
    <row r="28" spans="1:61" ht="12.75">
      <c r="A28" s="7" t="s">
        <v>48</v>
      </c>
      <c r="B28" s="139">
        <v>1226.7</v>
      </c>
      <c r="C28" s="140">
        <f t="shared" si="20"/>
        <v>10610.955</v>
      </c>
      <c r="D28" s="101">
        <f t="shared" si="21"/>
        <v>876.0349999999983</v>
      </c>
      <c r="E28" s="141">
        <v>902.7</v>
      </c>
      <c r="F28" s="141">
        <v>220.93</v>
      </c>
      <c r="G28" s="141">
        <v>1222.61</v>
      </c>
      <c r="H28" s="141">
        <v>299.47</v>
      </c>
      <c r="I28" s="141">
        <v>2937.7</v>
      </c>
      <c r="J28" s="141">
        <v>719.26</v>
      </c>
      <c r="K28" s="141">
        <v>2034.99</v>
      </c>
      <c r="L28" s="141">
        <v>498.34</v>
      </c>
      <c r="M28" s="142">
        <v>722.18</v>
      </c>
      <c r="N28" s="143">
        <v>176.74</v>
      </c>
      <c r="O28" s="144">
        <v>0</v>
      </c>
      <c r="P28" s="144">
        <v>0</v>
      </c>
      <c r="Q28" s="144">
        <v>0</v>
      </c>
      <c r="R28" s="144">
        <v>0</v>
      </c>
      <c r="S28" s="141">
        <f t="shared" si="22"/>
        <v>7820.18</v>
      </c>
      <c r="T28" s="145">
        <f t="shared" si="23"/>
        <v>1914.74</v>
      </c>
      <c r="U28" s="141">
        <v>803.85</v>
      </c>
      <c r="V28" s="141">
        <v>1088.43</v>
      </c>
      <c r="W28" s="141">
        <v>2615.75</v>
      </c>
      <c r="X28" s="141">
        <v>1811.86</v>
      </c>
      <c r="Y28" s="141">
        <v>643.1</v>
      </c>
      <c r="Z28" s="141">
        <v>0</v>
      </c>
      <c r="AA28" s="144">
        <v>0</v>
      </c>
      <c r="AB28" s="144">
        <f t="shared" si="24"/>
        <v>6962.990000000001</v>
      </c>
      <c r="AC28" s="146">
        <f t="shared" si="25"/>
        <v>9753.765</v>
      </c>
      <c r="AD28" s="147">
        <f t="shared" si="26"/>
        <v>0</v>
      </c>
      <c r="AE28" s="147">
        <f t="shared" si="27"/>
        <v>0</v>
      </c>
      <c r="AF28" s="147">
        <f>'[5]Т04-10'!$I$9</f>
        <v>3041.37038</v>
      </c>
      <c r="AG28" s="148">
        <f t="shared" si="28"/>
        <v>736.02</v>
      </c>
      <c r="AH28" s="148">
        <f t="shared" si="29"/>
        <v>245.34000000000003</v>
      </c>
      <c r="AI28" s="148">
        <f t="shared" si="30"/>
        <v>1226.7</v>
      </c>
      <c r="AJ28" s="148">
        <v>0</v>
      </c>
      <c r="AK28" s="148">
        <f t="shared" si="31"/>
        <v>1202.166</v>
      </c>
      <c r="AL28" s="148">
        <v>0</v>
      </c>
      <c r="AM28" s="148">
        <f t="shared" si="32"/>
        <v>2760.0750000000003</v>
      </c>
      <c r="AN28" s="148">
        <v>0</v>
      </c>
      <c r="AO28" s="148"/>
      <c r="AP28" s="148"/>
      <c r="AQ28" s="148"/>
      <c r="AR28" s="148"/>
      <c r="AS28" s="149"/>
      <c r="AT28" s="149"/>
      <c r="AU28" s="150"/>
      <c r="AV28" s="150"/>
      <c r="AW28" s="150">
        <f t="shared" si="33"/>
        <v>0</v>
      </c>
      <c r="AX28" s="151">
        <v>233</v>
      </c>
      <c r="AY28" s="152">
        <v>0.45</v>
      </c>
      <c r="AZ28" s="148">
        <f t="shared" si="34"/>
        <v>146.79</v>
      </c>
      <c r="BA28" s="93"/>
      <c r="BB28" s="153"/>
      <c r="BC28" s="153">
        <f t="shared" si="35"/>
        <v>0</v>
      </c>
      <c r="BD28" s="153">
        <f t="shared" si="36"/>
        <v>6317.090999999999</v>
      </c>
      <c r="BE28" s="154">
        <f>'[5]Т06-10'!$M$9</f>
        <v>1224.343</v>
      </c>
      <c r="BF28" s="20"/>
      <c r="BG28" s="154">
        <f>'[5]Т06-10'!$M$9</f>
        <v>1224.343</v>
      </c>
      <c r="BH28" s="100">
        <f t="shared" si="37"/>
        <v>5253.70138</v>
      </c>
      <c r="BI28" s="108">
        <f t="shared" si="38"/>
        <v>-857.1899999999996</v>
      </c>
    </row>
    <row r="29" spans="1:61" ht="12.75">
      <c r="A29" s="7" t="s">
        <v>49</v>
      </c>
      <c r="B29" s="139">
        <v>1226.7</v>
      </c>
      <c r="C29" s="140">
        <f t="shared" si="20"/>
        <v>10610.955</v>
      </c>
      <c r="D29" s="101">
        <f aca="true" t="shared" si="39" ref="D29:D34">C29-E29-F29-G29-H29-I29-J29-K29-L29-M29-N29</f>
        <v>872.5250000000012</v>
      </c>
      <c r="E29" s="155">
        <v>1124.05</v>
      </c>
      <c r="F29" s="141">
        <v>0</v>
      </c>
      <c r="G29" s="141">
        <v>1522.61</v>
      </c>
      <c r="H29" s="141">
        <v>0</v>
      </c>
      <c r="I29" s="141">
        <v>3658.29</v>
      </c>
      <c r="J29" s="141">
        <v>0</v>
      </c>
      <c r="K29" s="141">
        <v>2534.24</v>
      </c>
      <c r="L29" s="141">
        <v>0</v>
      </c>
      <c r="M29" s="142">
        <v>899.24</v>
      </c>
      <c r="N29" s="143">
        <v>0</v>
      </c>
      <c r="O29" s="144">
        <v>0</v>
      </c>
      <c r="P29" s="144">
        <v>0</v>
      </c>
      <c r="Q29" s="144"/>
      <c r="R29" s="144"/>
      <c r="S29" s="141">
        <f aca="true" t="shared" si="40" ref="S29:S34">E29+G29+I29+K29+M29+O29+Q29</f>
        <v>9738.429999999998</v>
      </c>
      <c r="T29" s="145">
        <f aca="true" t="shared" si="41" ref="T29:T34">P29+N29+L29+J29+H29+F29+R29</f>
        <v>0</v>
      </c>
      <c r="U29" s="155">
        <v>891.21</v>
      </c>
      <c r="V29" s="141">
        <v>1206.94</v>
      </c>
      <c r="W29" s="141">
        <v>2900.24</v>
      </c>
      <c r="X29" s="141">
        <v>2008.95</v>
      </c>
      <c r="Y29" s="141">
        <v>713.01</v>
      </c>
      <c r="Z29" s="141">
        <v>0</v>
      </c>
      <c r="AA29" s="144">
        <v>0</v>
      </c>
      <c r="AB29" s="144">
        <f t="shared" si="24"/>
        <v>7720.349999999999</v>
      </c>
      <c r="AC29" s="146">
        <f aca="true" t="shared" si="42" ref="AC29:AC34">D29+T29+AB29</f>
        <v>8592.875</v>
      </c>
      <c r="AD29" s="147">
        <f aca="true" t="shared" si="43" ref="AD29:AD34">P29+Z29</f>
        <v>0</v>
      </c>
      <c r="AE29" s="147">
        <f aca="true" t="shared" si="44" ref="AE29:AE34">R29+AA29</f>
        <v>0</v>
      </c>
      <c r="AF29" s="147">
        <f>'[6]Т07-10'!$I$8</f>
        <v>3041.37038</v>
      </c>
      <c r="AG29" s="148">
        <f aca="true" t="shared" si="45" ref="AG29:AG34">0.6*B29</f>
        <v>736.02</v>
      </c>
      <c r="AH29" s="148">
        <f aca="true" t="shared" si="46" ref="AH29:AH34">B29*0.2</f>
        <v>245.34000000000003</v>
      </c>
      <c r="AI29" s="148">
        <f aca="true" t="shared" si="47" ref="AI29:AI34">1*B29</f>
        <v>1226.7</v>
      </c>
      <c r="AJ29" s="148">
        <v>0</v>
      </c>
      <c r="AK29" s="148">
        <f aca="true" t="shared" si="48" ref="AK29:AK34">0.98*B29</f>
        <v>1202.166</v>
      </c>
      <c r="AL29" s="148">
        <v>0</v>
      </c>
      <c r="AM29" s="148">
        <f aca="true" t="shared" si="49" ref="AM29:AM34">2.25*B29</f>
        <v>2760.0750000000003</v>
      </c>
      <c r="AN29" s="148">
        <v>0</v>
      </c>
      <c r="AO29" s="148"/>
      <c r="AP29" s="148"/>
      <c r="AQ29" s="148"/>
      <c r="AR29" s="148"/>
      <c r="AS29" s="149"/>
      <c r="AT29" s="149"/>
      <c r="AU29" s="150"/>
      <c r="AV29" s="150"/>
      <c r="AW29" s="150">
        <f>AV29*0.18</f>
        <v>0</v>
      </c>
      <c r="AX29" s="151">
        <v>248</v>
      </c>
      <c r="AY29" s="152">
        <v>0.45</v>
      </c>
      <c r="AZ29" s="148">
        <f aca="true" t="shared" si="50" ref="AZ29:AZ34">AX29*AY29*1.4</f>
        <v>156.24</v>
      </c>
      <c r="BA29" s="93"/>
      <c r="BB29" s="153"/>
      <c r="BC29" s="153">
        <f aca="true" t="shared" si="51" ref="BC29:BC34">BB29*0.18</f>
        <v>0</v>
      </c>
      <c r="BD29" s="153">
        <f t="shared" si="36"/>
        <v>6326.540999999999</v>
      </c>
      <c r="BE29" s="154">
        <f>'[5]Т06-10'!$M$9</f>
        <v>1224.343</v>
      </c>
      <c r="BF29" s="20"/>
      <c r="BG29" s="154">
        <f>'[5]Т06-10'!$M$9</f>
        <v>1224.343</v>
      </c>
      <c r="BH29" s="100">
        <f t="shared" si="37"/>
        <v>4083.361380000001</v>
      </c>
      <c r="BI29" s="108">
        <f t="shared" si="38"/>
        <v>-2018.079999999999</v>
      </c>
    </row>
    <row r="30" spans="1:61" ht="12.75">
      <c r="A30" s="7" t="s">
        <v>50</v>
      </c>
      <c r="B30" s="139">
        <v>1226.7</v>
      </c>
      <c r="C30" s="140">
        <f t="shared" si="20"/>
        <v>10610.955</v>
      </c>
      <c r="D30" s="101">
        <f t="shared" si="39"/>
        <v>870.8350000000002</v>
      </c>
      <c r="E30" s="155">
        <v>1124.24</v>
      </c>
      <c r="F30" s="141">
        <v>0</v>
      </c>
      <c r="G30" s="141">
        <v>1522.87</v>
      </c>
      <c r="H30" s="141">
        <v>0</v>
      </c>
      <c r="I30" s="141">
        <v>3658.92</v>
      </c>
      <c r="J30" s="141">
        <v>0</v>
      </c>
      <c r="K30" s="141">
        <v>2534.69</v>
      </c>
      <c r="L30" s="141">
        <v>0</v>
      </c>
      <c r="M30" s="142">
        <v>899.4</v>
      </c>
      <c r="N30" s="143">
        <v>0</v>
      </c>
      <c r="O30" s="144">
        <v>0</v>
      </c>
      <c r="P30" s="144">
        <v>0</v>
      </c>
      <c r="Q30" s="144"/>
      <c r="R30" s="144"/>
      <c r="S30" s="141">
        <f t="shared" si="40"/>
        <v>9740.119999999999</v>
      </c>
      <c r="T30" s="145">
        <f t="shared" si="41"/>
        <v>0</v>
      </c>
      <c r="U30" s="157">
        <v>901.71</v>
      </c>
      <c r="V30" s="157">
        <v>1221.81</v>
      </c>
      <c r="W30" s="157">
        <v>2935.05</v>
      </c>
      <c r="X30" s="157">
        <v>2033.35</v>
      </c>
      <c r="Y30" s="157">
        <v>721.35</v>
      </c>
      <c r="Z30" s="157">
        <v>0</v>
      </c>
      <c r="AA30" s="158">
        <v>0</v>
      </c>
      <c r="AB30" s="144">
        <f t="shared" si="24"/>
        <v>7813.27</v>
      </c>
      <c r="AC30" s="146">
        <f t="shared" si="42"/>
        <v>8684.105000000001</v>
      </c>
      <c r="AD30" s="147">
        <f t="shared" si="43"/>
        <v>0</v>
      </c>
      <c r="AE30" s="147">
        <f t="shared" si="44"/>
        <v>0</v>
      </c>
      <c r="AF30" s="147">
        <f>'[6]Т07-10'!$I$8</f>
        <v>3041.37038</v>
      </c>
      <c r="AG30" s="148">
        <f t="shared" si="45"/>
        <v>736.02</v>
      </c>
      <c r="AH30" s="148">
        <f t="shared" si="46"/>
        <v>245.34000000000003</v>
      </c>
      <c r="AI30" s="148">
        <f t="shared" si="47"/>
        <v>1226.7</v>
      </c>
      <c r="AJ30" s="148">
        <v>0</v>
      </c>
      <c r="AK30" s="148">
        <f t="shared" si="48"/>
        <v>1202.166</v>
      </c>
      <c r="AL30" s="148">
        <v>0</v>
      </c>
      <c r="AM30" s="148">
        <f t="shared" si="49"/>
        <v>2760.0750000000003</v>
      </c>
      <c r="AN30" s="148">
        <v>0</v>
      </c>
      <c r="AO30" s="148"/>
      <c r="AP30" s="148"/>
      <c r="AQ30" s="148"/>
      <c r="AR30" s="148"/>
      <c r="AS30" s="149"/>
      <c r="AT30" s="149"/>
      <c r="AU30" s="150"/>
      <c r="AV30" s="150">
        <f>12000+47.8+126</f>
        <v>12173.8</v>
      </c>
      <c r="AW30" s="150">
        <v>0</v>
      </c>
      <c r="AX30" s="151">
        <v>293</v>
      </c>
      <c r="AY30" s="152">
        <v>0.45</v>
      </c>
      <c r="AZ30" s="148">
        <f t="shared" si="50"/>
        <v>184.58999999999997</v>
      </c>
      <c r="BA30" s="93"/>
      <c r="BB30" s="153"/>
      <c r="BC30" s="153">
        <f t="shared" si="51"/>
        <v>0</v>
      </c>
      <c r="BD30" s="153">
        <f t="shared" si="36"/>
        <v>18528.691</v>
      </c>
      <c r="BE30" s="154">
        <f>'[5]Т06-10'!$M$9</f>
        <v>1224.343</v>
      </c>
      <c r="BF30" s="20"/>
      <c r="BG30" s="154">
        <f>'[5]Т06-10'!$M$9</f>
        <v>1224.343</v>
      </c>
      <c r="BH30" s="100">
        <f>AC30+AF30-BD30-BG30</f>
        <v>-8027.558619999997</v>
      </c>
      <c r="BI30" s="108">
        <f t="shared" si="38"/>
        <v>-1926.8499999999985</v>
      </c>
    </row>
    <row r="31" spans="1:61" ht="12.75">
      <c r="A31" s="7" t="s">
        <v>51</v>
      </c>
      <c r="B31" s="139">
        <v>1226.7</v>
      </c>
      <c r="C31" s="140">
        <f t="shared" si="20"/>
        <v>10610.955</v>
      </c>
      <c r="D31" s="101">
        <f t="shared" si="39"/>
        <v>869.0449999999993</v>
      </c>
      <c r="E31" s="141">
        <v>1124.46</v>
      </c>
      <c r="F31" s="141">
        <v>0</v>
      </c>
      <c r="G31" s="141">
        <v>1523.14</v>
      </c>
      <c r="H31" s="141">
        <v>0</v>
      </c>
      <c r="I31" s="141">
        <v>3659.6</v>
      </c>
      <c r="J31" s="141">
        <v>0</v>
      </c>
      <c r="K31" s="141">
        <v>2535.14</v>
      </c>
      <c r="L31" s="141">
        <v>0</v>
      </c>
      <c r="M31" s="142">
        <v>899.57</v>
      </c>
      <c r="N31" s="143">
        <v>0</v>
      </c>
      <c r="O31" s="144">
        <v>0</v>
      </c>
      <c r="P31" s="144">
        <v>0</v>
      </c>
      <c r="Q31" s="144"/>
      <c r="R31" s="144"/>
      <c r="S31" s="141">
        <f t="shared" si="40"/>
        <v>9741.91</v>
      </c>
      <c r="T31" s="145">
        <f t="shared" si="41"/>
        <v>0</v>
      </c>
      <c r="U31" s="141">
        <v>1120.36</v>
      </c>
      <c r="V31" s="141">
        <v>1517.56</v>
      </c>
      <c r="W31" s="141">
        <v>3646.23</v>
      </c>
      <c r="X31" s="141">
        <v>2525.89</v>
      </c>
      <c r="Y31" s="141">
        <v>896.28</v>
      </c>
      <c r="Z31" s="141">
        <v>0</v>
      </c>
      <c r="AA31" s="144">
        <v>0</v>
      </c>
      <c r="AB31" s="144">
        <f t="shared" si="24"/>
        <v>9706.32</v>
      </c>
      <c r="AC31" s="146">
        <f t="shared" si="42"/>
        <v>10575.365</v>
      </c>
      <c r="AD31" s="147">
        <f t="shared" si="43"/>
        <v>0</v>
      </c>
      <c r="AE31" s="147">
        <f t="shared" si="44"/>
        <v>0</v>
      </c>
      <c r="AF31" s="147">
        <f>'[6]Т07-10'!$I$8</f>
        <v>3041.37038</v>
      </c>
      <c r="AG31" s="148">
        <f t="shared" si="45"/>
        <v>736.02</v>
      </c>
      <c r="AH31" s="148">
        <f t="shared" si="46"/>
        <v>245.34000000000003</v>
      </c>
      <c r="AI31" s="148">
        <f t="shared" si="47"/>
        <v>1226.7</v>
      </c>
      <c r="AJ31" s="148">
        <v>0</v>
      </c>
      <c r="AK31" s="148">
        <f t="shared" si="48"/>
        <v>1202.166</v>
      </c>
      <c r="AL31" s="148">
        <v>0</v>
      </c>
      <c r="AM31" s="148">
        <f t="shared" si="49"/>
        <v>2760.0750000000003</v>
      </c>
      <c r="AN31" s="148">
        <v>0</v>
      </c>
      <c r="AO31" s="148"/>
      <c r="AP31" s="148"/>
      <c r="AQ31" s="148"/>
      <c r="AR31" s="148"/>
      <c r="AS31" s="149"/>
      <c r="AT31" s="149"/>
      <c r="AU31" s="150">
        <v>10324</v>
      </c>
      <c r="AV31" s="150"/>
      <c r="AW31" s="159">
        <f>AV31*0.18</f>
        <v>0</v>
      </c>
      <c r="AX31" s="151">
        <v>349</v>
      </c>
      <c r="AY31" s="152">
        <v>0.45</v>
      </c>
      <c r="AZ31" s="148">
        <f t="shared" si="50"/>
        <v>219.87</v>
      </c>
      <c r="BA31" s="93"/>
      <c r="BB31" s="153"/>
      <c r="BC31" s="153">
        <f t="shared" si="51"/>
        <v>0</v>
      </c>
      <c r="BD31" s="153">
        <f t="shared" si="36"/>
        <v>16714.171</v>
      </c>
      <c r="BE31" s="154">
        <f>'[5]Т06-10'!$M$9</f>
        <v>1224.343</v>
      </c>
      <c r="BF31" s="20"/>
      <c r="BG31" s="154">
        <f>'[5]Т06-10'!$M$9</f>
        <v>1224.343</v>
      </c>
      <c r="BH31" s="100">
        <f t="shared" si="37"/>
        <v>-4321.778619999998</v>
      </c>
      <c r="BI31" s="108">
        <f t="shared" si="38"/>
        <v>-35.590000000000146</v>
      </c>
    </row>
    <row r="32" spans="1:61" ht="12.75">
      <c r="A32" s="7" t="s">
        <v>39</v>
      </c>
      <c r="B32" s="139">
        <v>1226.7</v>
      </c>
      <c r="C32" s="140">
        <f t="shared" si="20"/>
        <v>10610.955</v>
      </c>
      <c r="D32" s="101">
        <f t="shared" si="39"/>
        <v>874.2349999999996</v>
      </c>
      <c r="E32" s="65">
        <v>1123.85</v>
      </c>
      <c r="F32" s="65">
        <v>0</v>
      </c>
      <c r="G32" s="65">
        <v>1522.34</v>
      </c>
      <c r="H32" s="65">
        <v>0</v>
      </c>
      <c r="I32" s="65">
        <v>3657.65</v>
      </c>
      <c r="J32" s="65">
        <v>0</v>
      </c>
      <c r="K32" s="65">
        <v>2533.8</v>
      </c>
      <c r="L32" s="65">
        <v>0</v>
      </c>
      <c r="M32" s="66">
        <v>899.08</v>
      </c>
      <c r="N32" s="160">
        <v>0</v>
      </c>
      <c r="O32" s="161">
        <v>0</v>
      </c>
      <c r="P32" s="161">
        <v>0</v>
      </c>
      <c r="Q32" s="161"/>
      <c r="R32" s="161"/>
      <c r="S32" s="141">
        <f t="shared" si="40"/>
        <v>9736.72</v>
      </c>
      <c r="T32" s="145">
        <f t="shared" si="41"/>
        <v>0</v>
      </c>
      <c r="U32" s="141">
        <v>1741.14</v>
      </c>
      <c r="V32" s="141">
        <v>2357.63</v>
      </c>
      <c r="W32" s="141">
        <v>5665.75</v>
      </c>
      <c r="X32" s="141">
        <v>3924.62</v>
      </c>
      <c r="Y32" s="141">
        <v>1392.9</v>
      </c>
      <c r="Z32" s="141">
        <v>0</v>
      </c>
      <c r="AA32" s="144">
        <v>0</v>
      </c>
      <c r="AB32" s="144">
        <f t="shared" si="24"/>
        <v>15082.039999999999</v>
      </c>
      <c r="AC32" s="146">
        <f t="shared" si="42"/>
        <v>15956.274999999998</v>
      </c>
      <c r="AD32" s="147">
        <f t="shared" si="43"/>
        <v>0</v>
      </c>
      <c r="AE32" s="147">
        <f t="shared" si="44"/>
        <v>0</v>
      </c>
      <c r="AF32" s="147">
        <f>'[6]Т10-10'!$I$8+100</f>
        <v>3141.37038</v>
      </c>
      <c r="AG32" s="148">
        <f t="shared" si="45"/>
        <v>736.02</v>
      </c>
      <c r="AH32" s="148">
        <f t="shared" si="46"/>
        <v>245.34000000000003</v>
      </c>
      <c r="AI32" s="148">
        <f t="shared" si="47"/>
        <v>1226.7</v>
      </c>
      <c r="AJ32" s="148">
        <v>0</v>
      </c>
      <c r="AK32" s="148">
        <f t="shared" si="48"/>
        <v>1202.166</v>
      </c>
      <c r="AL32" s="148">
        <v>0</v>
      </c>
      <c r="AM32" s="148">
        <f t="shared" si="49"/>
        <v>2760.0750000000003</v>
      </c>
      <c r="AN32" s="148">
        <v>0</v>
      </c>
      <c r="AO32" s="148"/>
      <c r="AP32" s="148"/>
      <c r="AQ32" s="148"/>
      <c r="AR32" s="148"/>
      <c r="AS32" s="149"/>
      <c r="AT32" s="149"/>
      <c r="AU32" s="150"/>
      <c r="AV32" s="150">
        <v>11999.06</v>
      </c>
      <c r="AW32" s="150">
        <f>0*0.18</f>
        <v>0</v>
      </c>
      <c r="AX32" s="151">
        <v>425</v>
      </c>
      <c r="AY32" s="152">
        <v>0.45</v>
      </c>
      <c r="AZ32" s="148">
        <f t="shared" si="50"/>
        <v>267.75</v>
      </c>
      <c r="BA32" s="93"/>
      <c r="BB32" s="153"/>
      <c r="BC32" s="153">
        <f t="shared" si="51"/>
        <v>0</v>
      </c>
      <c r="BD32" s="153">
        <f t="shared" si="36"/>
        <v>18437.110999999997</v>
      </c>
      <c r="BE32" s="154">
        <f>'[6]Т10-10'!$M$8+25</f>
        <v>1249.343</v>
      </c>
      <c r="BF32" s="20"/>
      <c r="BG32" s="154">
        <f>'[6]Т10-10'!$M$8+25</f>
        <v>1249.343</v>
      </c>
      <c r="BH32" s="100">
        <f t="shared" si="37"/>
        <v>-588.8086199999991</v>
      </c>
      <c r="BI32" s="108">
        <f t="shared" si="38"/>
        <v>5345.32</v>
      </c>
    </row>
    <row r="33" spans="1:61" ht="12.75">
      <c r="A33" s="7" t="s">
        <v>40</v>
      </c>
      <c r="B33" s="139">
        <v>1226.7</v>
      </c>
      <c r="C33" s="140">
        <f t="shared" si="20"/>
        <v>10610.955</v>
      </c>
      <c r="D33" s="101">
        <f t="shared" si="39"/>
        <v>874.2249999999993</v>
      </c>
      <c r="E33" s="141">
        <v>1123.85</v>
      </c>
      <c r="F33" s="141">
        <v>0</v>
      </c>
      <c r="G33" s="141">
        <v>1522.35</v>
      </c>
      <c r="H33" s="141">
        <v>0</v>
      </c>
      <c r="I33" s="141">
        <v>3657.65</v>
      </c>
      <c r="J33" s="141">
        <v>0</v>
      </c>
      <c r="K33" s="141">
        <v>2533.8</v>
      </c>
      <c r="L33" s="141">
        <v>0</v>
      </c>
      <c r="M33" s="142">
        <v>899.08</v>
      </c>
      <c r="N33" s="143">
        <v>0</v>
      </c>
      <c r="O33" s="144">
        <v>0</v>
      </c>
      <c r="P33" s="144">
        <v>0</v>
      </c>
      <c r="Q33" s="144"/>
      <c r="R33" s="144"/>
      <c r="S33" s="141">
        <f t="shared" si="40"/>
        <v>9736.730000000001</v>
      </c>
      <c r="T33" s="145">
        <f t="shared" si="41"/>
        <v>0</v>
      </c>
      <c r="U33" s="155">
        <v>954.57</v>
      </c>
      <c r="V33" s="141">
        <v>1293.29</v>
      </c>
      <c r="W33" s="141">
        <v>3106.96</v>
      </c>
      <c r="X33" s="141">
        <v>2152.38</v>
      </c>
      <c r="Y33" s="141">
        <v>763.65</v>
      </c>
      <c r="Z33" s="141">
        <v>0</v>
      </c>
      <c r="AA33" s="144">
        <v>0</v>
      </c>
      <c r="AB33" s="144">
        <f t="shared" si="24"/>
        <v>8270.85</v>
      </c>
      <c r="AC33" s="146">
        <f t="shared" si="42"/>
        <v>9145.074999999999</v>
      </c>
      <c r="AD33" s="147">
        <f t="shared" si="43"/>
        <v>0</v>
      </c>
      <c r="AE33" s="147">
        <f t="shared" si="44"/>
        <v>0</v>
      </c>
      <c r="AF33" s="147">
        <f>'[6]Т10-10'!$I$8+100</f>
        <v>3141.37038</v>
      </c>
      <c r="AG33" s="148">
        <f t="shared" si="45"/>
        <v>736.02</v>
      </c>
      <c r="AH33" s="148">
        <f t="shared" si="46"/>
        <v>245.34000000000003</v>
      </c>
      <c r="AI33" s="148">
        <f t="shared" si="47"/>
        <v>1226.7</v>
      </c>
      <c r="AJ33" s="148">
        <v>0</v>
      </c>
      <c r="AK33" s="148">
        <f t="shared" si="48"/>
        <v>1202.166</v>
      </c>
      <c r="AL33" s="148">
        <v>0</v>
      </c>
      <c r="AM33" s="148">
        <f t="shared" si="49"/>
        <v>2760.0750000000003</v>
      </c>
      <c r="AN33" s="148">
        <v>0</v>
      </c>
      <c r="AO33" s="148"/>
      <c r="AP33" s="148"/>
      <c r="AQ33" s="148"/>
      <c r="AR33" s="148"/>
      <c r="AS33" s="149"/>
      <c r="AT33" s="149"/>
      <c r="AU33" s="150"/>
      <c r="AV33" s="150"/>
      <c r="AW33" s="150">
        <f>0*0.18</f>
        <v>0</v>
      </c>
      <c r="AX33" s="151">
        <v>470</v>
      </c>
      <c r="AY33" s="152">
        <v>0.45</v>
      </c>
      <c r="AZ33" s="148">
        <f t="shared" si="50"/>
        <v>296.09999999999997</v>
      </c>
      <c r="BA33" s="93"/>
      <c r="BB33" s="153"/>
      <c r="BC33" s="153">
        <f t="shared" si="51"/>
        <v>0</v>
      </c>
      <c r="BD33" s="153">
        <f t="shared" si="36"/>
        <v>6466.401</v>
      </c>
      <c r="BE33" s="154">
        <f>'[6]Т10-10'!$M$8+25</f>
        <v>1249.343</v>
      </c>
      <c r="BF33" s="20"/>
      <c r="BG33" s="154">
        <f>'[6]Т10-10'!$M$8+25</f>
        <v>1249.343</v>
      </c>
      <c r="BH33" s="100">
        <f t="shared" si="37"/>
        <v>4570.7013799999995</v>
      </c>
      <c r="BI33" s="108">
        <f t="shared" si="38"/>
        <v>-1465.880000000001</v>
      </c>
    </row>
    <row r="34" spans="1:61" ht="12.75">
      <c r="A34" s="7" t="s">
        <v>41</v>
      </c>
      <c r="B34" s="139">
        <v>1226.7</v>
      </c>
      <c r="C34" s="140">
        <f t="shared" si="20"/>
        <v>10610.955</v>
      </c>
      <c r="D34" s="101">
        <f t="shared" si="39"/>
        <v>875.2049999999997</v>
      </c>
      <c r="E34" s="141">
        <v>1123.74</v>
      </c>
      <c r="F34" s="141">
        <v>0</v>
      </c>
      <c r="G34" s="141">
        <v>1522.18</v>
      </c>
      <c r="H34" s="141">
        <v>0</v>
      </c>
      <c r="I34" s="141">
        <v>3657.29</v>
      </c>
      <c r="J34" s="141">
        <v>0</v>
      </c>
      <c r="K34" s="141">
        <v>2533.55</v>
      </c>
      <c r="L34" s="141">
        <v>0</v>
      </c>
      <c r="M34" s="142">
        <v>898.99</v>
      </c>
      <c r="N34" s="143">
        <v>0</v>
      </c>
      <c r="O34" s="144">
        <v>0</v>
      </c>
      <c r="P34" s="144">
        <v>0</v>
      </c>
      <c r="Q34" s="144"/>
      <c r="R34" s="144"/>
      <c r="S34" s="141">
        <f t="shared" si="40"/>
        <v>9735.75</v>
      </c>
      <c r="T34" s="145">
        <f t="shared" si="41"/>
        <v>0</v>
      </c>
      <c r="U34" s="141">
        <v>1343.5</v>
      </c>
      <c r="V34" s="141">
        <v>1819.52</v>
      </c>
      <c r="W34" s="141">
        <v>4372.14</v>
      </c>
      <c r="X34" s="141">
        <v>3028.64</v>
      </c>
      <c r="Y34" s="141">
        <v>1074.79</v>
      </c>
      <c r="Z34" s="141">
        <v>0</v>
      </c>
      <c r="AA34" s="144">
        <v>0</v>
      </c>
      <c r="AB34" s="144">
        <f t="shared" si="24"/>
        <v>11638.59</v>
      </c>
      <c r="AC34" s="146">
        <f t="shared" si="42"/>
        <v>12513.795</v>
      </c>
      <c r="AD34" s="147">
        <f t="shared" si="43"/>
        <v>0</v>
      </c>
      <c r="AE34" s="147">
        <f t="shared" si="44"/>
        <v>0</v>
      </c>
      <c r="AF34" s="147">
        <f>'[6]Т10-10'!$I$8+100</f>
        <v>3141.37038</v>
      </c>
      <c r="AG34" s="148">
        <f t="shared" si="45"/>
        <v>736.02</v>
      </c>
      <c r="AH34" s="148">
        <f t="shared" si="46"/>
        <v>245.34000000000003</v>
      </c>
      <c r="AI34" s="148">
        <f t="shared" si="47"/>
        <v>1226.7</v>
      </c>
      <c r="AJ34" s="148">
        <v>0</v>
      </c>
      <c r="AK34" s="148">
        <f t="shared" si="48"/>
        <v>1202.166</v>
      </c>
      <c r="AL34" s="148">
        <v>0</v>
      </c>
      <c r="AM34" s="148">
        <f t="shared" si="49"/>
        <v>2760.0750000000003</v>
      </c>
      <c r="AN34" s="148">
        <v>0</v>
      </c>
      <c r="AO34" s="148"/>
      <c r="AP34" s="148"/>
      <c r="AQ34" s="148"/>
      <c r="AR34" s="148"/>
      <c r="AS34" s="149"/>
      <c r="AT34" s="149"/>
      <c r="AU34" s="150"/>
      <c r="AV34" s="150">
        <v>283.91</v>
      </c>
      <c r="AW34" s="150">
        <f>AV34*0.18</f>
        <v>51.1038</v>
      </c>
      <c r="AX34" s="151">
        <v>514</v>
      </c>
      <c r="AY34" s="152">
        <v>0.45</v>
      </c>
      <c r="AZ34" s="148">
        <f t="shared" si="50"/>
        <v>323.82</v>
      </c>
      <c r="BA34" s="93"/>
      <c r="BB34" s="153"/>
      <c r="BC34" s="153">
        <f t="shared" si="51"/>
        <v>0</v>
      </c>
      <c r="BD34" s="153">
        <f t="shared" si="36"/>
        <v>6829.134799999999</v>
      </c>
      <c r="BE34" s="154">
        <f>'[6]Т10-10'!$M$8+25</f>
        <v>1249.343</v>
      </c>
      <c r="BF34" s="20"/>
      <c r="BG34" s="154">
        <f>'[6]Т10-10'!$M$8+25</f>
        <v>1249.343</v>
      </c>
      <c r="BH34" s="100">
        <f>AC34+AF34-BD34-BG34</f>
        <v>7576.6875800000025</v>
      </c>
      <c r="BI34" s="108">
        <f t="shared" si="38"/>
        <v>1902.8400000000001</v>
      </c>
    </row>
    <row r="35" spans="1:61" s="17" customFormat="1" ht="13.5" thickBot="1">
      <c r="A35" s="136" t="s">
        <v>4</v>
      </c>
      <c r="B35" s="134"/>
      <c r="C35" s="134">
        <f>SUM(C23:C34)</f>
        <v>127331.46</v>
      </c>
      <c r="D35" s="134">
        <f aca="true" t="shared" si="52" ref="D35:AY35">SUM(D23:D34)</f>
        <v>10488.659999999998</v>
      </c>
      <c r="E35" s="134">
        <f t="shared" si="52"/>
        <v>12160.83</v>
      </c>
      <c r="F35" s="134">
        <f t="shared" si="52"/>
        <v>1325.5800000000002</v>
      </c>
      <c r="G35" s="134">
        <f t="shared" si="52"/>
        <v>16471.679999999997</v>
      </c>
      <c r="H35" s="134">
        <f t="shared" si="52"/>
        <v>1796.8200000000002</v>
      </c>
      <c r="I35" s="134">
        <f t="shared" si="52"/>
        <v>39577.020000000004</v>
      </c>
      <c r="J35" s="134">
        <f t="shared" si="52"/>
        <v>4315.56</v>
      </c>
      <c r="K35" s="134">
        <f t="shared" si="52"/>
        <v>27416.089999999997</v>
      </c>
      <c r="L35" s="134">
        <f t="shared" si="52"/>
        <v>2990.04</v>
      </c>
      <c r="M35" s="134">
        <f t="shared" si="52"/>
        <v>9728.74</v>
      </c>
      <c r="N35" s="134">
        <f t="shared" si="52"/>
        <v>1060.44</v>
      </c>
      <c r="O35" s="134">
        <f t="shared" si="52"/>
        <v>0</v>
      </c>
      <c r="P35" s="134">
        <f t="shared" si="52"/>
        <v>0</v>
      </c>
      <c r="Q35" s="134">
        <f t="shared" si="52"/>
        <v>0</v>
      </c>
      <c r="R35" s="134">
        <f t="shared" si="52"/>
        <v>0</v>
      </c>
      <c r="S35" s="134">
        <f t="shared" si="52"/>
        <v>105354.36</v>
      </c>
      <c r="T35" s="134">
        <f t="shared" si="52"/>
        <v>11488.44</v>
      </c>
      <c r="U35" s="134">
        <f t="shared" si="52"/>
        <v>12256.82</v>
      </c>
      <c r="V35" s="134">
        <f t="shared" si="52"/>
        <v>16596.280000000002</v>
      </c>
      <c r="W35" s="134">
        <f t="shared" si="52"/>
        <v>39883.93</v>
      </c>
      <c r="X35" s="134">
        <f t="shared" si="52"/>
        <v>27626.97</v>
      </c>
      <c r="Y35" s="134">
        <f t="shared" si="52"/>
        <v>9805.45</v>
      </c>
      <c r="Z35" s="134">
        <f t="shared" si="52"/>
        <v>0</v>
      </c>
      <c r="AA35" s="134">
        <f t="shared" si="52"/>
        <v>0</v>
      </c>
      <c r="AB35" s="134">
        <f t="shared" si="52"/>
        <v>106169.45</v>
      </c>
      <c r="AC35" s="134">
        <f t="shared" si="52"/>
        <v>128146.54999999999</v>
      </c>
      <c r="AD35" s="134">
        <f t="shared" si="52"/>
        <v>0</v>
      </c>
      <c r="AE35" s="134">
        <f t="shared" si="52"/>
        <v>0</v>
      </c>
      <c r="AF35" s="134">
        <f t="shared" si="52"/>
        <v>36796.444559999996</v>
      </c>
      <c r="AG35" s="134">
        <f t="shared" si="52"/>
        <v>8832.240000000002</v>
      </c>
      <c r="AH35" s="134">
        <f t="shared" si="52"/>
        <v>2944.0800000000013</v>
      </c>
      <c r="AI35" s="134">
        <f t="shared" si="52"/>
        <v>14720.400000000003</v>
      </c>
      <c r="AJ35" s="134">
        <f t="shared" si="52"/>
        <v>0</v>
      </c>
      <c r="AK35" s="134">
        <f t="shared" si="52"/>
        <v>14425.991999999997</v>
      </c>
      <c r="AL35" s="134">
        <f t="shared" si="52"/>
        <v>0</v>
      </c>
      <c r="AM35" s="134">
        <f t="shared" si="52"/>
        <v>33120.9</v>
      </c>
      <c r="AN35" s="134">
        <f t="shared" si="52"/>
        <v>0</v>
      </c>
      <c r="AO35" s="134">
        <f t="shared" si="52"/>
        <v>2608.2000000000003</v>
      </c>
      <c r="AP35" s="134">
        <f t="shared" si="52"/>
        <v>0</v>
      </c>
      <c r="AQ35" s="134"/>
      <c r="AR35" s="134"/>
      <c r="AS35" s="134">
        <f t="shared" si="52"/>
        <v>6984</v>
      </c>
      <c r="AT35" s="134">
        <f t="shared" si="52"/>
        <v>0</v>
      </c>
      <c r="AU35" s="134">
        <f t="shared" si="52"/>
        <v>22189</v>
      </c>
      <c r="AV35" s="134">
        <f t="shared" si="52"/>
        <v>24956.77</v>
      </c>
      <c r="AW35" s="134">
        <f t="shared" si="52"/>
        <v>51.1038</v>
      </c>
      <c r="AX35" s="134">
        <f t="shared" si="52"/>
        <v>4400</v>
      </c>
      <c r="AY35" s="134">
        <f t="shared" si="52"/>
        <v>5.400000000000001</v>
      </c>
      <c r="AZ35" s="134">
        <f>SUM(AZ23:AZ34)</f>
        <v>2772</v>
      </c>
      <c r="BA35" s="134">
        <f>SUM(BA23:BA34)</f>
        <v>0</v>
      </c>
      <c r="BB35" s="134">
        <f>SUM(BB23:BB34)</f>
        <v>0</v>
      </c>
      <c r="BC35" s="134">
        <f aca="true" t="shared" si="53" ref="BC35:BI35">SUM(BC23:BC34)</f>
        <v>0</v>
      </c>
      <c r="BD35" s="134">
        <f t="shared" si="53"/>
        <v>133604.6858</v>
      </c>
      <c r="BE35" s="134">
        <f>SUM(BE23:BE34)</f>
        <v>14767.116000000004</v>
      </c>
      <c r="BF35" s="134">
        <f>SUM(BF23:BF34)</f>
        <v>0</v>
      </c>
      <c r="BG35" s="134">
        <f>SUM(BG23:BG34)</f>
        <v>14767.116000000004</v>
      </c>
      <c r="BH35" s="134">
        <f t="shared" si="53"/>
        <v>16571.192760000013</v>
      </c>
      <c r="BI35" s="135">
        <f t="shared" si="53"/>
        <v>815.090000000001</v>
      </c>
    </row>
    <row r="36" spans="1:61" ht="13.5" thickBot="1">
      <c r="A36" s="132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8"/>
    </row>
    <row r="37" spans="1:61" s="17" customFormat="1" ht="13.5" thickBot="1">
      <c r="A37" s="133" t="s">
        <v>91</v>
      </c>
      <c r="B37" s="162"/>
      <c r="C37" s="163">
        <f aca="true" t="shared" si="54" ref="C37:BH37">C35+C21</f>
        <v>254784.02000000002</v>
      </c>
      <c r="D37" s="163">
        <f t="shared" si="54"/>
        <v>22913.207500000004</v>
      </c>
      <c r="E37" s="163">
        <f t="shared" si="54"/>
        <v>22712.24</v>
      </c>
      <c r="F37" s="163">
        <f t="shared" si="54"/>
        <v>3824.12</v>
      </c>
      <c r="G37" s="163">
        <f t="shared" si="54"/>
        <v>30747.709999999995</v>
      </c>
      <c r="H37" s="163">
        <f t="shared" si="54"/>
        <v>5179.4400000000005</v>
      </c>
      <c r="I37" s="163">
        <f t="shared" si="54"/>
        <v>73900.4</v>
      </c>
      <c r="J37" s="163">
        <f t="shared" si="54"/>
        <v>12445.630000000001</v>
      </c>
      <c r="K37" s="163">
        <f t="shared" si="54"/>
        <v>51187.92</v>
      </c>
      <c r="L37" s="163">
        <f t="shared" si="54"/>
        <v>8621.64</v>
      </c>
      <c r="M37" s="163">
        <f t="shared" si="54"/>
        <v>18171.79</v>
      </c>
      <c r="N37" s="163">
        <f t="shared" si="54"/>
        <v>3059.2799999999997</v>
      </c>
      <c r="O37" s="163">
        <f t="shared" si="54"/>
        <v>0</v>
      </c>
      <c r="P37" s="163">
        <f t="shared" si="54"/>
        <v>0</v>
      </c>
      <c r="Q37" s="163">
        <f t="shared" si="54"/>
        <v>0</v>
      </c>
      <c r="R37" s="163">
        <f t="shared" si="54"/>
        <v>0</v>
      </c>
      <c r="S37" s="163">
        <f t="shared" si="54"/>
        <v>196720.06</v>
      </c>
      <c r="T37" s="163">
        <f t="shared" si="54"/>
        <v>33130.11</v>
      </c>
      <c r="U37" s="163">
        <f t="shared" si="54"/>
        <v>22741.8</v>
      </c>
      <c r="V37" s="163">
        <f t="shared" si="54"/>
        <v>30778.550000000003</v>
      </c>
      <c r="W37" s="163">
        <f t="shared" si="54"/>
        <v>73987.37</v>
      </c>
      <c r="X37" s="163">
        <f t="shared" si="54"/>
        <v>51245.240000000005</v>
      </c>
      <c r="Y37" s="163">
        <f t="shared" si="54"/>
        <v>18193.31</v>
      </c>
      <c r="Z37" s="163">
        <f t="shared" si="54"/>
        <v>0</v>
      </c>
      <c r="AA37" s="163">
        <f t="shared" si="54"/>
        <v>0</v>
      </c>
      <c r="AB37" s="163">
        <f t="shared" si="54"/>
        <v>196946.27000000002</v>
      </c>
      <c r="AC37" s="163">
        <f t="shared" si="54"/>
        <v>252989.58749999997</v>
      </c>
      <c r="AD37" s="163">
        <f t="shared" si="54"/>
        <v>0</v>
      </c>
      <c r="AE37" s="163">
        <f t="shared" si="54"/>
        <v>0</v>
      </c>
      <c r="AF37" s="163">
        <f t="shared" si="54"/>
        <v>73292.88911999999</v>
      </c>
      <c r="AG37" s="163">
        <f t="shared" si="54"/>
        <v>20187.192000000003</v>
      </c>
      <c r="AH37" s="163">
        <f t="shared" si="54"/>
        <v>5805.212104400002</v>
      </c>
      <c r="AI37" s="163">
        <f>AI35+AI21+2664.62</f>
        <v>29332.20523025</v>
      </c>
      <c r="AJ37" s="163">
        <f t="shared" si="54"/>
        <v>2150.493341445</v>
      </c>
      <c r="AK37" s="163">
        <f>AK35+AK21+11612.6+2090.27+8606.71</f>
        <v>36735.572</v>
      </c>
      <c r="AL37" s="163">
        <f t="shared" si="54"/>
        <v>0</v>
      </c>
      <c r="AM37" s="163">
        <f>AM35+AM21+26719.48+4809.51-1</f>
        <v>64648.89000000001</v>
      </c>
      <c r="AN37" s="163">
        <f t="shared" si="54"/>
        <v>0</v>
      </c>
      <c r="AO37" s="163">
        <f t="shared" si="54"/>
        <v>2608.2000000000003</v>
      </c>
      <c r="AP37" s="163">
        <f t="shared" si="54"/>
        <v>0</v>
      </c>
      <c r="AQ37" s="163">
        <f t="shared" si="54"/>
        <v>0</v>
      </c>
      <c r="AR37" s="163">
        <f t="shared" si="54"/>
        <v>0</v>
      </c>
      <c r="AS37" s="163">
        <f t="shared" si="54"/>
        <v>16240.96</v>
      </c>
      <c r="AT37" s="163">
        <f t="shared" si="54"/>
        <v>1666.2527999999998</v>
      </c>
      <c r="AU37" s="163">
        <f t="shared" si="54"/>
        <v>51349.2</v>
      </c>
      <c r="AV37" s="163">
        <f t="shared" si="54"/>
        <v>24956.77</v>
      </c>
      <c r="AW37" s="163">
        <f t="shared" si="54"/>
        <v>5299.9398</v>
      </c>
      <c r="AX37" s="163"/>
      <c r="AY37" s="163"/>
      <c r="AZ37" s="163">
        <f t="shared" si="54"/>
        <v>5388.768</v>
      </c>
      <c r="BA37" s="163">
        <f t="shared" si="54"/>
        <v>0</v>
      </c>
      <c r="BB37" s="163">
        <f t="shared" si="54"/>
        <v>0</v>
      </c>
      <c r="BC37" s="163">
        <f t="shared" si="54"/>
        <v>0</v>
      </c>
      <c r="BD37" s="163">
        <f t="shared" si="54"/>
        <v>266369.64951228676</v>
      </c>
      <c r="BE37" s="163">
        <f t="shared" si="54"/>
        <v>14767.116000000004</v>
      </c>
      <c r="BF37" s="163">
        <f t="shared" si="54"/>
        <v>0</v>
      </c>
      <c r="BG37" s="163">
        <f t="shared" si="54"/>
        <v>14767.116000000004</v>
      </c>
      <c r="BH37" s="163">
        <f t="shared" si="54"/>
        <v>45145.71110771323</v>
      </c>
      <c r="BI37" s="163">
        <f>BI35+BI21</f>
        <v>226.20999999999822</v>
      </c>
    </row>
  </sheetData>
  <sheetProtection/>
  <mergeCells count="66">
    <mergeCell ref="A1:N1"/>
    <mergeCell ref="A3:A6"/>
    <mergeCell ref="B3:B6"/>
    <mergeCell ref="C3:C6"/>
    <mergeCell ref="D3:D6"/>
    <mergeCell ref="E5:E6"/>
    <mergeCell ref="F5:F6"/>
    <mergeCell ref="G5:G6"/>
    <mergeCell ref="K5:K6"/>
    <mergeCell ref="L5:L6"/>
    <mergeCell ref="E3:F4"/>
    <mergeCell ref="Y5:Y6"/>
    <mergeCell ref="AF3:AF6"/>
    <mergeCell ref="AH5:AH6"/>
    <mergeCell ref="O5:O6"/>
    <mergeCell ref="AB5:AB6"/>
    <mergeCell ref="S3:T4"/>
    <mergeCell ref="Z5:Z6"/>
    <mergeCell ref="H5:H6"/>
    <mergeCell ref="M3:N4"/>
    <mergeCell ref="O3:P4"/>
    <mergeCell ref="Q3:R4"/>
    <mergeCell ref="I5:I6"/>
    <mergeCell ref="J5:J6"/>
    <mergeCell ref="M5:M6"/>
    <mergeCell ref="N5:N6"/>
    <mergeCell ref="G3:H4"/>
    <mergeCell ref="I3:J4"/>
    <mergeCell ref="P5:P6"/>
    <mergeCell ref="Q5:Q6"/>
    <mergeCell ref="R5:R6"/>
    <mergeCell ref="S5:S6"/>
    <mergeCell ref="AI5:AI6"/>
    <mergeCell ref="AJ5:AJ6"/>
    <mergeCell ref="AD3:AD6"/>
    <mergeCell ref="T5:T6"/>
    <mergeCell ref="U5:U6"/>
    <mergeCell ref="V5:V6"/>
    <mergeCell ref="W5:W6"/>
    <mergeCell ref="AC3:AC6"/>
    <mergeCell ref="AA5:AA6"/>
    <mergeCell ref="U3:AB4"/>
    <mergeCell ref="X5:X6"/>
    <mergeCell ref="BE3:BF3"/>
    <mergeCell ref="K3:L4"/>
    <mergeCell ref="AW5:AW6"/>
    <mergeCell ref="AG5:AG6"/>
    <mergeCell ref="AE3:AE6"/>
    <mergeCell ref="AN5:AN6"/>
    <mergeCell ref="AQ5:AQ6"/>
    <mergeCell ref="AR5:AR6"/>
    <mergeCell ref="AK5:AK6"/>
    <mergeCell ref="AP5:AP6"/>
    <mergeCell ref="BC5:BC6"/>
    <mergeCell ref="BD5:BD6"/>
    <mergeCell ref="AG3:BD4"/>
    <mergeCell ref="AL5:AL6"/>
    <mergeCell ref="AM5:AM6"/>
    <mergeCell ref="AS5:AS6"/>
    <mergeCell ref="AT5:AT6"/>
    <mergeCell ref="AU5:AU6"/>
    <mergeCell ref="AV5:AV6"/>
    <mergeCell ref="AO5:AO6"/>
    <mergeCell ref="AX5:AZ5"/>
    <mergeCell ref="BA5:BA6"/>
    <mergeCell ref="BB5:BB6"/>
  </mergeCells>
  <printOptions/>
  <pageMargins left="0.19" right="0.1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B13">
      <selection activeCell="I49" sqref="I49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8" width="10.875" style="2" customWidth="1"/>
    <col min="9" max="9" width="10.125" style="2" customWidth="1"/>
    <col min="10" max="10" width="9.25390625" style="2" customWidth="1"/>
    <col min="11" max="11" width="9.125" style="2" customWidth="1"/>
    <col min="12" max="12" width="10.375" style="2" customWidth="1"/>
    <col min="13" max="13" width="10.125" style="2" customWidth="1"/>
    <col min="14" max="14" width="8.875" style="2" customWidth="1"/>
    <col min="15" max="15" width="10.375" style="2" customWidth="1"/>
    <col min="16" max="16" width="10.75390625" style="2" customWidth="1"/>
    <col min="17" max="17" width="14.125" style="2" customWidth="1"/>
    <col min="18" max="16384" width="9.125" style="2" customWidth="1"/>
  </cols>
  <sheetData>
    <row r="1" spans="12:18" ht="15" customHeight="1">
      <c r="L1" s="326" t="s">
        <v>123</v>
      </c>
      <c r="M1" s="326"/>
      <c r="N1" s="326"/>
      <c r="O1" s="326"/>
      <c r="P1" s="326"/>
      <c r="Q1" s="326"/>
      <c r="R1" s="326"/>
    </row>
    <row r="2" spans="12:18" ht="30.75" customHeight="1">
      <c r="L2" s="326" t="s">
        <v>122</v>
      </c>
      <c r="M2" s="326"/>
      <c r="N2" s="326"/>
      <c r="O2" s="326"/>
      <c r="P2" s="326"/>
      <c r="Q2" s="326"/>
      <c r="R2" s="326"/>
    </row>
    <row r="3" ht="18.75">
      <c r="E3" s="22" t="s">
        <v>53</v>
      </c>
    </row>
    <row r="4" ht="18.75">
      <c r="E4" s="22" t="s">
        <v>54</v>
      </c>
    </row>
    <row r="7" spans="1:12" ht="12.75">
      <c r="A7" s="23" t="s">
        <v>124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>
      <c r="A8" s="23" t="s">
        <v>121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2.75">
      <c r="A9" s="23"/>
      <c r="B9" s="23"/>
      <c r="C9" s="23"/>
      <c r="D9" s="23"/>
      <c r="E9" s="23"/>
      <c r="F9" s="23"/>
      <c r="H9" s="23"/>
      <c r="I9" s="23"/>
      <c r="J9" s="23"/>
      <c r="K9" s="23"/>
      <c r="L9" s="23"/>
    </row>
    <row r="10" spans="1:16" ht="13.5" thickBot="1">
      <c r="A10" s="24" t="s">
        <v>55</v>
      </c>
      <c r="D10" s="4"/>
      <c r="E10" s="24">
        <v>8.65</v>
      </c>
      <c r="M10" s="23"/>
      <c r="N10" s="23"/>
      <c r="O10" s="23"/>
      <c r="P10" s="23"/>
    </row>
    <row r="11" spans="1:17" ht="12.75" customHeight="1">
      <c r="A11" s="307" t="s">
        <v>56</v>
      </c>
      <c r="B11" s="335" t="s">
        <v>1</v>
      </c>
      <c r="C11" s="338" t="s">
        <v>57</v>
      </c>
      <c r="D11" s="341" t="s">
        <v>3</v>
      </c>
      <c r="E11" s="344" t="s">
        <v>58</v>
      </c>
      <c r="F11" s="345"/>
      <c r="G11" s="318" t="str">
        <f>Лист1!AF3</f>
        <v>Доходы по нежил.помещениям</v>
      </c>
      <c r="H11" s="324" t="s">
        <v>74</v>
      </c>
      <c r="I11" s="324"/>
      <c r="J11" s="350" t="s">
        <v>9</v>
      </c>
      <c r="K11" s="351"/>
      <c r="L11" s="351"/>
      <c r="M11" s="351"/>
      <c r="N11" s="351"/>
      <c r="O11" s="352"/>
      <c r="P11" s="321" t="s">
        <v>59</v>
      </c>
      <c r="Q11" s="327" t="s">
        <v>89</v>
      </c>
    </row>
    <row r="12" spans="1:17" ht="12.75" customHeight="1" thickBot="1">
      <c r="A12" s="308"/>
      <c r="B12" s="336"/>
      <c r="C12" s="339"/>
      <c r="D12" s="342"/>
      <c r="E12" s="346"/>
      <c r="F12" s="347"/>
      <c r="G12" s="319"/>
      <c r="H12" s="325"/>
      <c r="I12" s="325"/>
      <c r="J12" s="353"/>
      <c r="K12" s="354"/>
      <c r="L12" s="354"/>
      <c r="M12" s="354"/>
      <c r="N12" s="354"/>
      <c r="O12" s="355"/>
      <c r="P12" s="322"/>
      <c r="Q12" s="328"/>
    </row>
    <row r="13" spans="1:17" ht="26.25" customHeight="1">
      <c r="A13" s="308"/>
      <c r="B13" s="336"/>
      <c r="C13" s="339"/>
      <c r="D13" s="342"/>
      <c r="E13" s="330" t="s">
        <v>60</v>
      </c>
      <c r="F13" s="331"/>
      <c r="G13" s="319"/>
      <c r="H13" s="72" t="s">
        <v>61</v>
      </c>
      <c r="I13" s="332" t="s">
        <v>6</v>
      </c>
      <c r="J13" s="356" t="s">
        <v>62</v>
      </c>
      <c r="K13" s="313" t="s">
        <v>31</v>
      </c>
      <c r="L13" s="313" t="s">
        <v>63</v>
      </c>
      <c r="M13" s="313" t="s">
        <v>36</v>
      </c>
      <c r="N13" s="313" t="s">
        <v>64</v>
      </c>
      <c r="O13" s="348" t="s">
        <v>38</v>
      </c>
      <c r="P13" s="322"/>
      <c r="Q13" s="328"/>
    </row>
    <row r="14" spans="1:17" ht="66.75" customHeight="1" thickBot="1">
      <c r="A14" s="334"/>
      <c r="B14" s="337"/>
      <c r="C14" s="340"/>
      <c r="D14" s="343"/>
      <c r="E14" s="112" t="s">
        <v>65</v>
      </c>
      <c r="F14" s="25" t="s">
        <v>20</v>
      </c>
      <c r="G14" s="320"/>
      <c r="H14" s="26" t="s">
        <v>75</v>
      </c>
      <c r="I14" s="333"/>
      <c r="J14" s="357"/>
      <c r="K14" s="314"/>
      <c r="L14" s="314"/>
      <c r="M14" s="314"/>
      <c r="N14" s="314"/>
      <c r="O14" s="349"/>
      <c r="P14" s="323"/>
      <c r="Q14" s="329"/>
    </row>
    <row r="15" spans="1:17" ht="13.5" thickBot="1">
      <c r="A15" s="27">
        <v>1</v>
      </c>
      <c r="B15" s="28">
        <v>2</v>
      </c>
      <c r="C15" s="29">
        <v>3</v>
      </c>
      <c r="D15" s="126">
        <v>4</v>
      </c>
      <c r="E15" s="27">
        <v>5</v>
      </c>
      <c r="F15" s="29">
        <v>6</v>
      </c>
      <c r="G15" s="114">
        <v>7</v>
      </c>
      <c r="H15" s="88">
        <v>8</v>
      </c>
      <c r="I15" s="117">
        <v>9</v>
      </c>
      <c r="J15" s="27">
        <v>10</v>
      </c>
      <c r="K15" s="28">
        <v>11</v>
      </c>
      <c r="L15" s="28">
        <v>12</v>
      </c>
      <c r="M15" s="28">
        <v>13</v>
      </c>
      <c r="N15" s="28">
        <v>14</v>
      </c>
      <c r="O15" s="80">
        <v>15</v>
      </c>
      <c r="P15" s="120">
        <v>16</v>
      </c>
      <c r="Q15" s="30">
        <v>17</v>
      </c>
    </row>
    <row r="16" spans="1:19" ht="13.5" hidden="1" thickBot="1">
      <c r="A16" s="6" t="s">
        <v>42</v>
      </c>
      <c r="B16" s="55"/>
      <c r="C16" s="130"/>
      <c r="D16" s="127"/>
      <c r="E16" s="46"/>
      <c r="F16" s="44"/>
      <c r="G16" s="76"/>
      <c r="H16" s="45"/>
      <c r="I16" s="118"/>
      <c r="J16" s="46"/>
      <c r="K16" s="43"/>
      <c r="L16" s="43"/>
      <c r="M16" s="56"/>
      <c r="N16" s="56"/>
      <c r="O16" s="84"/>
      <c r="P16" s="121"/>
      <c r="Q16" s="57"/>
      <c r="R16" s="1"/>
      <c r="S16" s="1"/>
    </row>
    <row r="17" spans="1:19" ht="13.5" hidden="1" thickBot="1">
      <c r="A17" s="7" t="s">
        <v>43</v>
      </c>
      <c r="B17" s="8">
        <f>Лист1!B9</f>
        <v>1228.7</v>
      </c>
      <c r="C17" s="131">
        <f>Лист1!C9</f>
        <v>10628.255000000001</v>
      </c>
      <c r="D17" s="128">
        <f>Лист1!D9</f>
        <v>1328.5318750000001</v>
      </c>
      <c r="E17" s="32">
        <f>Лист1!S9</f>
        <v>7123.58</v>
      </c>
      <c r="F17" s="16">
        <f>Лист1!T9</f>
        <v>1636.4199999999998</v>
      </c>
      <c r="G17" s="74">
        <f>Лист1!AF9</f>
        <v>3041.37038</v>
      </c>
      <c r="H17" s="31">
        <f>Лист1!AB9</f>
        <v>4969.66</v>
      </c>
      <c r="I17" s="119">
        <f>Лист1!AC9</f>
        <v>7934.611875</v>
      </c>
      <c r="J17" s="32">
        <f>Лист1!AG9</f>
        <v>897.5980000000001</v>
      </c>
      <c r="K17" s="14">
        <f>Лист1!AI9+Лист1!AJ9+Лист1!AK9</f>
        <v>1270.3987487</v>
      </c>
      <c r="L17" s="14">
        <f>Лист1!AH9+Лист1!AL9+Лист1!AM9+Лист1!AO9+Лист1!AP9+Лист1!AQ9+Лист1!AR9+Лист1!AS9+Лист1!AT9+Лист1!AN9</f>
        <v>4326.8228859460005</v>
      </c>
      <c r="M17" s="15">
        <f>Лист1!AU9+Лист1!AV9+Лист1!AW9</f>
        <v>0</v>
      </c>
      <c r="N17" s="15">
        <f>Лист1!AZ9</f>
        <v>302.11776000000003</v>
      </c>
      <c r="O17" s="83">
        <f>Лист1!BD9</f>
        <v>6796.937394646</v>
      </c>
      <c r="P17" s="122">
        <f>Лист1!BH9</f>
        <v>4179.044860353999</v>
      </c>
      <c r="Q17" s="33">
        <f>Лист1!BI9</f>
        <v>-2153.92</v>
      </c>
      <c r="R17" s="1"/>
      <c r="S17" s="1"/>
    </row>
    <row r="18" spans="1:19" ht="13.5" hidden="1" thickBot="1">
      <c r="A18" s="7" t="s">
        <v>44</v>
      </c>
      <c r="B18" s="8">
        <f>Лист1!B10</f>
        <v>1228.7</v>
      </c>
      <c r="C18" s="131">
        <f>Лист1!C10</f>
        <v>10628.255000000001</v>
      </c>
      <c r="D18" s="128">
        <f>Лист1!D10</f>
        <v>1328.5318750000001</v>
      </c>
      <c r="E18" s="32">
        <f>Лист1!S10</f>
        <v>7209.66</v>
      </c>
      <c r="F18" s="16">
        <f>Лист1!T10</f>
        <v>1636.4199999999998</v>
      </c>
      <c r="G18" s="74">
        <f>Лист1!AF10</f>
        <v>3041.37038</v>
      </c>
      <c r="H18" s="31">
        <f>Лист1!AB10</f>
        <v>7047.420000000001</v>
      </c>
      <c r="I18" s="119">
        <f>Лист1!AC10</f>
        <v>10012.371875</v>
      </c>
      <c r="J18" s="32">
        <f>Лист1!AG10</f>
        <v>897.5980000000001</v>
      </c>
      <c r="K18" s="14">
        <f>Лист1!AI10+Лист1!AJ10+Лист1!AK10</f>
        <v>1272.0487486999998</v>
      </c>
      <c r="L18" s="14">
        <f>Лист1!AH10+Лист1!AL10+Лист1!AM10+Лист1!AO10+Лист1!AP10+Лист1!AQ10+Лист1!AR10+Лист1!AS10+Лист1!AT10+Лист1!AN10</f>
        <v>4332.120180256</v>
      </c>
      <c r="M18" s="15">
        <f>Лист1!AU10+Лист1!AV10+Лист1!AW10</f>
        <v>5523.58</v>
      </c>
      <c r="N18" s="15">
        <f>Лист1!AZ10</f>
        <v>242.05104</v>
      </c>
      <c r="O18" s="83">
        <f>Лист1!BD10</f>
        <v>12267.397968956</v>
      </c>
      <c r="P18" s="122">
        <f>Лист1!BH10</f>
        <v>786.3442860440009</v>
      </c>
      <c r="Q18" s="33">
        <f>Лист1!BI10</f>
        <v>-162.23999999999887</v>
      </c>
      <c r="R18" s="1"/>
      <c r="S18" s="1"/>
    </row>
    <row r="19" spans="1:19" ht="13.5" hidden="1" thickBot="1">
      <c r="A19" s="7" t="s">
        <v>45</v>
      </c>
      <c r="B19" s="8">
        <f>Лист1!B11</f>
        <v>1228.7</v>
      </c>
      <c r="C19" s="131">
        <f>Лист1!C11</f>
        <v>10628.255000000001</v>
      </c>
      <c r="D19" s="128">
        <f>Лист1!D11</f>
        <v>1328.5318750000001</v>
      </c>
      <c r="E19" s="32">
        <f>Лист1!S11</f>
        <v>7089.07</v>
      </c>
      <c r="F19" s="16">
        <f>Лист1!T11</f>
        <v>1636.4199999999998</v>
      </c>
      <c r="G19" s="74">
        <f>Лист1!AF11</f>
        <v>3041.37038</v>
      </c>
      <c r="H19" s="31">
        <f>Лист1!AB11</f>
        <v>7297.09</v>
      </c>
      <c r="I19" s="119">
        <f>Лист1!AC11</f>
        <v>10262.041874999999</v>
      </c>
      <c r="J19" s="32">
        <f>Лист1!AG11</f>
        <v>897.5980000000001</v>
      </c>
      <c r="K19" s="14">
        <f>Лист1!AI11+Лист1!AJ11+Лист1!AK11</f>
        <v>1272.7849417500001</v>
      </c>
      <c r="L19" s="14">
        <f>Лист1!AH11+Лист1!AL11+Лист1!AM11+Лист1!AO11+Лист1!AP11+Лист1!AQ11+Лист1!AR11+Лист1!AS11+Лист1!AT11+Лист1!AN11</f>
        <v>4186.8043123259995</v>
      </c>
      <c r="M19" s="15">
        <f>Лист1!AU11+Лист1!AV11+Лист1!AW11</f>
        <v>0</v>
      </c>
      <c r="N19" s="15">
        <f>Лист1!AZ11</f>
        <v>227.77776</v>
      </c>
      <c r="O19" s="83">
        <f>Лист1!BD11</f>
        <v>6584.9650140759995</v>
      </c>
      <c r="P19" s="122">
        <f>Лист1!BH11</f>
        <v>6718.447240924</v>
      </c>
      <c r="Q19" s="33">
        <f>Лист1!BI11</f>
        <v>208.02000000000044</v>
      </c>
      <c r="R19" s="1"/>
      <c r="S19" s="1"/>
    </row>
    <row r="20" spans="1:19" ht="13.5" hidden="1" thickBot="1">
      <c r="A20" s="7" t="s">
        <v>46</v>
      </c>
      <c r="B20" s="8">
        <f>Лист1!B12</f>
        <v>1228.7</v>
      </c>
      <c r="C20" s="131">
        <f>Лист1!C12</f>
        <v>10628.255000000001</v>
      </c>
      <c r="D20" s="128">
        <f>Лист1!D12</f>
        <v>1328.5318750000001</v>
      </c>
      <c r="E20" s="32">
        <f>Лист1!S12</f>
        <v>7210.26</v>
      </c>
      <c r="F20" s="16">
        <f>Лист1!T12</f>
        <v>1636.4199999999998</v>
      </c>
      <c r="G20" s="74">
        <f>Лист1!AF12</f>
        <v>3041.37038</v>
      </c>
      <c r="H20" s="31">
        <f>Лист1!AB12</f>
        <v>8279.6</v>
      </c>
      <c r="I20" s="119">
        <f>Лист1!AC12</f>
        <v>11244.551875000001</v>
      </c>
      <c r="J20" s="32">
        <f>Лист1!AG12</f>
        <v>897.5980000000001</v>
      </c>
      <c r="K20" s="14">
        <f>Лист1!AI12+Лист1!AJ12+Лист1!AK12</f>
        <v>1310.69374174</v>
      </c>
      <c r="L20" s="14">
        <f>Лист1!AH12+Лист1!AL12+Лист1!AM12+Лист1!AO12+Лист1!AP12+Лист1!AQ12+Лист1!AR12+Лист1!AS12+Лист1!AT12+Лист1!AN12</f>
        <v>4261.729703432</v>
      </c>
      <c r="M20" s="15">
        <f>Лист1!AU12+Лист1!AV12+Лист1!AW12</f>
        <v>1605.8974</v>
      </c>
      <c r="N20" s="15">
        <f>Лист1!AZ12</f>
        <v>182.57904</v>
      </c>
      <c r="O20" s="83">
        <f>Лист1!BD12</f>
        <v>8258.497885172</v>
      </c>
      <c r="P20" s="122">
        <f>Лист1!BH12</f>
        <v>6027.424369828001</v>
      </c>
      <c r="Q20" s="33">
        <f>Лист1!BI12</f>
        <v>1069.3400000000001</v>
      </c>
      <c r="R20" s="1"/>
      <c r="S20" s="1"/>
    </row>
    <row r="21" spans="1:19" ht="13.5" hidden="1" thickBot="1">
      <c r="A21" s="7" t="s">
        <v>47</v>
      </c>
      <c r="B21" s="8">
        <f>Лист1!B13</f>
        <v>1228.7</v>
      </c>
      <c r="C21" s="131">
        <f>Лист1!C13</f>
        <v>10628.255000000001</v>
      </c>
      <c r="D21" s="128">
        <f>Лист1!D13</f>
        <v>1016.4449999999995</v>
      </c>
      <c r="E21" s="32">
        <f>Лист1!S13</f>
        <v>7767.27</v>
      </c>
      <c r="F21" s="16">
        <f>Лист1!T13</f>
        <v>1844.5399999999997</v>
      </c>
      <c r="G21" s="74">
        <f>Лист1!AF13</f>
        <v>3041.37038</v>
      </c>
      <c r="H21" s="31">
        <f>Лист1!AB13</f>
        <v>5829.379999999999</v>
      </c>
      <c r="I21" s="119">
        <f>Лист1!AC13</f>
        <v>8690.364999999998</v>
      </c>
      <c r="J21" s="32">
        <f>Лист1!AG13</f>
        <v>971.32</v>
      </c>
      <c r="K21" s="14">
        <f>Лист1!AI13+Лист1!AJ13+Лист1!AK13</f>
        <v>1456.9161</v>
      </c>
      <c r="L21" s="14">
        <f>Лист1!AH13+Лист1!AL13+Лист1!AM13+Лист1!AO13+Лист1!AP13+Лист1!AQ13+Лист1!AR13+Лист1!AS13+Лист1!AT13+Лист1!AN13</f>
        <v>4993.0102400000005</v>
      </c>
      <c r="M21" s="15">
        <f>Лист1!AU13+Лист1!AV13+Лист1!AW13</f>
        <v>2660.133</v>
      </c>
      <c r="N21" s="15">
        <f>Лист1!AZ13</f>
        <v>156.41136000000003</v>
      </c>
      <c r="O21" s="83">
        <f>Лист1!BD13</f>
        <v>10237.7907</v>
      </c>
      <c r="P21" s="122">
        <f>Лист1!BH13</f>
        <v>1493.9446799999987</v>
      </c>
      <c r="Q21" s="33">
        <f>Лист1!BI13</f>
        <v>-1937.8900000000012</v>
      </c>
      <c r="R21" s="1"/>
      <c r="S21" s="1"/>
    </row>
    <row r="22" spans="1:19" ht="13.5" hidden="1" thickBot="1">
      <c r="A22" s="7" t="s">
        <v>48</v>
      </c>
      <c r="B22" s="8">
        <f>Лист1!B14</f>
        <v>1228.7</v>
      </c>
      <c r="C22" s="131">
        <f>Лист1!C14</f>
        <v>10628.255000000001</v>
      </c>
      <c r="D22" s="128">
        <f>Лист1!D14</f>
        <v>859.9850000000008</v>
      </c>
      <c r="E22" s="32">
        <f>Лист1!S14</f>
        <v>7923.73</v>
      </c>
      <c r="F22" s="16">
        <f>Лист1!T14</f>
        <v>1844.5399999999997</v>
      </c>
      <c r="G22" s="74">
        <f>Лист1!AF14</f>
        <v>3041.37038</v>
      </c>
      <c r="H22" s="31">
        <f>Лист1!AB14</f>
        <v>7380.98</v>
      </c>
      <c r="I22" s="119">
        <f>Лист1!AC14</f>
        <v>10085.505000000001</v>
      </c>
      <c r="J22" s="32">
        <f>Лист1!AG14</f>
        <v>971.32</v>
      </c>
      <c r="K22" s="14">
        <f>Лист1!AI14+Лист1!AJ14+Лист1!AK14</f>
        <v>1455.8661</v>
      </c>
      <c r="L22" s="14">
        <f>Лист1!AH14+Лист1!AL14+Лист1!AM14+Лист1!AO14+Лист1!AP14+Лист1!AQ14+Лист1!AR14+Лист1!AS14+Лист1!AT14+Лист1!AN14</f>
        <v>4928.6308229999995</v>
      </c>
      <c r="M22" s="15">
        <f>Лист1!AU14+Лист1!AV14+Лист1!AW14</f>
        <v>0</v>
      </c>
      <c r="N22" s="15">
        <f>Лист1!AZ14</f>
        <v>138.56976</v>
      </c>
      <c r="O22" s="83">
        <f>Лист1!BD14</f>
        <v>7494.386683</v>
      </c>
      <c r="P22" s="122">
        <f>Лист1!BH14</f>
        <v>5632.488697000002</v>
      </c>
      <c r="Q22" s="33">
        <f>Лист1!BI14</f>
        <v>-542.75</v>
      </c>
      <c r="R22" s="1"/>
      <c r="S22" s="1"/>
    </row>
    <row r="23" spans="1:19" ht="13.5" hidden="1" thickBot="1">
      <c r="A23" s="7" t="s">
        <v>49</v>
      </c>
      <c r="B23" s="8">
        <f>Лист1!B15</f>
        <v>1228.7</v>
      </c>
      <c r="C23" s="131">
        <f>Лист1!C15</f>
        <v>10628.255000000001</v>
      </c>
      <c r="D23" s="128">
        <f>Лист1!D15</f>
        <v>859.9850000000008</v>
      </c>
      <c r="E23" s="32">
        <f>Лист1!S15</f>
        <v>7923.73</v>
      </c>
      <c r="F23" s="16">
        <f>Лист1!T15</f>
        <v>1844.5399999999997</v>
      </c>
      <c r="G23" s="74">
        <f>Лист1!AF15</f>
        <v>3041.37038</v>
      </c>
      <c r="H23" s="31">
        <f>Лист1!AB15</f>
        <v>9476.48</v>
      </c>
      <c r="I23" s="119">
        <f>Лист1!AC15</f>
        <v>12181.005000000001</v>
      </c>
      <c r="J23" s="32">
        <f>Лист1!AG15</f>
        <v>971.32</v>
      </c>
      <c r="K23" s="14">
        <f>Лист1!AI15+Лист1!AJ15+Лист1!AK15</f>
        <v>1446.28297877</v>
      </c>
      <c r="L23" s="14">
        <f>Лист1!AH15+Лист1!AL15+Лист1!AM15+Лист1!AO15+Лист1!AP15+Лист1!AQ15+Лист1!AR15+Лист1!AS15+Лист1!AT15+Лист1!AN15</f>
        <v>4928.92228042</v>
      </c>
      <c r="M23" s="15">
        <f>Лист1!AU15+Лист1!AV15+Лист1!AW15</f>
        <v>11539.1256</v>
      </c>
      <c r="N23" s="15">
        <f>Лист1!AZ15</f>
        <v>147.49056000000002</v>
      </c>
      <c r="O23" s="83">
        <f>Лист1!BD15</f>
        <v>19033.141419189997</v>
      </c>
      <c r="P23" s="122">
        <f>Лист1!BH15</f>
        <v>-3810.7660391899954</v>
      </c>
      <c r="Q23" s="33">
        <f>Лист1!BI15</f>
        <v>1552.75</v>
      </c>
      <c r="R23" s="1"/>
      <c r="S23" s="1"/>
    </row>
    <row r="24" spans="1:19" ht="13.5" hidden="1" thickBot="1">
      <c r="A24" s="7" t="s">
        <v>50</v>
      </c>
      <c r="B24" s="8">
        <f>Лист1!B16</f>
        <v>1226.7</v>
      </c>
      <c r="C24" s="131">
        <f>Лист1!C16</f>
        <v>10610.955</v>
      </c>
      <c r="D24" s="128">
        <f>Лист1!D16</f>
        <v>872.8450000000007</v>
      </c>
      <c r="E24" s="32">
        <f>Лист1!S16</f>
        <v>7834.68</v>
      </c>
      <c r="F24" s="16">
        <f>Лист1!T16</f>
        <v>1903.4299999999998</v>
      </c>
      <c r="G24" s="74">
        <f>Лист1!AF16</f>
        <v>3041.37038</v>
      </c>
      <c r="H24" s="31">
        <f>Лист1!AB16</f>
        <v>5789.549999999999</v>
      </c>
      <c r="I24" s="119">
        <f>Лист1!AC16</f>
        <v>8565.825</v>
      </c>
      <c r="J24" s="32">
        <f>Лист1!AG16</f>
        <v>970.12</v>
      </c>
      <c r="K24" s="14">
        <f>Лист1!AI16+Лист1!AJ16+Лист1!AK16</f>
        <v>1443.5842973259998</v>
      </c>
      <c r="L24" s="14">
        <f>Лист1!AH16+Лист1!AL16+Лист1!AM16+Лист1!AO16+Лист1!AP16+Лист1!AQ16+Лист1!AR16+Лист1!AS16+Лист1!AT16+Лист1!AN16</f>
        <v>15844.070900599998</v>
      </c>
      <c r="M24" s="15">
        <f>Лист1!AU16+Лист1!AV16+Лист1!AW16</f>
        <v>4290.48</v>
      </c>
      <c r="N24" s="15">
        <f>Лист1!AZ16</f>
        <v>174.25295999999997</v>
      </c>
      <c r="O24" s="83">
        <f>Лист1!BD16</f>
        <v>22722.508157925997</v>
      </c>
      <c r="P24" s="122">
        <f>Лист1!BH16</f>
        <v>-11115.312777925996</v>
      </c>
      <c r="Q24" s="33">
        <f>Лист1!BI16</f>
        <v>-2045.130000000001</v>
      </c>
      <c r="R24" s="1"/>
      <c r="S24" s="1"/>
    </row>
    <row r="25" spans="1:19" ht="13.5" hidden="1" thickBot="1">
      <c r="A25" s="7" t="s">
        <v>51</v>
      </c>
      <c r="B25" s="8">
        <f>Лист1!B17</f>
        <v>1226.7</v>
      </c>
      <c r="C25" s="131">
        <f>Лист1!C17</f>
        <v>10610.955</v>
      </c>
      <c r="D25" s="128">
        <f>Лист1!D17</f>
        <v>875.2950000000008</v>
      </c>
      <c r="E25" s="32">
        <f>Лист1!S17</f>
        <v>7820.92</v>
      </c>
      <c r="F25" s="16">
        <f>Лист1!T17</f>
        <v>1914.74</v>
      </c>
      <c r="G25" s="74">
        <f>Лист1!AF17</f>
        <v>3041.37038</v>
      </c>
      <c r="H25" s="31">
        <f>Лист1!AB17</f>
        <v>9334.199999999999</v>
      </c>
      <c r="I25" s="119">
        <f>Лист1!AC17</f>
        <v>12124.235</v>
      </c>
      <c r="J25" s="32">
        <f>Лист1!AG17</f>
        <v>970.12</v>
      </c>
      <c r="K25" s="14">
        <f>Лист1!AI17+Лист1!AJ17+Лист1!AK17</f>
        <v>1443.335132709</v>
      </c>
      <c r="L25" s="14">
        <f>Лист1!AH17+Лист1!AL17+Лист1!AM17+Лист1!AO17+Лист1!AP17+Лист1!AQ17+Лист1!AR17+Лист1!AS17+Лист1!AT17+Лист1!AN17</f>
        <v>4920.1599546118</v>
      </c>
      <c r="M25" s="15">
        <f>Лист1!AU17+Лист1!AV17+Лист1!AW17</f>
        <v>0</v>
      </c>
      <c r="N25" s="15">
        <f>Лист1!AZ17</f>
        <v>207.55728000000005</v>
      </c>
      <c r="O25" s="83">
        <f>Лист1!BD17</f>
        <v>7541.1723673208</v>
      </c>
      <c r="P25" s="122">
        <f>Лист1!BH17</f>
        <v>7624.433012679201</v>
      </c>
      <c r="Q25" s="33">
        <f>Лист1!BI17</f>
        <v>1513.2799999999988</v>
      </c>
      <c r="R25" s="1"/>
      <c r="S25" s="1"/>
    </row>
    <row r="26" spans="1:19" ht="13.5" hidden="1" thickBot="1">
      <c r="A26" s="7" t="s">
        <v>39</v>
      </c>
      <c r="B26" s="8">
        <f>Лист1!B18</f>
        <v>1226.7</v>
      </c>
      <c r="C26" s="131">
        <f>Лист1!C18</f>
        <v>10610.955</v>
      </c>
      <c r="D26" s="128">
        <f>Лист1!D18</f>
        <v>875.2950000000008</v>
      </c>
      <c r="E26" s="32">
        <f>Лист1!S18</f>
        <v>7820.92</v>
      </c>
      <c r="F26" s="16">
        <f>Лист1!T18</f>
        <v>1914.74</v>
      </c>
      <c r="G26" s="74">
        <f>Лист1!AF18</f>
        <v>3041.37038</v>
      </c>
      <c r="H26" s="31">
        <f>Лист1!AB18</f>
        <v>7911.96</v>
      </c>
      <c r="I26" s="119">
        <f>Лист1!AC18</f>
        <v>10701.995</v>
      </c>
      <c r="J26" s="32">
        <f>Лист1!AG18</f>
        <v>970.12</v>
      </c>
      <c r="K26" s="14">
        <f>Лист1!AI18+Лист1!AJ18+Лист1!AK18</f>
        <v>1460.027582</v>
      </c>
      <c r="L26" s="14">
        <f>Лист1!AH18+Лист1!AL18+Лист1!AM18+Лист1!AO18+Лист1!AP18+Лист1!AQ18+Лист1!AR18+Лист1!AS18+Лист1!AT18+Лист1!AN18</f>
        <v>4962.84498</v>
      </c>
      <c r="M26" s="15">
        <f>Лист1!AU18+Лист1!AV18+Лист1!AW18</f>
        <v>0</v>
      </c>
      <c r="N26" s="15">
        <f>Лист1!AZ18</f>
        <v>252.756</v>
      </c>
      <c r="O26" s="83">
        <f>Лист1!BD18</f>
        <v>7645.748562000001</v>
      </c>
      <c r="P26" s="122">
        <f>Лист1!BH18</f>
        <v>6097.616818</v>
      </c>
      <c r="Q26" s="33">
        <f>Лист1!BI18</f>
        <v>91.03999999999996</v>
      </c>
      <c r="R26" s="1"/>
      <c r="S26" s="1"/>
    </row>
    <row r="27" spans="1:19" ht="13.5" hidden="1" thickBot="1">
      <c r="A27" s="7" t="s">
        <v>40</v>
      </c>
      <c r="B27" s="8">
        <f>Лист1!B19</f>
        <v>1226.7</v>
      </c>
      <c r="C27" s="131">
        <f>Лист1!C19</f>
        <v>10610.955</v>
      </c>
      <c r="D27" s="128">
        <f>Лист1!D19</f>
        <v>875.2950000000008</v>
      </c>
      <c r="E27" s="32">
        <f>Лист1!S19</f>
        <v>7820.92</v>
      </c>
      <c r="F27" s="16">
        <f>Лист1!T19</f>
        <v>1914.74</v>
      </c>
      <c r="G27" s="74">
        <f>Лист1!AF19</f>
        <v>3041.37038</v>
      </c>
      <c r="H27" s="31">
        <f>Лист1!AB19</f>
        <v>6578.73</v>
      </c>
      <c r="I27" s="119">
        <f>Лист1!AC19</f>
        <v>9368.765</v>
      </c>
      <c r="J27" s="32">
        <f>Лист1!AG19</f>
        <v>970.12</v>
      </c>
      <c r="K27" s="14">
        <f>Лист1!AI19+Лист1!AJ19+Лист1!AK19</f>
        <v>1465.1800999999998</v>
      </c>
      <c r="L27" s="14">
        <f>Лист1!AH19+Лист1!AL19+Лист1!AM19+Лист1!AO19+Лист1!AP19+Лист1!AQ19+Лист1!AR19+Лист1!AS19+Лист1!AT19+Лист1!AN19</f>
        <v>4968.39644</v>
      </c>
      <c r="M27" s="15">
        <f>Лист1!AU19+Лист1!AV19+Лист1!AW19</f>
        <v>7417.48</v>
      </c>
      <c r="N27" s="15">
        <f>Лист1!AZ19</f>
        <v>279.5184</v>
      </c>
      <c r="O27" s="83">
        <f>Лист1!BD19</f>
        <v>15100.694940000001</v>
      </c>
      <c r="P27" s="122">
        <f>Лист1!BH19</f>
        <v>-2690.5595600000015</v>
      </c>
      <c r="Q27" s="33">
        <f>Лист1!BI19</f>
        <v>-1242.1900000000005</v>
      </c>
      <c r="R27" s="1"/>
      <c r="S27" s="1"/>
    </row>
    <row r="28" spans="1:19" ht="13.5" hidden="1" thickBot="1">
      <c r="A28" s="34" t="s">
        <v>41</v>
      </c>
      <c r="B28" s="8">
        <f>Лист1!B20</f>
        <v>1226.7</v>
      </c>
      <c r="C28" s="131">
        <f>Лист1!C20</f>
        <v>10610.955</v>
      </c>
      <c r="D28" s="128">
        <f>Лист1!D20</f>
        <v>875.2750000000017</v>
      </c>
      <c r="E28" s="32">
        <f>Лист1!S20</f>
        <v>7820.960000000001</v>
      </c>
      <c r="F28" s="16">
        <f>Лист1!T20</f>
        <v>1914.72</v>
      </c>
      <c r="G28" s="74">
        <f>Лист1!AF20</f>
        <v>3041.37038</v>
      </c>
      <c r="H28" s="31">
        <f>Лист1!AB20</f>
        <v>10881.77</v>
      </c>
      <c r="I28" s="119">
        <f>Лист1!AC20</f>
        <v>13671.765000000003</v>
      </c>
      <c r="J28" s="32">
        <f>Лист1!AG20</f>
        <v>970.12</v>
      </c>
      <c r="K28" s="14">
        <f>Лист1!AI20+Лист1!AJ20+Лист1!AK20</f>
        <v>1465.1800999999998</v>
      </c>
      <c r="L28" s="14">
        <f>Лист1!AH20+Лист1!AL20+Лист1!AM20+Лист1!AO20+Лист1!AP20+Лист1!AQ20+Лист1!AR20+Лист1!AS20+Лист1!AT20+Лист1!AN20</f>
        <v>4968.39644</v>
      </c>
      <c r="M28" s="15">
        <f>Лист1!AU20+Лист1!AV20+Лист1!AW20</f>
        <v>1372.34</v>
      </c>
      <c r="N28" s="15">
        <f>Лист1!AZ20</f>
        <v>305.68608</v>
      </c>
      <c r="O28" s="83">
        <f>Лист1!BD20</f>
        <v>9081.72262</v>
      </c>
      <c r="P28" s="122">
        <f>Лист1!BH20</f>
        <v>7631.412760000003</v>
      </c>
      <c r="Q28" s="33">
        <f>Лист1!BI20</f>
        <v>3060.8099999999995</v>
      </c>
      <c r="R28" s="1"/>
      <c r="S28" s="1"/>
    </row>
    <row r="29" spans="1:19" s="17" customFormat="1" ht="13.5" hidden="1" thickBot="1">
      <c r="A29" s="35" t="s">
        <v>4</v>
      </c>
      <c r="B29" s="36"/>
      <c r="C29" s="39">
        <f aca="true" t="shared" si="0" ref="C29:Q29">SUM(C17:C28)</f>
        <v>127452.56000000003</v>
      </c>
      <c r="D29" s="40">
        <f t="shared" si="0"/>
        <v>12424.547500000004</v>
      </c>
      <c r="E29" s="38">
        <f t="shared" si="0"/>
        <v>91365.7</v>
      </c>
      <c r="F29" s="39">
        <f t="shared" si="0"/>
        <v>21641.670000000002</v>
      </c>
      <c r="G29" s="75">
        <f>SUM(G17:G28)</f>
        <v>36496.444559999996</v>
      </c>
      <c r="H29" s="40">
        <f t="shared" si="0"/>
        <v>90776.82</v>
      </c>
      <c r="I29" s="77">
        <f t="shared" si="0"/>
        <v>124843.03749999999</v>
      </c>
      <c r="J29" s="38">
        <f t="shared" si="0"/>
        <v>11354.952000000003</v>
      </c>
      <c r="K29" s="37">
        <f t="shared" si="0"/>
        <v>16762.298571695002</v>
      </c>
      <c r="L29" s="37">
        <f t="shared" si="0"/>
        <v>67621.9091405918</v>
      </c>
      <c r="M29" s="37">
        <f t="shared" si="0"/>
        <v>34409.03599999999</v>
      </c>
      <c r="N29" s="37">
        <f t="shared" si="0"/>
        <v>2616.768</v>
      </c>
      <c r="O29" s="81">
        <f t="shared" si="0"/>
        <v>132764.9637122868</v>
      </c>
      <c r="P29" s="123">
        <f>SUM(P17:P28)</f>
        <v>28574.518347713212</v>
      </c>
      <c r="Q29" s="41">
        <f t="shared" si="0"/>
        <v>-588.8800000000028</v>
      </c>
      <c r="R29" s="42"/>
      <c r="S29" s="42"/>
    </row>
    <row r="30" spans="1:19" ht="13.5" hidden="1" thickBot="1">
      <c r="A30" s="69" t="s">
        <v>93</v>
      </c>
      <c r="B30" s="70"/>
      <c r="C30" s="71"/>
      <c r="D30" s="70"/>
      <c r="E30" s="69"/>
      <c r="F30" s="71"/>
      <c r="G30" s="115"/>
      <c r="H30" s="70"/>
      <c r="I30" s="78"/>
      <c r="J30" s="69"/>
      <c r="K30" s="70"/>
      <c r="L30" s="70"/>
      <c r="M30" s="70"/>
      <c r="N30" s="70"/>
      <c r="O30" s="125"/>
      <c r="P30" s="71"/>
      <c r="Q30" s="47"/>
      <c r="R30" s="1"/>
      <c r="S30" s="1"/>
    </row>
    <row r="31" spans="1:19" s="17" customFormat="1" ht="13.5" thickBot="1">
      <c r="A31" s="48" t="s">
        <v>52</v>
      </c>
      <c r="B31" s="49"/>
      <c r="C31" s="50">
        <f aca="true" t="shared" si="1" ref="C31:Q31">C29</f>
        <v>127452.56000000003</v>
      </c>
      <c r="D31" s="129">
        <f t="shared" si="1"/>
        <v>12424.547500000004</v>
      </c>
      <c r="E31" s="52">
        <f t="shared" si="1"/>
        <v>91365.7</v>
      </c>
      <c r="F31" s="50">
        <f t="shared" si="1"/>
        <v>21641.670000000002</v>
      </c>
      <c r="G31" s="116">
        <f t="shared" si="1"/>
        <v>36496.444559999996</v>
      </c>
      <c r="H31" s="73">
        <f t="shared" si="1"/>
        <v>90776.82</v>
      </c>
      <c r="I31" s="82">
        <f t="shared" si="1"/>
        <v>124843.03749999999</v>
      </c>
      <c r="J31" s="51">
        <f t="shared" si="1"/>
        <v>11354.952000000003</v>
      </c>
      <c r="K31" s="51">
        <f t="shared" si="1"/>
        <v>16762.298571695002</v>
      </c>
      <c r="L31" s="51">
        <f t="shared" si="1"/>
        <v>67621.9091405918</v>
      </c>
      <c r="M31" s="51">
        <f t="shared" si="1"/>
        <v>34409.03599999999</v>
      </c>
      <c r="N31" s="51">
        <f t="shared" si="1"/>
        <v>2616.768</v>
      </c>
      <c r="O31" s="79">
        <f t="shared" si="1"/>
        <v>132764.9637122868</v>
      </c>
      <c r="P31" s="124">
        <f t="shared" si="1"/>
        <v>28574.518347713212</v>
      </c>
      <c r="Q31" s="52">
        <f t="shared" si="1"/>
        <v>-588.8800000000028</v>
      </c>
      <c r="R31" s="53"/>
      <c r="S31" s="42"/>
    </row>
    <row r="32" spans="1:19" ht="12.75">
      <c r="A32" s="6" t="s">
        <v>90</v>
      </c>
      <c r="B32" s="55"/>
      <c r="C32" s="130"/>
      <c r="D32" s="127"/>
      <c r="E32" s="46"/>
      <c r="F32" s="44"/>
      <c r="G32" s="76"/>
      <c r="H32" s="45"/>
      <c r="I32" s="118"/>
      <c r="J32" s="46"/>
      <c r="K32" s="43"/>
      <c r="L32" s="43"/>
      <c r="M32" s="56"/>
      <c r="N32" s="56"/>
      <c r="O32" s="84"/>
      <c r="P32" s="121"/>
      <c r="Q32" s="57"/>
      <c r="R32" s="1"/>
      <c r="S32" s="1"/>
    </row>
    <row r="33" spans="1:19" ht="12.75">
      <c r="A33" s="7" t="s">
        <v>43</v>
      </c>
      <c r="B33" s="8">
        <f>Лист1!B23</f>
        <v>1226.7</v>
      </c>
      <c r="C33" s="131">
        <f>Лист1!C23</f>
        <v>10610.955</v>
      </c>
      <c r="D33" s="128">
        <f>Лист1!D23</f>
        <v>875.2950000000008</v>
      </c>
      <c r="E33" s="32">
        <f>Лист1!S23</f>
        <v>7820.92</v>
      </c>
      <c r="F33" s="16">
        <f>Лист1!T23</f>
        <v>1914.74</v>
      </c>
      <c r="G33" s="74">
        <f>Лист1!AF23</f>
        <v>3041.37038</v>
      </c>
      <c r="H33" s="31">
        <f>Лист1!AB23</f>
        <v>5635.59</v>
      </c>
      <c r="I33" s="119">
        <f>Лист1!AC23</f>
        <v>8425.625</v>
      </c>
      <c r="J33" s="32">
        <f>Лист1!AG23</f>
        <v>736.02</v>
      </c>
      <c r="K33" s="14">
        <f>Лист1!AI23+Лист1!AJ23</f>
        <v>1226.7</v>
      </c>
      <c r="L33" s="14">
        <f>Лист1!AK23+Лист1!AL23+Лист1!AM23+Лист1!AN23+Лист1!AO23+Лист1!AP23+Лист1!AQ23+Лист1!AR23+Лист1!AS23+Лист1!AT23+Лист1!AH23</f>
        <v>4207.581</v>
      </c>
      <c r="M33" s="15">
        <f>Лист1!AU23+Лист1!AV23+Лист1!AW23</f>
        <v>596</v>
      </c>
      <c r="N33" s="15">
        <f>Лист1!AZ23</f>
        <v>320.03999999999996</v>
      </c>
      <c r="O33" s="83">
        <f>Лист1!BD23</f>
        <v>7086.340999999999</v>
      </c>
      <c r="P33" s="122">
        <f>Лист1!BH23</f>
        <v>3156.311380000001</v>
      </c>
      <c r="Q33" s="33">
        <f>Лист1!BI23</f>
        <v>-2185.33</v>
      </c>
      <c r="R33" s="1"/>
      <c r="S33" s="1"/>
    </row>
    <row r="34" spans="1:19" ht="12.75">
      <c r="A34" s="7" t="s">
        <v>44</v>
      </c>
      <c r="B34" s="8">
        <f>Лист1!B24</f>
        <v>1226.7</v>
      </c>
      <c r="C34" s="131">
        <f>Лист1!C24</f>
        <v>10610.955</v>
      </c>
      <c r="D34" s="128">
        <f>Лист1!D24</f>
        <v>875.2950000000008</v>
      </c>
      <c r="E34" s="32">
        <f>Лист1!S24</f>
        <v>7820.92</v>
      </c>
      <c r="F34" s="16">
        <f>Лист1!T24</f>
        <v>1914.74</v>
      </c>
      <c r="G34" s="74">
        <f>Лист1!AF24</f>
        <v>3041.37038</v>
      </c>
      <c r="H34" s="31">
        <f>Лист1!AB24</f>
        <v>7476.94</v>
      </c>
      <c r="I34" s="119">
        <f>Лист1!AC24</f>
        <v>10266.975</v>
      </c>
      <c r="J34" s="32">
        <f>Лист1!AG24</f>
        <v>736.02</v>
      </c>
      <c r="K34" s="14">
        <f>Лист1!AI24+Лист1!AJ24</f>
        <v>1226.7</v>
      </c>
      <c r="L34" s="14">
        <f>Лист1!AK24+Лист1!AL24+Лист1!AM24+Лист1!AN24+Лист1!AO24+Лист1!AP24+Лист1!AQ24+Лист1!AR24+Лист1!AS24+Лист1!AT24+Лист1!AH24</f>
        <v>6815.781000000001</v>
      </c>
      <c r="M34" s="15">
        <f>Лист1!AU24+Лист1!AV24+Лист1!AW24</f>
        <v>1604</v>
      </c>
      <c r="N34" s="15">
        <f>Лист1!AZ24</f>
        <v>256.40999999999997</v>
      </c>
      <c r="O34" s="83">
        <f>Лист1!BD24</f>
        <v>10638.911</v>
      </c>
      <c r="P34" s="122">
        <f>Лист1!BH24</f>
        <v>1445.0913800000005</v>
      </c>
      <c r="Q34" s="33">
        <f>Лист1!BI24</f>
        <v>-343.9800000000005</v>
      </c>
      <c r="R34" s="1"/>
      <c r="S34" s="1"/>
    </row>
    <row r="35" spans="1:19" ht="12.75">
      <c r="A35" s="7" t="s">
        <v>45</v>
      </c>
      <c r="B35" s="8">
        <f>Лист1!B25</f>
        <v>1226.7</v>
      </c>
      <c r="C35" s="131">
        <f>Лист1!C25</f>
        <v>10610.955</v>
      </c>
      <c r="D35" s="128">
        <f>Лист1!D25</f>
        <v>875.2950000000008</v>
      </c>
      <c r="E35" s="32">
        <f>Лист1!S25</f>
        <v>7820.92</v>
      </c>
      <c r="F35" s="16">
        <f>Лист1!T25</f>
        <v>1914.74</v>
      </c>
      <c r="G35" s="74">
        <f>Лист1!AF25</f>
        <v>3041.37038</v>
      </c>
      <c r="H35" s="31">
        <f>Лист1!AB25</f>
        <v>8986.48</v>
      </c>
      <c r="I35" s="119">
        <f>Лист1!AC25</f>
        <v>11776.515</v>
      </c>
      <c r="J35" s="32">
        <f>Лист1!AG25</f>
        <v>736.02</v>
      </c>
      <c r="K35" s="14">
        <f>Лист1!AI25+Лист1!AJ25</f>
        <v>1226.7</v>
      </c>
      <c r="L35" s="14">
        <f>Лист1!AK25+Лист1!AL25+Лист1!AM25+Лист1!AN25+Лист1!AO25+Лист1!AP25+Лист1!AQ25+Лист1!AR25+Лист1!AS25+Лист1!AT25+Лист1!AH25</f>
        <v>11191.581</v>
      </c>
      <c r="M35" s="15">
        <f>Лист1!AU25+Лист1!AV25+Лист1!AW25</f>
        <v>0</v>
      </c>
      <c r="N35" s="15">
        <f>Лист1!AZ25</f>
        <v>241.28999999999996</v>
      </c>
      <c r="O35" s="83">
        <f>Лист1!BD25</f>
        <v>13395.591</v>
      </c>
      <c r="P35" s="122">
        <f>Лист1!BH25</f>
        <v>197.9513799999993</v>
      </c>
      <c r="Q35" s="33">
        <f>Лист1!BI25</f>
        <v>1165.5599999999995</v>
      </c>
      <c r="R35" s="1"/>
      <c r="S35" s="1"/>
    </row>
    <row r="36" spans="1:19" ht="12.75">
      <c r="A36" s="7" t="s">
        <v>46</v>
      </c>
      <c r="B36" s="8">
        <f>Лист1!B26</f>
        <v>1226.7</v>
      </c>
      <c r="C36" s="131">
        <f>Лист1!C26</f>
        <v>10610.955</v>
      </c>
      <c r="D36" s="128">
        <f>Лист1!D26</f>
        <v>875.2950000000008</v>
      </c>
      <c r="E36" s="32">
        <f>Лист1!S26</f>
        <v>7820.92</v>
      </c>
      <c r="F36" s="16">
        <f>Лист1!T26</f>
        <v>1914.74</v>
      </c>
      <c r="G36" s="74">
        <f>Лист1!AF26</f>
        <v>3041.37038</v>
      </c>
      <c r="H36" s="31">
        <f>Лист1!AB26</f>
        <v>8279.6</v>
      </c>
      <c r="I36" s="119">
        <f>Лист1!AC26</f>
        <v>11069.635000000002</v>
      </c>
      <c r="J36" s="32">
        <f>Лист1!AG26</f>
        <v>736.02</v>
      </c>
      <c r="K36" s="14">
        <f>Лист1!AI26+Лист1!AJ26</f>
        <v>1226.7</v>
      </c>
      <c r="L36" s="14">
        <f>Лист1!AK26+Лист1!AL26+Лист1!AM26+Лист1!AN26+Лист1!AO26+Лист1!AP26+Лист1!AQ26+Лист1!AR26+Лист1!AS26+Лист1!AT26+Лист1!AH26</f>
        <v>4207.581</v>
      </c>
      <c r="M36" s="15">
        <f>Лист1!AU26+Лист1!AV26+Лист1!AW26</f>
        <v>695</v>
      </c>
      <c r="N36" s="15">
        <f>Лист1!AZ26</f>
        <v>193.41</v>
      </c>
      <c r="O36" s="83">
        <f>Лист1!BD26</f>
        <v>7058.710999999999</v>
      </c>
      <c r="P36" s="122">
        <f>Лист1!BH26</f>
        <v>5827.951380000003</v>
      </c>
      <c r="Q36" s="33">
        <f>Лист1!BI26</f>
        <v>458.6800000000003</v>
      </c>
      <c r="R36" s="1"/>
      <c r="S36" s="1"/>
    </row>
    <row r="37" spans="1:19" ht="12.75">
      <c r="A37" s="7" t="s">
        <v>47</v>
      </c>
      <c r="B37" s="8">
        <f>Лист1!B27</f>
        <v>1226.7</v>
      </c>
      <c r="C37" s="131">
        <f>Лист1!C27</f>
        <v>10610.955</v>
      </c>
      <c r="D37" s="128">
        <f>Лист1!D27</f>
        <v>875.374999999998</v>
      </c>
      <c r="E37" s="32">
        <f>Лист1!S27</f>
        <v>7820.84</v>
      </c>
      <c r="F37" s="16">
        <f>Лист1!T27</f>
        <v>1914.74</v>
      </c>
      <c r="G37" s="74">
        <f>Лист1!AF27</f>
        <v>3041.37038</v>
      </c>
      <c r="H37" s="31">
        <f>Лист1!AB27</f>
        <v>8596.43</v>
      </c>
      <c r="I37" s="119">
        <f>Лист1!AC27</f>
        <v>11386.544999999998</v>
      </c>
      <c r="J37" s="32">
        <f>Лист1!AG27</f>
        <v>736.02</v>
      </c>
      <c r="K37" s="14">
        <f>Лист1!AI27+Лист1!AJ27</f>
        <v>1226.7</v>
      </c>
      <c r="L37" s="14">
        <f>Лист1!AK27+Лист1!AL27+Лист1!AM27+Лист1!AN27+Лист1!AO27+Лист1!AP27+Лист1!AQ27+Лист1!AR27+Лист1!AS27+Лист1!AT27+Лист1!AH27</f>
        <v>4207.581</v>
      </c>
      <c r="M37" s="15">
        <f>Лист1!AU27+Лист1!AV27+Лист1!AW27</f>
        <v>9470</v>
      </c>
      <c r="N37" s="15">
        <f>Лист1!AZ27</f>
        <v>165.69</v>
      </c>
      <c r="O37" s="83">
        <f>Лист1!BD27</f>
        <v>15805.991</v>
      </c>
      <c r="P37" s="122">
        <f>Лист1!BH27</f>
        <v>-2602.4186200000013</v>
      </c>
      <c r="Q37" s="33">
        <f>Лист1!BI27</f>
        <v>775.5900000000001</v>
      </c>
      <c r="R37" s="1"/>
      <c r="S37" s="1"/>
    </row>
    <row r="38" spans="1:19" ht="12.75">
      <c r="A38" s="7" t="s">
        <v>48</v>
      </c>
      <c r="B38" s="8">
        <f>Лист1!B28</f>
        <v>1226.7</v>
      </c>
      <c r="C38" s="131">
        <f>Лист1!C28</f>
        <v>10610.955</v>
      </c>
      <c r="D38" s="128">
        <f>Лист1!D28</f>
        <v>876.0349999999983</v>
      </c>
      <c r="E38" s="32">
        <f>Лист1!S28</f>
        <v>7820.18</v>
      </c>
      <c r="F38" s="16">
        <f>Лист1!T28</f>
        <v>1914.74</v>
      </c>
      <c r="G38" s="74">
        <f>Лист1!AF28</f>
        <v>3041.37038</v>
      </c>
      <c r="H38" s="31">
        <f>Лист1!AB28</f>
        <v>6962.990000000001</v>
      </c>
      <c r="I38" s="119">
        <f>Лист1!AC28</f>
        <v>9753.765</v>
      </c>
      <c r="J38" s="32">
        <f>Лист1!AG28</f>
        <v>736.02</v>
      </c>
      <c r="K38" s="14">
        <f>Лист1!AI28+Лист1!AJ28</f>
        <v>1226.7</v>
      </c>
      <c r="L38" s="14">
        <f>Лист1!AK28+Лист1!AL28+Лист1!AM28+Лист1!AN28+Лист1!AO28+Лист1!AP28+Лист1!AQ28+Лист1!AR28+Лист1!AS28+Лист1!AT28+Лист1!AH28</f>
        <v>4207.581</v>
      </c>
      <c r="M38" s="15">
        <f>Лист1!AU28+Лист1!AV28+Лист1!AW28</f>
        <v>0</v>
      </c>
      <c r="N38" s="15">
        <f>Лист1!AZ28</f>
        <v>146.79</v>
      </c>
      <c r="O38" s="83">
        <f>Лист1!BD28</f>
        <v>6317.090999999999</v>
      </c>
      <c r="P38" s="122">
        <f>Лист1!BH28</f>
        <v>5253.70138</v>
      </c>
      <c r="Q38" s="33">
        <f>Лист1!BI28</f>
        <v>-857.1899999999996</v>
      </c>
      <c r="R38" s="1"/>
      <c r="S38" s="1"/>
    </row>
    <row r="39" spans="1:19" ht="12.75">
      <c r="A39" s="7" t="s">
        <v>49</v>
      </c>
      <c r="B39" s="8">
        <f>Лист1!B29</f>
        <v>1226.7</v>
      </c>
      <c r="C39" s="131">
        <f>Лист1!C29</f>
        <v>10610.955</v>
      </c>
      <c r="D39" s="128">
        <f>Лист1!D29</f>
        <v>872.5250000000012</v>
      </c>
      <c r="E39" s="32">
        <f>Лист1!S29</f>
        <v>9738.429999999998</v>
      </c>
      <c r="F39" s="16">
        <f>Лист1!T29</f>
        <v>0</v>
      </c>
      <c r="G39" s="74">
        <f>Лист1!AF29</f>
        <v>3041.37038</v>
      </c>
      <c r="H39" s="31">
        <f>Лист1!AB29</f>
        <v>7720.349999999999</v>
      </c>
      <c r="I39" s="119">
        <f>Лист1!AC29</f>
        <v>8592.875</v>
      </c>
      <c r="J39" s="32">
        <f>Лист1!AG29</f>
        <v>736.02</v>
      </c>
      <c r="K39" s="14">
        <f>Лист1!AI29+Лист1!AJ29</f>
        <v>1226.7</v>
      </c>
      <c r="L39" s="14">
        <f>Лист1!AK29+Лист1!AL29+Лист1!AM29+Лист1!AN29+Лист1!AO29+Лист1!AP29+Лист1!AQ29+Лист1!AR29+Лист1!AS29+Лист1!AT29+Лист1!AH29</f>
        <v>4207.581</v>
      </c>
      <c r="M39" s="15">
        <f>Лист1!AU29+Лист1!AV29+Лист1!AW29</f>
        <v>0</v>
      </c>
      <c r="N39" s="15">
        <f>Лист1!AZ29</f>
        <v>156.24</v>
      </c>
      <c r="O39" s="83">
        <f>Лист1!BD29</f>
        <v>6326.540999999999</v>
      </c>
      <c r="P39" s="122">
        <f>Лист1!BH29</f>
        <v>4083.361380000001</v>
      </c>
      <c r="Q39" s="33">
        <f>Лист1!BI29</f>
        <v>-2018.079999999999</v>
      </c>
      <c r="R39" s="1"/>
      <c r="S39" s="1"/>
    </row>
    <row r="40" spans="1:19" ht="12.75">
      <c r="A40" s="7" t="s">
        <v>50</v>
      </c>
      <c r="B40" s="8">
        <f>Лист1!B30</f>
        <v>1226.7</v>
      </c>
      <c r="C40" s="131">
        <f>Лист1!C30</f>
        <v>10610.955</v>
      </c>
      <c r="D40" s="128">
        <f>Лист1!D30</f>
        <v>870.8350000000002</v>
      </c>
      <c r="E40" s="32">
        <f>Лист1!S30</f>
        <v>9740.119999999999</v>
      </c>
      <c r="F40" s="16">
        <f>Лист1!T30</f>
        <v>0</v>
      </c>
      <c r="G40" s="74">
        <f>Лист1!AF30</f>
        <v>3041.37038</v>
      </c>
      <c r="H40" s="31">
        <f>Лист1!AB30</f>
        <v>7813.27</v>
      </c>
      <c r="I40" s="119">
        <f>Лист1!AC30</f>
        <v>8684.105000000001</v>
      </c>
      <c r="J40" s="32">
        <f>Лист1!AG30</f>
        <v>736.02</v>
      </c>
      <c r="K40" s="14">
        <f>Лист1!AI30+Лист1!AJ30</f>
        <v>1226.7</v>
      </c>
      <c r="L40" s="14">
        <f>Лист1!AK30+Лист1!AL30+Лист1!AM30+Лист1!AN30+Лист1!AO30+Лист1!AP30+Лист1!AQ30+Лист1!AR30+Лист1!AS30+Лист1!AT30+Лист1!AH30</f>
        <v>4207.581</v>
      </c>
      <c r="M40" s="15">
        <f>Лист1!AU30+Лист1!AV30+Лист1!AW30</f>
        <v>12173.8</v>
      </c>
      <c r="N40" s="15">
        <f>Лист1!AZ30</f>
        <v>184.58999999999997</v>
      </c>
      <c r="O40" s="83">
        <f>Лист1!BD30</f>
        <v>18528.691</v>
      </c>
      <c r="P40" s="122">
        <f>Лист1!BH30</f>
        <v>-8027.558619999997</v>
      </c>
      <c r="Q40" s="33">
        <f>Лист1!BI30</f>
        <v>-1926.8499999999985</v>
      </c>
      <c r="R40" s="1"/>
      <c r="S40" s="1"/>
    </row>
    <row r="41" spans="1:19" ht="12.75">
      <c r="A41" s="7" t="s">
        <v>51</v>
      </c>
      <c r="B41" s="8">
        <f>Лист1!B31</f>
        <v>1226.7</v>
      </c>
      <c r="C41" s="131">
        <f>Лист1!C31</f>
        <v>10610.955</v>
      </c>
      <c r="D41" s="128">
        <f>Лист1!D31</f>
        <v>869.0449999999993</v>
      </c>
      <c r="E41" s="32">
        <f>Лист1!S31</f>
        <v>9741.91</v>
      </c>
      <c r="F41" s="16">
        <f>Лист1!T31</f>
        <v>0</v>
      </c>
      <c r="G41" s="74">
        <f>Лист1!AF31</f>
        <v>3041.37038</v>
      </c>
      <c r="H41" s="31">
        <f>Лист1!AB31</f>
        <v>9706.32</v>
      </c>
      <c r="I41" s="119">
        <f>Лист1!AC31</f>
        <v>10575.365</v>
      </c>
      <c r="J41" s="32">
        <f>Лист1!AG31</f>
        <v>736.02</v>
      </c>
      <c r="K41" s="14">
        <f>Лист1!AI31+Лист1!AJ31</f>
        <v>1226.7</v>
      </c>
      <c r="L41" s="14">
        <f>Лист1!AK31+Лист1!AL31+Лист1!AM31+Лист1!AN31+Лист1!AO31+Лист1!AP31+Лист1!AQ31+Лист1!AR31+Лист1!AS31+Лист1!AT31+Лист1!AH31</f>
        <v>4207.581</v>
      </c>
      <c r="M41" s="15">
        <f>Лист1!AU31+Лист1!AV31+Лист1!AW31</f>
        <v>10324</v>
      </c>
      <c r="N41" s="15">
        <f>Лист1!AZ31</f>
        <v>219.87</v>
      </c>
      <c r="O41" s="83">
        <f>Лист1!BD31</f>
        <v>16714.171</v>
      </c>
      <c r="P41" s="122">
        <f>Лист1!BH31</f>
        <v>-4321.778619999998</v>
      </c>
      <c r="Q41" s="33">
        <f>Лист1!BI31</f>
        <v>-35.590000000000146</v>
      </c>
      <c r="R41" s="1"/>
      <c r="S41" s="1"/>
    </row>
    <row r="42" spans="1:19" ht="12.75">
      <c r="A42" s="7" t="s">
        <v>39</v>
      </c>
      <c r="B42" s="8">
        <f>Лист1!B32</f>
        <v>1226.7</v>
      </c>
      <c r="C42" s="131">
        <f>Лист1!C32</f>
        <v>10610.955</v>
      </c>
      <c r="D42" s="128">
        <f>Лист1!D32</f>
        <v>874.2349999999996</v>
      </c>
      <c r="E42" s="32">
        <f>Лист1!S32</f>
        <v>9736.72</v>
      </c>
      <c r="F42" s="16">
        <f>Лист1!T32</f>
        <v>0</v>
      </c>
      <c r="G42" s="74">
        <f>Лист1!AF32</f>
        <v>3141.37038</v>
      </c>
      <c r="H42" s="31">
        <f>Лист1!AB32</f>
        <v>15082.039999999999</v>
      </c>
      <c r="I42" s="119">
        <f>Лист1!AC32</f>
        <v>15956.274999999998</v>
      </c>
      <c r="J42" s="32">
        <f>Лист1!AG32</f>
        <v>736.02</v>
      </c>
      <c r="K42" s="14">
        <f>Лист1!AI32+Лист1!AJ32</f>
        <v>1226.7</v>
      </c>
      <c r="L42" s="14">
        <f>Лист1!AK32+Лист1!AL32+Лист1!AM32+Лист1!AN32+Лист1!AO32+Лист1!AP32+Лист1!AQ32+Лист1!AR32+Лист1!AS32+Лист1!AT32+Лист1!AH32</f>
        <v>4207.581</v>
      </c>
      <c r="M42" s="15">
        <f>Лист1!AU32+Лист1!AV32+Лист1!AW32</f>
        <v>11999.06</v>
      </c>
      <c r="N42" s="15">
        <f>Лист1!AZ32</f>
        <v>267.75</v>
      </c>
      <c r="O42" s="83">
        <f>Лист1!BD32</f>
        <v>18437.110999999997</v>
      </c>
      <c r="P42" s="122">
        <f>Лист1!BH32</f>
        <v>-588.8086199999991</v>
      </c>
      <c r="Q42" s="33">
        <f>Лист1!BI32</f>
        <v>5345.32</v>
      </c>
      <c r="R42" s="1"/>
      <c r="S42" s="1"/>
    </row>
    <row r="43" spans="1:19" ht="12.75">
      <c r="A43" s="7" t="s">
        <v>40</v>
      </c>
      <c r="B43" s="8">
        <f>Лист1!B33</f>
        <v>1226.7</v>
      </c>
      <c r="C43" s="131">
        <f>Лист1!C33</f>
        <v>10610.955</v>
      </c>
      <c r="D43" s="128">
        <f>Лист1!D33</f>
        <v>874.2249999999993</v>
      </c>
      <c r="E43" s="32">
        <f>Лист1!S33</f>
        <v>9736.730000000001</v>
      </c>
      <c r="F43" s="16">
        <f>Лист1!T33</f>
        <v>0</v>
      </c>
      <c r="G43" s="74">
        <f>Лист1!AF33</f>
        <v>3141.37038</v>
      </c>
      <c r="H43" s="31">
        <f>Лист1!AB33</f>
        <v>8270.85</v>
      </c>
      <c r="I43" s="119">
        <f>Лист1!AC33</f>
        <v>9145.074999999999</v>
      </c>
      <c r="J43" s="32">
        <f>Лист1!AG33</f>
        <v>736.02</v>
      </c>
      <c r="K43" s="14">
        <f>Лист1!AI33+Лист1!AJ33</f>
        <v>1226.7</v>
      </c>
      <c r="L43" s="14">
        <f>Лист1!AK33+Лист1!AL33+Лист1!AM33+Лист1!AN33+Лист1!AO33+Лист1!AP33+Лист1!AQ33+Лист1!AR33+Лист1!AS33+Лист1!AT33+Лист1!AH33</f>
        <v>4207.581</v>
      </c>
      <c r="M43" s="15">
        <f>Лист1!AU33+Лист1!AV33+Лист1!AW33</f>
        <v>0</v>
      </c>
      <c r="N43" s="15">
        <f>Лист1!AZ33</f>
        <v>296.09999999999997</v>
      </c>
      <c r="O43" s="83">
        <f>Лист1!BD33</f>
        <v>6466.401</v>
      </c>
      <c r="P43" s="122">
        <f>Лист1!BH33</f>
        <v>4570.7013799999995</v>
      </c>
      <c r="Q43" s="33">
        <f>Лист1!BI33</f>
        <v>-1465.880000000001</v>
      </c>
      <c r="R43" s="1"/>
      <c r="S43" s="1"/>
    </row>
    <row r="44" spans="1:19" ht="13.5" thickBot="1">
      <c r="A44" s="34" t="s">
        <v>41</v>
      </c>
      <c r="B44" s="8">
        <f>Лист1!B34</f>
        <v>1226.7</v>
      </c>
      <c r="C44" s="131">
        <f>Лист1!C34</f>
        <v>10610.955</v>
      </c>
      <c r="D44" s="128">
        <f>Лист1!D34</f>
        <v>875.2049999999997</v>
      </c>
      <c r="E44" s="32">
        <f>Лист1!S34</f>
        <v>9735.75</v>
      </c>
      <c r="F44" s="16">
        <f>Лист1!T34</f>
        <v>0</v>
      </c>
      <c r="G44" s="74">
        <f>Лист1!AF34</f>
        <v>3141.37038</v>
      </c>
      <c r="H44" s="31">
        <f>Лист1!AB34</f>
        <v>11638.59</v>
      </c>
      <c r="I44" s="119">
        <f>Лист1!AC34</f>
        <v>12513.795</v>
      </c>
      <c r="J44" s="32">
        <f>Лист1!AG34</f>
        <v>736.02</v>
      </c>
      <c r="K44" s="14">
        <f>Лист1!AI34+Лист1!AJ34</f>
        <v>1226.7</v>
      </c>
      <c r="L44" s="14">
        <f>Лист1!AK34+Лист1!AL34+Лист1!AM34+Лист1!AN34+Лист1!AO34+Лист1!AP34+Лист1!AQ34+Лист1!AR34+Лист1!AS34+Лист1!AT34+Лист1!AH34</f>
        <v>4207.581</v>
      </c>
      <c r="M44" s="15">
        <f>Лист1!AU34+Лист1!AV34+Лист1!AW34</f>
        <v>335.0138</v>
      </c>
      <c r="N44" s="15">
        <f>Лист1!AZ34</f>
        <v>323.82</v>
      </c>
      <c r="O44" s="83">
        <f>Лист1!BD34</f>
        <v>6829.134799999999</v>
      </c>
      <c r="P44" s="122">
        <f>Лист1!BH34</f>
        <v>7576.6875800000025</v>
      </c>
      <c r="Q44" s="33">
        <f>Лист1!BI34</f>
        <v>1902.8400000000001</v>
      </c>
      <c r="R44" s="1"/>
      <c r="S44" s="1"/>
    </row>
    <row r="45" spans="1:19" s="17" customFormat="1" ht="13.5" thickBot="1">
      <c r="A45" s="35" t="s">
        <v>4</v>
      </c>
      <c r="B45" s="36"/>
      <c r="C45" s="39">
        <f aca="true" t="shared" si="2" ref="C45:Q45">SUM(C33:C44)</f>
        <v>127331.46</v>
      </c>
      <c r="D45" s="40">
        <f t="shared" si="2"/>
        <v>10488.659999999998</v>
      </c>
      <c r="E45" s="38">
        <f t="shared" si="2"/>
        <v>105354.36</v>
      </c>
      <c r="F45" s="39">
        <f t="shared" si="2"/>
        <v>11488.44</v>
      </c>
      <c r="G45" s="75">
        <f t="shared" si="2"/>
        <v>36796.444559999996</v>
      </c>
      <c r="H45" s="40">
        <f t="shared" si="2"/>
        <v>106169.45</v>
      </c>
      <c r="I45" s="77">
        <f t="shared" si="2"/>
        <v>128146.54999999999</v>
      </c>
      <c r="J45" s="38">
        <f t="shared" si="2"/>
        <v>8832.240000000002</v>
      </c>
      <c r="K45" s="37">
        <f t="shared" si="2"/>
        <v>14720.400000000003</v>
      </c>
      <c r="L45" s="37">
        <f t="shared" si="2"/>
        <v>60083.171999999984</v>
      </c>
      <c r="M45" s="37">
        <f t="shared" si="2"/>
        <v>47196.8738</v>
      </c>
      <c r="N45" s="37">
        <f t="shared" si="2"/>
        <v>2772</v>
      </c>
      <c r="O45" s="81">
        <f t="shared" si="2"/>
        <v>133604.6858</v>
      </c>
      <c r="P45" s="123">
        <f t="shared" si="2"/>
        <v>16571.192760000013</v>
      </c>
      <c r="Q45" s="41">
        <f t="shared" si="2"/>
        <v>815.090000000001</v>
      </c>
      <c r="R45" s="42"/>
      <c r="S45" s="42"/>
    </row>
    <row r="46" spans="1:19" ht="13.5" thickBot="1">
      <c r="A46" s="69" t="s">
        <v>66</v>
      </c>
      <c r="B46" s="70"/>
      <c r="C46" s="71"/>
      <c r="D46" s="70"/>
      <c r="E46" s="69"/>
      <c r="F46" s="71"/>
      <c r="G46" s="115"/>
      <c r="H46" s="70"/>
      <c r="I46" s="78"/>
      <c r="J46" s="69"/>
      <c r="K46" s="70"/>
      <c r="L46" s="70"/>
      <c r="M46" s="70"/>
      <c r="N46" s="70"/>
      <c r="O46" s="125"/>
      <c r="P46" s="71"/>
      <c r="Q46" s="47"/>
      <c r="R46" s="1"/>
      <c r="S46" s="1"/>
    </row>
    <row r="47" spans="1:19" s="17" customFormat="1" ht="13.5" thickBot="1">
      <c r="A47" s="48" t="s">
        <v>52</v>
      </c>
      <c r="B47" s="49"/>
      <c r="C47" s="52">
        <f aca="true" t="shared" si="3" ref="C47:P47">C45+C31</f>
        <v>254784.02000000002</v>
      </c>
      <c r="D47" s="52">
        <f t="shared" si="3"/>
        <v>22913.207500000004</v>
      </c>
      <c r="E47" s="52">
        <f t="shared" si="3"/>
        <v>196720.06</v>
      </c>
      <c r="F47" s="52">
        <f t="shared" si="3"/>
        <v>33130.11</v>
      </c>
      <c r="G47" s="52">
        <f t="shared" si="3"/>
        <v>73292.88911999999</v>
      </c>
      <c r="H47" s="52">
        <f t="shared" si="3"/>
        <v>196946.27000000002</v>
      </c>
      <c r="I47" s="52">
        <f t="shared" si="3"/>
        <v>252989.58749999997</v>
      </c>
      <c r="J47" s="52">
        <f t="shared" si="3"/>
        <v>20187.192000000003</v>
      </c>
      <c r="K47" s="52">
        <f t="shared" si="3"/>
        <v>31482.698571695008</v>
      </c>
      <c r="L47" s="52">
        <f t="shared" si="3"/>
        <v>127705.08114059179</v>
      </c>
      <c r="M47" s="52">
        <f t="shared" si="3"/>
        <v>81605.9098</v>
      </c>
      <c r="N47" s="52">
        <f t="shared" si="3"/>
        <v>5388.768</v>
      </c>
      <c r="O47" s="52">
        <f t="shared" si="3"/>
        <v>266369.64951228676</v>
      </c>
      <c r="P47" s="52">
        <f t="shared" si="3"/>
        <v>45145.71110771323</v>
      </c>
      <c r="Q47" s="52">
        <f>Q45+Q31</f>
        <v>226.20999999999822</v>
      </c>
      <c r="R47" s="53"/>
      <c r="S47" s="42"/>
    </row>
    <row r="48" ht="11.25" customHeight="1"/>
    <row r="49" spans="1:19" ht="12.75">
      <c r="A49" s="17" t="s">
        <v>67</v>
      </c>
      <c r="D49" s="2" t="s">
        <v>92</v>
      </c>
      <c r="J49" s="113"/>
      <c r="R49" s="1"/>
      <c r="S49" s="1"/>
    </row>
    <row r="50" spans="1:19" ht="12.75">
      <c r="A50" s="21" t="s">
        <v>68</v>
      </c>
      <c r="B50" s="21" t="s">
        <v>69</v>
      </c>
      <c r="C50" s="315" t="s">
        <v>70</v>
      </c>
      <c r="D50" s="315"/>
      <c r="R50" s="1"/>
      <c r="S50" s="1"/>
    </row>
    <row r="51" spans="1:19" ht="12.75">
      <c r="A51" s="59">
        <v>74706.3</v>
      </c>
      <c r="B51" s="61">
        <v>0</v>
      </c>
      <c r="C51" s="316">
        <f>A51-B51</f>
        <v>74706.3</v>
      </c>
      <c r="D51" s="317"/>
      <c r="R51" s="1"/>
      <c r="S51" s="1"/>
    </row>
    <row r="52" spans="1:19" ht="12.75">
      <c r="A52" s="54"/>
      <c r="R52" s="1"/>
      <c r="S52" s="1"/>
    </row>
    <row r="53" spans="1:19" ht="12.75">
      <c r="A53" s="54"/>
      <c r="R53" s="1"/>
      <c r="S53" s="1"/>
    </row>
    <row r="54" spans="1:19" ht="12.75">
      <c r="A54" s="2" t="s">
        <v>71</v>
      </c>
      <c r="H54" s="2" t="s">
        <v>72</v>
      </c>
      <c r="R54" s="1"/>
      <c r="S54" s="1"/>
    </row>
    <row r="55" ht="12.75">
      <c r="A55" s="1"/>
    </row>
    <row r="56" ht="12.75">
      <c r="A56" s="1" t="s">
        <v>94</v>
      </c>
    </row>
    <row r="57" ht="12.75">
      <c r="A57" s="2" t="s">
        <v>73</v>
      </c>
    </row>
  </sheetData>
  <sheetProtection/>
  <mergeCells count="22">
    <mergeCell ref="K13:K14"/>
    <mergeCell ref="L13:L14"/>
    <mergeCell ref="L1:R1"/>
    <mergeCell ref="L2:R2"/>
    <mergeCell ref="Q11:Q14"/>
    <mergeCell ref="E13:F13"/>
    <mergeCell ref="I13:I14"/>
    <mergeCell ref="A11:A14"/>
    <mergeCell ref="B11:B14"/>
    <mergeCell ref="C11:C14"/>
    <mergeCell ref="D11:D14"/>
    <mergeCell ref="E11:F12"/>
    <mergeCell ref="M13:M14"/>
    <mergeCell ref="N13:N14"/>
    <mergeCell ref="C50:D50"/>
    <mergeCell ref="C51:D51"/>
    <mergeCell ref="G11:G14"/>
    <mergeCell ref="P11:P14"/>
    <mergeCell ref="H11:I12"/>
    <mergeCell ref="O13:O14"/>
    <mergeCell ref="J11:O12"/>
    <mergeCell ref="J13:J14"/>
  </mergeCells>
  <printOptions/>
  <pageMargins left="0.18" right="0.16" top="0.3937007874015748" bottom="0.3937007874015748" header="0.39" footer="0.36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V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Z48" sqref="AZ4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0.25390625" style="2" customWidth="1"/>
    <col min="34" max="35" width="9.25390625" style="2" bestFit="1" customWidth="1"/>
    <col min="36" max="36" width="10.75390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5" width="9.25390625" style="2" customWidth="1"/>
    <col min="46" max="46" width="10.125" style="2" bestFit="1" customWidth="1"/>
    <col min="47" max="47" width="11.625" style="2" customWidth="1"/>
    <col min="48" max="48" width="10.875" style="2" customWidth="1"/>
    <col min="49" max="49" width="10.625" style="2" customWidth="1"/>
    <col min="50" max="50" width="9.25390625" style="2" customWidth="1"/>
    <col min="51" max="51" width="10.625" style="2" customWidth="1"/>
    <col min="52" max="52" width="9.25390625" style="2" bestFit="1" customWidth="1"/>
    <col min="53" max="54" width="10.125" style="2" bestFit="1" customWidth="1"/>
    <col min="55" max="55" width="11.625" style="2" customWidth="1"/>
    <col min="56" max="56" width="11.00390625" style="2" customWidth="1"/>
    <col min="57" max="57" width="11.375" style="2" customWidth="1"/>
    <col min="58" max="58" width="14.00390625" style="2" customWidth="1"/>
    <col min="59" max="59" width="9.75390625" style="2" bestFit="1" customWidth="1"/>
    <col min="60" max="16384" width="9.125" style="2" customWidth="1"/>
  </cols>
  <sheetData>
    <row r="1" spans="1:18" ht="21" customHeight="1">
      <c r="A1" s="306" t="s">
        <v>128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344" t="s">
        <v>0</v>
      </c>
      <c r="B3" s="387" t="s">
        <v>1</v>
      </c>
      <c r="C3" s="389" t="s">
        <v>2</v>
      </c>
      <c r="D3" s="391" t="s">
        <v>3</v>
      </c>
      <c r="E3" s="344" t="s">
        <v>95</v>
      </c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45"/>
      <c r="S3" s="344"/>
      <c r="T3" s="370"/>
      <c r="U3" s="344" t="s">
        <v>4</v>
      </c>
      <c r="V3" s="370"/>
      <c r="W3" s="373" t="s">
        <v>5</v>
      </c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5"/>
      <c r="AJ3" s="424" t="s">
        <v>76</v>
      </c>
      <c r="AK3" s="412" t="s">
        <v>9</v>
      </c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4"/>
      <c r="BF3" s="393" t="s">
        <v>10</v>
      </c>
      <c r="BG3" s="358" t="s">
        <v>11</v>
      </c>
    </row>
    <row r="4" spans="1:59" ht="51.75" customHeight="1" hidden="1" thickBot="1">
      <c r="A4" s="330"/>
      <c r="B4" s="388"/>
      <c r="C4" s="390"/>
      <c r="D4" s="392"/>
      <c r="E4" s="330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31"/>
      <c r="S4" s="346"/>
      <c r="T4" s="372"/>
      <c r="U4" s="346"/>
      <c r="V4" s="372"/>
      <c r="W4" s="376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8"/>
      <c r="AJ4" s="425"/>
      <c r="AK4" s="415"/>
      <c r="AL4" s="416"/>
      <c r="AM4" s="416"/>
      <c r="AN4" s="416"/>
      <c r="AO4" s="416"/>
      <c r="AP4" s="416"/>
      <c r="AQ4" s="416"/>
      <c r="AR4" s="416"/>
      <c r="AS4" s="416"/>
      <c r="AT4" s="416"/>
      <c r="AU4" s="416"/>
      <c r="AV4" s="416"/>
      <c r="AW4" s="416"/>
      <c r="AX4" s="416"/>
      <c r="AY4" s="416"/>
      <c r="AZ4" s="416"/>
      <c r="BA4" s="416"/>
      <c r="BB4" s="416"/>
      <c r="BC4" s="416"/>
      <c r="BD4" s="416"/>
      <c r="BE4" s="417"/>
      <c r="BF4" s="394"/>
      <c r="BG4" s="359"/>
    </row>
    <row r="5" spans="1:59" ht="19.5" customHeight="1">
      <c r="A5" s="330"/>
      <c r="B5" s="388"/>
      <c r="C5" s="390"/>
      <c r="D5" s="392"/>
      <c r="E5" s="361" t="s">
        <v>12</v>
      </c>
      <c r="F5" s="362"/>
      <c r="G5" s="361" t="s">
        <v>96</v>
      </c>
      <c r="H5" s="362"/>
      <c r="I5" s="361" t="s">
        <v>13</v>
      </c>
      <c r="J5" s="362"/>
      <c r="K5" s="361" t="s">
        <v>15</v>
      </c>
      <c r="L5" s="362"/>
      <c r="M5" s="361" t="s">
        <v>14</v>
      </c>
      <c r="N5" s="362"/>
      <c r="O5" s="365" t="s">
        <v>16</v>
      </c>
      <c r="P5" s="365"/>
      <c r="Q5" s="361" t="s">
        <v>97</v>
      </c>
      <c r="R5" s="362"/>
      <c r="S5" s="365" t="s">
        <v>98</v>
      </c>
      <c r="T5" s="362"/>
      <c r="U5" s="383" t="s">
        <v>19</v>
      </c>
      <c r="V5" s="427" t="s">
        <v>20</v>
      </c>
      <c r="W5" s="368" t="s">
        <v>21</v>
      </c>
      <c r="X5" s="368" t="s">
        <v>99</v>
      </c>
      <c r="Y5" s="368" t="s">
        <v>22</v>
      </c>
      <c r="Z5" s="368" t="s">
        <v>24</v>
      </c>
      <c r="AA5" s="368" t="s">
        <v>23</v>
      </c>
      <c r="AB5" s="368" t="s">
        <v>25</v>
      </c>
      <c r="AC5" s="368" t="s">
        <v>26</v>
      </c>
      <c r="AD5" s="385" t="s">
        <v>27</v>
      </c>
      <c r="AE5" s="385" t="s">
        <v>100</v>
      </c>
      <c r="AF5" s="379" t="s">
        <v>28</v>
      </c>
      <c r="AG5" s="381" t="s">
        <v>78</v>
      </c>
      <c r="AH5" s="396" t="s">
        <v>7</v>
      </c>
      <c r="AI5" s="398" t="s">
        <v>8</v>
      </c>
      <c r="AJ5" s="425"/>
      <c r="AK5" s="400" t="s">
        <v>101</v>
      </c>
      <c r="AL5" s="402" t="s">
        <v>102</v>
      </c>
      <c r="AM5" s="402" t="s">
        <v>103</v>
      </c>
      <c r="AN5" s="404" t="s">
        <v>104</v>
      </c>
      <c r="AO5" s="402" t="s">
        <v>105</v>
      </c>
      <c r="AP5" s="404" t="s">
        <v>106</v>
      </c>
      <c r="AQ5" s="404" t="s">
        <v>107</v>
      </c>
      <c r="AR5" s="404" t="s">
        <v>126</v>
      </c>
      <c r="AS5" s="404" t="s">
        <v>108</v>
      </c>
      <c r="AT5" s="404" t="s">
        <v>35</v>
      </c>
      <c r="AU5" s="418" t="s">
        <v>109</v>
      </c>
      <c r="AV5" s="408" t="s">
        <v>110</v>
      </c>
      <c r="AW5" s="418" t="s">
        <v>111</v>
      </c>
      <c r="AX5" s="422" t="s">
        <v>112</v>
      </c>
      <c r="AY5" s="173"/>
      <c r="AZ5" s="410" t="s">
        <v>18</v>
      </c>
      <c r="BA5" s="404" t="s">
        <v>37</v>
      </c>
      <c r="BB5" s="404" t="s">
        <v>32</v>
      </c>
      <c r="BC5" s="406" t="s">
        <v>38</v>
      </c>
      <c r="BD5" s="420" t="s">
        <v>80</v>
      </c>
      <c r="BE5" s="404" t="s">
        <v>81</v>
      </c>
      <c r="BF5" s="394"/>
      <c r="BG5" s="359"/>
    </row>
    <row r="6" spans="1:59" ht="63.75" customHeight="1" thickBot="1">
      <c r="A6" s="330"/>
      <c r="B6" s="388"/>
      <c r="C6" s="390"/>
      <c r="D6" s="392"/>
      <c r="E6" s="363"/>
      <c r="F6" s="364"/>
      <c r="G6" s="363"/>
      <c r="H6" s="364"/>
      <c r="I6" s="363"/>
      <c r="J6" s="364"/>
      <c r="K6" s="363"/>
      <c r="L6" s="364"/>
      <c r="M6" s="363"/>
      <c r="N6" s="364"/>
      <c r="O6" s="366"/>
      <c r="P6" s="366"/>
      <c r="Q6" s="363"/>
      <c r="R6" s="364"/>
      <c r="S6" s="367"/>
      <c r="T6" s="364"/>
      <c r="U6" s="384"/>
      <c r="V6" s="428"/>
      <c r="W6" s="369"/>
      <c r="X6" s="369"/>
      <c r="Y6" s="369"/>
      <c r="Z6" s="369"/>
      <c r="AA6" s="369"/>
      <c r="AB6" s="369"/>
      <c r="AC6" s="369"/>
      <c r="AD6" s="386"/>
      <c r="AE6" s="386"/>
      <c r="AF6" s="380"/>
      <c r="AG6" s="382"/>
      <c r="AH6" s="397"/>
      <c r="AI6" s="399"/>
      <c r="AJ6" s="426"/>
      <c r="AK6" s="401"/>
      <c r="AL6" s="403"/>
      <c r="AM6" s="403"/>
      <c r="AN6" s="405"/>
      <c r="AO6" s="403"/>
      <c r="AP6" s="405"/>
      <c r="AQ6" s="405"/>
      <c r="AR6" s="405"/>
      <c r="AS6" s="405"/>
      <c r="AT6" s="405"/>
      <c r="AU6" s="419"/>
      <c r="AV6" s="409"/>
      <c r="AW6" s="419"/>
      <c r="AX6" s="423"/>
      <c r="AY6" s="174" t="s">
        <v>113</v>
      </c>
      <c r="AZ6" s="411"/>
      <c r="BA6" s="405"/>
      <c r="BB6" s="405"/>
      <c r="BC6" s="407"/>
      <c r="BD6" s="421"/>
      <c r="BE6" s="405"/>
      <c r="BF6" s="395"/>
      <c r="BG6" s="360"/>
    </row>
    <row r="7" spans="1:59" ht="19.5" customHeight="1" thickBot="1">
      <c r="A7" s="175">
        <v>1</v>
      </c>
      <c r="B7" s="30">
        <v>2</v>
      </c>
      <c r="C7" s="30">
        <v>3</v>
      </c>
      <c r="D7" s="175">
        <v>4</v>
      </c>
      <c r="E7" s="30">
        <v>5</v>
      </c>
      <c r="F7" s="30">
        <v>6</v>
      </c>
      <c r="G7" s="175">
        <v>7</v>
      </c>
      <c r="H7" s="30">
        <v>8</v>
      </c>
      <c r="I7" s="30">
        <v>9</v>
      </c>
      <c r="J7" s="175">
        <v>10</v>
      </c>
      <c r="K7" s="30">
        <v>11</v>
      </c>
      <c r="L7" s="30">
        <v>12</v>
      </c>
      <c r="M7" s="175">
        <v>13</v>
      </c>
      <c r="N7" s="30">
        <v>14</v>
      </c>
      <c r="O7" s="30">
        <v>15</v>
      </c>
      <c r="P7" s="175">
        <v>16</v>
      </c>
      <c r="Q7" s="30">
        <v>17</v>
      </c>
      <c r="R7" s="30">
        <v>18</v>
      </c>
      <c r="S7" s="175">
        <v>19</v>
      </c>
      <c r="T7" s="30">
        <v>20</v>
      </c>
      <c r="U7" s="30">
        <v>21</v>
      </c>
      <c r="V7" s="175">
        <v>22</v>
      </c>
      <c r="W7" s="30">
        <v>23</v>
      </c>
      <c r="X7" s="175">
        <v>24</v>
      </c>
      <c r="Y7" s="30">
        <v>25</v>
      </c>
      <c r="Z7" s="175">
        <v>26</v>
      </c>
      <c r="AA7" s="30">
        <v>27</v>
      </c>
      <c r="AB7" s="175">
        <v>28</v>
      </c>
      <c r="AC7" s="30">
        <v>29</v>
      </c>
      <c r="AD7" s="175">
        <v>30</v>
      </c>
      <c r="AE7" s="175">
        <v>31</v>
      </c>
      <c r="AF7" s="30">
        <v>32</v>
      </c>
      <c r="AG7" s="175">
        <v>33</v>
      </c>
      <c r="AH7" s="30">
        <v>34</v>
      </c>
      <c r="AI7" s="175">
        <v>35</v>
      </c>
      <c r="AJ7" s="30">
        <v>36</v>
      </c>
      <c r="AK7" s="175">
        <v>37</v>
      </c>
      <c r="AL7" s="30">
        <v>38</v>
      </c>
      <c r="AM7" s="175">
        <v>39</v>
      </c>
      <c r="AN7" s="175">
        <v>40</v>
      </c>
      <c r="AO7" s="30">
        <v>41</v>
      </c>
      <c r="AP7" s="175">
        <v>42</v>
      </c>
      <c r="AQ7" s="30">
        <v>43</v>
      </c>
      <c r="AR7" s="175">
        <v>44</v>
      </c>
      <c r="AS7" s="30">
        <v>45</v>
      </c>
      <c r="AT7" s="175">
        <v>46</v>
      </c>
      <c r="AU7" s="175">
        <v>46</v>
      </c>
      <c r="AV7" s="30">
        <v>47</v>
      </c>
      <c r="AW7" s="175">
        <v>48</v>
      </c>
      <c r="AX7" s="175">
        <v>49</v>
      </c>
      <c r="AY7" s="30"/>
      <c r="AZ7" s="30">
        <v>50</v>
      </c>
      <c r="BA7" s="30">
        <v>51</v>
      </c>
      <c r="BB7" s="30">
        <v>52</v>
      </c>
      <c r="BC7" s="30">
        <v>53</v>
      </c>
      <c r="BD7" s="30">
        <v>54</v>
      </c>
      <c r="BE7" s="30"/>
      <c r="BF7" s="30">
        <v>55</v>
      </c>
      <c r="BG7" s="30">
        <v>56</v>
      </c>
    </row>
    <row r="8" spans="1:59" s="17" customFormat="1" ht="13.5" thickBot="1">
      <c r="A8" s="176" t="s">
        <v>52</v>
      </c>
      <c r="B8" s="177"/>
      <c r="C8" s="177">
        <f>Лист1!C37</f>
        <v>254784.02000000002</v>
      </c>
      <c r="D8" s="177">
        <f>Лист1!D37</f>
        <v>22913.207500000004</v>
      </c>
      <c r="E8" s="177">
        <f>Лист1!E37</f>
        <v>22712.24</v>
      </c>
      <c r="F8" s="177">
        <f>Лист1!F37</f>
        <v>3824.12</v>
      </c>
      <c r="G8" s="177">
        <f>0</f>
        <v>0</v>
      </c>
      <c r="H8" s="177">
        <f>0</f>
        <v>0</v>
      </c>
      <c r="I8" s="177">
        <f>Лист1!G37</f>
        <v>30747.709999999995</v>
      </c>
      <c r="J8" s="177">
        <f>Лист1!H37</f>
        <v>5179.4400000000005</v>
      </c>
      <c r="K8" s="177">
        <f>Лист1!K37</f>
        <v>51187.92</v>
      </c>
      <c r="L8" s="177">
        <f>Лист1!L37</f>
        <v>8621.64</v>
      </c>
      <c r="M8" s="177">
        <f>Лист1!I37</f>
        <v>73900.4</v>
      </c>
      <c r="N8" s="177">
        <f>Лист1!J37</f>
        <v>12445.630000000001</v>
      </c>
      <c r="O8" s="177">
        <f>Лист1!M37</f>
        <v>18171.79</v>
      </c>
      <c r="P8" s="177">
        <f>Лист1!N37</f>
        <v>3059.2799999999997</v>
      </c>
      <c r="Q8" s="177">
        <f>'[8]Лист1'!O44</f>
        <v>0</v>
      </c>
      <c r="R8" s="177">
        <f>'[8]Лист1'!P44</f>
        <v>0</v>
      </c>
      <c r="S8" s="177">
        <f>'[8]Лист1'!Q44</f>
        <v>0</v>
      </c>
      <c r="T8" s="177">
        <f>'[8]Лист1'!R44</f>
        <v>0</v>
      </c>
      <c r="U8" s="177">
        <f>Лист1!S37</f>
        <v>196720.06</v>
      </c>
      <c r="V8" s="177">
        <f>Лист1!T37</f>
        <v>33130.11</v>
      </c>
      <c r="W8" s="177">
        <f>Лист1!U37</f>
        <v>22741.8</v>
      </c>
      <c r="X8" s="177">
        <v>0</v>
      </c>
      <c r="Y8" s="177">
        <f>Лист1!V37</f>
        <v>30778.550000000003</v>
      </c>
      <c r="Z8" s="177">
        <f>Лист1!X37</f>
        <v>51245.240000000005</v>
      </c>
      <c r="AA8" s="177">
        <f>Лист1!W37</f>
        <v>73987.37</v>
      </c>
      <c r="AB8" s="177">
        <f>Лист1!Y37</f>
        <v>18193.31</v>
      </c>
      <c r="AC8" s="177">
        <f>'[7]Лист1'!Z42</f>
        <v>0</v>
      </c>
      <c r="AD8" s="177">
        <f>'[7]Лист1'!AA42</f>
        <v>0</v>
      </c>
      <c r="AE8" s="177">
        <f>0</f>
        <v>0</v>
      </c>
      <c r="AF8" s="177">
        <f>Лист1!AB37</f>
        <v>196946.27000000002</v>
      </c>
      <c r="AG8" s="177">
        <f>Лист1!AC37</f>
        <v>252989.58749999997</v>
      </c>
      <c r="AH8" s="177">
        <f>'[7]Лист1'!AD42</f>
        <v>0</v>
      </c>
      <c r="AI8" s="177">
        <f>'[7]Лист1'!AE42</f>
        <v>0</v>
      </c>
      <c r="AJ8" s="177">
        <f>Лист1!AF37</f>
        <v>73292.88911999999</v>
      </c>
      <c r="AK8" s="177">
        <f>Лист1!AG37</f>
        <v>20187.192000000003</v>
      </c>
      <c r="AL8" s="177">
        <f>Лист1!AH37</f>
        <v>5805.212104400002</v>
      </c>
      <c r="AM8" s="177">
        <f>Лист1!AI37+Лист1!AJ37</f>
        <v>31482.698571695</v>
      </c>
      <c r="AN8" s="177">
        <v>0</v>
      </c>
      <c r="AO8" s="177">
        <f>Лист1!AK37+Лист1!AL37</f>
        <v>36735.572</v>
      </c>
      <c r="AP8" s="177">
        <f>Лист1!AM37</f>
        <v>64648.89000000001</v>
      </c>
      <c r="AQ8" s="177">
        <v>0</v>
      </c>
      <c r="AR8" s="177">
        <v>0</v>
      </c>
      <c r="AS8" s="177">
        <v>0</v>
      </c>
      <c r="AT8" s="177">
        <f>Лист1!AO37</f>
        <v>2608.2000000000003</v>
      </c>
      <c r="AU8" s="177">
        <f>Лист1!AU37+Лист1!AW37</f>
        <v>56649.1398</v>
      </c>
      <c r="AV8" s="177">
        <v>0</v>
      </c>
      <c r="AW8" s="177">
        <f>Лист1!AV37</f>
        <v>24956.77</v>
      </c>
      <c r="AX8" s="177">
        <f>Лист1!AS37+Лист1!AT37</f>
        <v>17907.212799999998</v>
      </c>
      <c r="AY8" s="178">
        <f>Лист1!AZ37</f>
        <v>5388.768</v>
      </c>
      <c r="AZ8" s="178">
        <f>'[8]Лист1'!AY44</f>
        <v>0</v>
      </c>
      <c r="BA8" s="178">
        <v>0</v>
      </c>
      <c r="BB8" s="178">
        <v>0</v>
      </c>
      <c r="BC8" s="178">
        <f>Лист1!BD37</f>
        <v>266369.64951228676</v>
      </c>
      <c r="BD8" s="177">
        <f>Лист1!BG37</f>
        <v>14767.116000000004</v>
      </c>
      <c r="BE8" s="179">
        <f>BC8+BD8</f>
        <v>281136.76551228674</v>
      </c>
      <c r="BF8" s="180">
        <f>Лист1!BH37</f>
        <v>45145.71110771323</v>
      </c>
      <c r="BG8" s="180">
        <f>Лист1!BI37</f>
        <v>226.20999999999822</v>
      </c>
    </row>
    <row r="9" spans="1:59" ht="12.75">
      <c r="A9" s="5" t="s">
        <v>114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181"/>
      <c r="BF9" s="180"/>
      <c r="BG9" s="180"/>
    </row>
    <row r="10" spans="1:59" ht="12.75">
      <c r="A10" s="7" t="s">
        <v>43</v>
      </c>
      <c r="B10" s="139">
        <v>1226.7</v>
      </c>
      <c r="C10" s="140">
        <f aca="true" t="shared" si="0" ref="C10:C15">B10*8.55</f>
        <v>10488.285000000002</v>
      </c>
      <c r="D10" s="182">
        <v>96.594</v>
      </c>
      <c r="E10" s="144">
        <v>1.01</v>
      </c>
      <c r="F10" s="144">
        <v>0</v>
      </c>
      <c r="G10" s="141">
        <v>6457.28</v>
      </c>
      <c r="H10" s="141">
        <v>0</v>
      </c>
      <c r="I10" s="141">
        <v>1.31</v>
      </c>
      <c r="J10" s="141">
        <v>0</v>
      </c>
      <c r="K10" s="141">
        <v>2.21</v>
      </c>
      <c r="L10" s="141">
        <v>0</v>
      </c>
      <c r="M10" s="141">
        <v>3138.85</v>
      </c>
      <c r="N10" s="141">
        <v>0</v>
      </c>
      <c r="O10" s="142">
        <v>1088.3</v>
      </c>
      <c r="P10" s="238">
        <v>0</v>
      </c>
      <c r="Q10" s="239">
        <v>0</v>
      </c>
      <c r="R10" s="240">
        <v>0</v>
      </c>
      <c r="S10" s="241">
        <v>0</v>
      </c>
      <c r="T10" s="242">
        <v>0</v>
      </c>
      <c r="U10" s="243">
        <f aca="true" t="shared" si="1" ref="U10:V19">E10+G10+I10+K10+M10+O10+Q10+S10</f>
        <v>10688.96</v>
      </c>
      <c r="V10" s="244">
        <f t="shared" si="1"/>
        <v>0</v>
      </c>
      <c r="W10" s="141">
        <v>959.94</v>
      </c>
      <c r="X10" s="141"/>
      <c r="Y10" s="141">
        <v>1300.89</v>
      </c>
      <c r="Z10" s="141">
        <v>2164.88</v>
      </c>
      <c r="AA10" s="141">
        <v>3124.8</v>
      </c>
      <c r="AB10" s="141">
        <v>767.96</v>
      </c>
      <c r="AC10" s="141">
        <v>0</v>
      </c>
      <c r="AD10" s="144">
        <v>0</v>
      </c>
      <c r="AE10" s="245">
        <v>0</v>
      </c>
      <c r="AF10" s="245">
        <f>SUM(W10:AE10)</f>
        <v>8318.470000000001</v>
      </c>
      <c r="AG10" s="183">
        <f>AF10+V10+D10</f>
        <v>8415.064</v>
      </c>
      <c r="AH10" s="184">
        <f aca="true" t="shared" si="2" ref="AH10:AI19">AC10</f>
        <v>0</v>
      </c>
      <c r="AI10" s="184">
        <f t="shared" si="2"/>
        <v>0</v>
      </c>
      <c r="AJ10" s="147">
        <f>'[11]Т01'!$I$8+'[11]Т01'!$I$149</f>
        <v>3138.618</v>
      </c>
      <c r="AK10" s="148">
        <f aca="true" t="shared" si="3" ref="AK10:AK18">0.67*B10</f>
        <v>821.8890000000001</v>
      </c>
      <c r="AL10" s="148">
        <f aca="true" t="shared" si="4" ref="AL10:AL18">B10*0.2</f>
        <v>245.34000000000003</v>
      </c>
      <c r="AM10" s="148">
        <f aca="true" t="shared" si="5" ref="AM10:AM18">B10*1</f>
        <v>1226.7</v>
      </c>
      <c r="AN10" s="148">
        <f aca="true" t="shared" si="6" ref="AN10:AN19">B10*0.21</f>
        <v>257.607</v>
      </c>
      <c r="AO10" s="148">
        <f aca="true" t="shared" si="7" ref="AO10:AO19">2.02*B10</f>
        <v>2477.934</v>
      </c>
      <c r="AP10" s="148">
        <f aca="true" t="shared" si="8" ref="AP10:AP19">B10*1.03</f>
        <v>1263.501</v>
      </c>
      <c r="AQ10" s="148">
        <f aca="true" t="shared" si="9" ref="AQ10:AQ19">B10*0.75</f>
        <v>920.0250000000001</v>
      </c>
      <c r="AR10" s="148">
        <f aca="true" t="shared" si="10" ref="AR10:AR19">B10*0.75</f>
        <v>920.0250000000001</v>
      </c>
      <c r="AS10" s="148">
        <f>B10*1.15</f>
        <v>1410.705</v>
      </c>
      <c r="AT10" s="148"/>
      <c r="AU10" s="150"/>
      <c r="AV10" s="149"/>
      <c r="AW10" s="150"/>
      <c r="AX10" s="150">
        <f>9.7+577.5</f>
        <v>587.2</v>
      </c>
      <c r="AY10" s="93"/>
      <c r="AZ10" s="153"/>
      <c r="BA10" s="153">
        <f>AZ10*0.18</f>
        <v>0</v>
      </c>
      <c r="BB10" s="153">
        <f aca="true" t="shared" si="11" ref="BB10:BB21">SUM(AK10:BA10)</f>
        <v>10130.926000000001</v>
      </c>
      <c r="BC10" s="154">
        <f>'[11]Т01'!$R$8+'[11]Т01'!$R$149</f>
        <v>1876.731</v>
      </c>
      <c r="BD10" s="185">
        <f>BB10+BC10</f>
        <v>12007.657000000001</v>
      </c>
      <c r="BE10" s="186">
        <f aca="true" t="shared" si="12" ref="BE10:BE21">AG10+AJ10-BD10</f>
        <v>-453.97500000000036</v>
      </c>
      <c r="BF10" s="180">
        <f>AF10-U10</f>
        <v>-2370.489999999998</v>
      </c>
      <c r="BG10" s="187"/>
    </row>
    <row r="11" spans="1:59" ht="12.75">
      <c r="A11" s="7" t="s">
        <v>44</v>
      </c>
      <c r="B11" s="139">
        <v>1226.7</v>
      </c>
      <c r="C11" s="140">
        <f t="shared" si="0"/>
        <v>10488.285000000002</v>
      </c>
      <c r="D11" s="182">
        <v>96.594</v>
      </c>
      <c r="E11" s="144">
        <v>0</v>
      </c>
      <c r="F11" s="144">
        <v>0</v>
      </c>
      <c r="G11" s="141">
        <v>6457.28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3135.64</v>
      </c>
      <c r="N11" s="141">
        <v>0</v>
      </c>
      <c r="O11" s="142">
        <v>1087.47</v>
      </c>
      <c r="P11" s="143">
        <v>0</v>
      </c>
      <c r="Q11" s="144">
        <v>0</v>
      </c>
      <c r="R11" s="144">
        <v>0</v>
      </c>
      <c r="S11" s="144">
        <v>0</v>
      </c>
      <c r="T11" s="141">
        <v>0</v>
      </c>
      <c r="U11" s="246">
        <f t="shared" si="1"/>
        <v>10680.39</v>
      </c>
      <c r="V11" s="244">
        <f t="shared" si="1"/>
        <v>0</v>
      </c>
      <c r="W11" s="141">
        <v>281.78</v>
      </c>
      <c r="X11" s="144">
        <v>4676.97</v>
      </c>
      <c r="Y11" s="141">
        <v>381.89</v>
      </c>
      <c r="Z11" s="141">
        <v>635.5</v>
      </c>
      <c r="AA11" s="141">
        <v>3147.26</v>
      </c>
      <c r="AB11" s="141">
        <v>1003.03</v>
      </c>
      <c r="AC11" s="141">
        <v>0</v>
      </c>
      <c r="AD11" s="144">
        <v>0</v>
      </c>
      <c r="AE11" s="144">
        <v>0</v>
      </c>
      <c r="AF11" s="245">
        <f>SUM(W11:AE11)</f>
        <v>10126.430000000002</v>
      </c>
      <c r="AG11" s="183">
        <f>AF11+V11+D11</f>
        <v>10223.024000000001</v>
      </c>
      <c r="AH11" s="184">
        <f t="shared" si="2"/>
        <v>0</v>
      </c>
      <c r="AI11" s="184">
        <f t="shared" si="2"/>
        <v>0</v>
      </c>
      <c r="AJ11" s="147">
        <f>'[11]Т02'!$J$8+'[11]Т02'!$J$151</f>
        <v>3138.618</v>
      </c>
      <c r="AK11" s="148">
        <f t="shared" si="3"/>
        <v>821.8890000000001</v>
      </c>
      <c r="AL11" s="148">
        <f t="shared" si="4"/>
        <v>245.34000000000003</v>
      </c>
      <c r="AM11" s="148">
        <f t="shared" si="5"/>
        <v>1226.7</v>
      </c>
      <c r="AN11" s="148">
        <f t="shared" si="6"/>
        <v>257.607</v>
      </c>
      <c r="AO11" s="148">
        <f t="shared" si="7"/>
        <v>2477.934</v>
      </c>
      <c r="AP11" s="148">
        <f t="shared" si="8"/>
        <v>1263.501</v>
      </c>
      <c r="AQ11" s="148">
        <f t="shared" si="9"/>
        <v>920.0250000000001</v>
      </c>
      <c r="AR11" s="148">
        <f t="shared" si="10"/>
        <v>920.0250000000001</v>
      </c>
      <c r="AS11" s="148">
        <f>B11*1.15</f>
        <v>1410.705</v>
      </c>
      <c r="AT11" s="148">
        <f aca="true" t="shared" si="13" ref="AT11:AT21">0.45*483</f>
        <v>217.35</v>
      </c>
      <c r="AU11" s="150"/>
      <c r="AV11" s="149"/>
      <c r="AW11" s="150"/>
      <c r="AX11" s="150">
        <f>22.56</f>
        <v>22.56</v>
      </c>
      <c r="AY11" s="93"/>
      <c r="AZ11" s="153"/>
      <c r="BA11" s="153">
        <f>AZ11*0.18</f>
        <v>0</v>
      </c>
      <c r="BB11" s="153">
        <f t="shared" si="11"/>
        <v>9783.636</v>
      </c>
      <c r="BC11" s="154">
        <f>'[11]Т02'!$S$8+'[11]Т02'!$S$150</f>
        <v>1876.731</v>
      </c>
      <c r="BD11" s="185">
        <f aca="true" t="shared" si="14" ref="BD11:BD21">BB11+BC11</f>
        <v>11660.367</v>
      </c>
      <c r="BE11" s="186">
        <f t="shared" si="12"/>
        <v>1701.2750000000015</v>
      </c>
      <c r="BF11" s="180">
        <f aca="true" t="shared" si="15" ref="BF11:BF21">AF11-U11</f>
        <v>-553.9599999999973</v>
      </c>
      <c r="BG11" s="460"/>
    </row>
    <row r="12" spans="1:59" ht="12.75">
      <c r="A12" s="7" t="s">
        <v>45</v>
      </c>
      <c r="B12" s="139">
        <v>1226.7</v>
      </c>
      <c r="C12" s="140">
        <f t="shared" si="0"/>
        <v>10488.285000000002</v>
      </c>
      <c r="D12" s="182">
        <v>96.594</v>
      </c>
      <c r="E12" s="144">
        <v>0</v>
      </c>
      <c r="F12" s="144">
        <v>0</v>
      </c>
      <c r="G12" s="141">
        <v>6457.28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3135.63</v>
      </c>
      <c r="N12" s="141">
        <v>0</v>
      </c>
      <c r="O12" s="142">
        <v>1087.48</v>
      </c>
      <c r="P12" s="247">
        <v>0</v>
      </c>
      <c r="Q12" s="248">
        <v>0</v>
      </c>
      <c r="R12" s="248">
        <v>0</v>
      </c>
      <c r="S12" s="248">
        <v>0</v>
      </c>
      <c r="T12" s="141">
        <v>0</v>
      </c>
      <c r="U12" s="141">
        <f t="shared" si="1"/>
        <v>10680.39</v>
      </c>
      <c r="V12" s="145">
        <f t="shared" si="1"/>
        <v>0</v>
      </c>
      <c r="W12" s="155">
        <v>87.75</v>
      </c>
      <c r="X12" s="144">
        <v>6455.78</v>
      </c>
      <c r="Y12" s="141">
        <v>118.86</v>
      </c>
      <c r="Z12" s="141">
        <v>197.87</v>
      </c>
      <c r="AA12" s="141">
        <v>3175.2</v>
      </c>
      <c r="AB12" s="141">
        <v>1097.11</v>
      </c>
      <c r="AC12" s="141">
        <v>0</v>
      </c>
      <c r="AD12" s="144">
        <v>0</v>
      </c>
      <c r="AE12" s="141">
        <v>0</v>
      </c>
      <c r="AF12" s="249">
        <f>SUM(W12:AE12)</f>
        <v>11132.57</v>
      </c>
      <c r="AG12" s="183">
        <f>AF12+V12+D12</f>
        <v>11229.163999999999</v>
      </c>
      <c r="AH12" s="184">
        <f t="shared" si="2"/>
        <v>0</v>
      </c>
      <c r="AI12" s="184">
        <f t="shared" si="2"/>
        <v>0</v>
      </c>
      <c r="AJ12" s="147">
        <f>'[11]Т03'!$J$8+'[11]Т03'!$J$151</f>
        <v>3138.618</v>
      </c>
      <c r="AK12" s="148">
        <f t="shared" si="3"/>
        <v>821.8890000000001</v>
      </c>
      <c r="AL12" s="148">
        <f t="shared" si="4"/>
        <v>245.34000000000003</v>
      </c>
      <c r="AM12" s="148">
        <f t="shared" si="5"/>
        <v>1226.7</v>
      </c>
      <c r="AN12" s="148">
        <f t="shared" si="6"/>
        <v>257.607</v>
      </c>
      <c r="AO12" s="148">
        <f t="shared" si="7"/>
        <v>2477.934</v>
      </c>
      <c r="AP12" s="148">
        <f t="shared" si="8"/>
        <v>1263.501</v>
      </c>
      <c r="AQ12" s="148">
        <f t="shared" si="9"/>
        <v>920.0250000000001</v>
      </c>
      <c r="AR12" s="148">
        <f t="shared" si="10"/>
        <v>920.0250000000001</v>
      </c>
      <c r="AS12" s="148">
        <f>B12*1.15</f>
        <v>1410.705</v>
      </c>
      <c r="AT12" s="148">
        <f t="shared" si="13"/>
        <v>217.35</v>
      </c>
      <c r="AU12" s="150"/>
      <c r="AV12" s="250"/>
      <c r="AW12" s="150"/>
      <c r="AX12" s="150"/>
      <c r="AY12" s="93"/>
      <c r="AZ12" s="153"/>
      <c r="BA12" s="153">
        <f>AZ12*0.18</f>
        <v>0</v>
      </c>
      <c r="BB12" s="153">
        <f t="shared" si="11"/>
        <v>9761.076000000001</v>
      </c>
      <c r="BC12" s="154">
        <f>'[11]Т03'!$S$8+'[11]Т03'!$S$151</f>
        <v>1876.731</v>
      </c>
      <c r="BD12" s="185">
        <f t="shared" si="14"/>
        <v>11637.807</v>
      </c>
      <c r="BE12" s="186">
        <f t="shared" si="12"/>
        <v>2729.9749999999985</v>
      </c>
      <c r="BF12" s="180">
        <f t="shared" si="15"/>
        <v>452.1800000000003</v>
      </c>
      <c r="BG12" s="460"/>
    </row>
    <row r="13" spans="1:59" ht="12.75">
      <c r="A13" s="7" t="s">
        <v>46</v>
      </c>
      <c r="B13" s="139">
        <v>1226.7</v>
      </c>
      <c r="C13" s="140">
        <f t="shared" si="0"/>
        <v>10488.285000000002</v>
      </c>
      <c r="D13" s="182">
        <v>96.594</v>
      </c>
      <c r="E13" s="241">
        <v>0</v>
      </c>
      <c r="F13" s="144">
        <v>0</v>
      </c>
      <c r="G13" s="155">
        <v>6457.28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3135.63</v>
      </c>
      <c r="N13" s="141">
        <v>0</v>
      </c>
      <c r="O13" s="142">
        <v>1087.48</v>
      </c>
      <c r="P13" s="238">
        <v>0</v>
      </c>
      <c r="Q13" s="247">
        <v>0</v>
      </c>
      <c r="R13" s="238">
        <v>0</v>
      </c>
      <c r="S13" s="251">
        <v>0</v>
      </c>
      <c r="T13" s="242">
        <v>0</v>
      </c>
      <c r="U13" s="246">
        <f t="shared" si="1"/>
        <v>10680.39</v>
      </c>
      <c r="V13" s="145">
        <f t="shared" si="1"/>
        <v>0</v>
      </c>
      <c r="W13" s="141">
        <v>27.86</v>
      </c>
      <c r="X13" s="144">
        <v>5801.33</v>
      </c>
      <c r="Y13" s="141">
        <v>37.76</v>
      </c>
      <c r="Z13" s="141">
        <v>62.82</v>
      </c>
      <c r="AA13" s="141">
        <v>2935.94</v>
      </c>
      <c r="AB13" s="144">
        <v>1006.2</v>
      </c>
      <c r="AC13" s="141">
        <v>0</v>
      </c>
      <c r="AD13" s="144">
        <v>0</v>
      </c>
      <c r="AE13" s="144">
        <v>0</v>
      </c>
      <c r="AF13" s="245">
        <f>SUM(W13:AD13)</f>
        <v>9871.91</v>
      </c>
      <c r="AG13" s="252">
        <f>AF13+V13+D13</f>
        <v>9968.503999999999</v>
      </c>
      <c r="AH13" s="253">
        <f t="shared" si="2"/>
        <v>0</v>
      </c>
      <c r="AI13" s="253">
        <f t="shared" si="2"/>
        <v>0</v>
      </c>
      <c r="AJ13" s="254">
        <f>'[10]Т04'!$J$8+'[10]Т04'!$J$153</f>
        <v>3138.618</v>
      </c>
      <c r="AK13" s="148">
        <f t="shared" si="3"/>
        <v>821.8890000000001</v>
      </c>
      <c r="AL13" s="148">
        <f t="shared" si="4"/>
        <v>245.34000000000003</v>
      </c>
      <c r="AM13" s="148">
        <f t="shared" si="5"/>
        <v>1226.7</v>
      </c>
      <c r="AN13" s="148">
        <f t="shared" si="6"/>
        <v>257.607</v>
      </c>
      <c r="AO13" s="148">
        <f t="shared" si="7"/>
        <v>2477.934</v>
      </c>
      <c r="AP13" s="148">
        <f t="shared" si="8"/>
        <v>1263.501</v>
      </c>
      <c r="AQ13" s="148">
        <f t="shared" si="9"/>
        <v>920.0250000000001</v>
      </c>
      <c r="AR13" s="148">
        <f t="shared" si="10"/>
        <v>920.0250000000001</v>
      </c>
      <c r="AS13" s="148"/>
      <c r="AT13" s="255">
        <f t="shared" si="13"/>
        <v>217.35</v>
      </c>
      <c r="AU13" s="256"/>
      <c r="AV13" s="256"/>
      <c r="AW13" s="256"/>
      <c r="AX13" s="256">
        <f>336+45</f>
        <v>381</v>
      </c>
      <c r="AY13" s="93"/>
      <c r="AZ13" s="255"/>
      <c r="BA13" s="255"/>
      <c r="BB13" s="248">
        <f t="shared" si="11"/>
        <v>8731.371000000001</v>
      </c>
      <c r="BC13" s="257">
        <f>'[11]Т04'!$S$8+'[11]Т04'!$S$153</f>
        <v>1876.731</v>
      </c>
      <c r="BD13" s="185">
        <f t="shared" si="14"/>
        <v>10608.102</v>
      </c>
      <c r="BE13" s="186">
        <f t="shared" si="12"/>
        <v>2499.0199999999986</v>
      </c>
      <c r="BF13" s="180">
        <f t="shared" si="15"/>
        <v>-808.4799999999996</v>
      </c>
      <c r="BG13" s="460"/>
    </row>
    <row r="14" spans="1:59" ht="12.75">
      <c r="A14" s="7" t="s">
        <v>47</v>
      </c>
      <c r="B14" s="189">
        <v>1226.7</v>
      </c>
      <c r="C14" s="140">
        <f t="shared" si="0"/>
        <v>10488.285000000002</v>
      </c>
      <c r="D14" s="182">
        <v>96.594</v>
      </c>
      <c r="E14" s="258">
        <v>0</v>
      </c>
      <c r="F14" s="144">
        <v>0</v>
      </c>
      <c r="G14" s="141">
        <v>6457.28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3135.63</v>
      </c>
      <c r="N14" s="141">
        <v>0</v>
      </c>
      <c r="O14" s="142">
        <v>1087.48</v>
      </c>
      <c r="P14" s="238">
        <v>0</v>
      </c>
      <c r="Q14" s="248">
        <v>0</v>
      </c>
      <c r="R14" s="259">
        <v>0</v>
      </c>
      <c r="S14" s="248">
        <v>0</v>
      </c>
      <c r="T14" s="144">
        <v>0</v>
      </c>
      <c r="U14" s="241">
        <f t="shared" si="1"/>
        <v>10680.39</v>
      </c>
      <c r="V14" s="260">
        <f>F14+H14+J14+L14+N14++R14+T14</f>
        <v>0</v>
      </c>
      <c r="W14" s="141">
        <v>14.31</v>
      </c>
      <c r="X14" s="144">
        <v>5533.7</v>
      </c>
      <c r="Y14" s="141">
        <v>19.38</v>
      </c>
      <c r="Z14" s="141">
        <v>10.44</v>
      </c>
      <c r="AA14" s="141">
        <v>2530.04</v>
      </c>
      <c r="AB14" s="141">
        <v>891.02</v>
      </c>
      <c r="AC14" s="141">
        <v>0</v>
      </c>
      <c r="AD14" s="144">
        <v>0</v>
      </c>
      <c r="AE14" s="245">
        <v>0</v>
      </c>
      <c r="AF14" s="261">
        <f aca="true" t="shared" si="16" ref="AF14:AF21">SUM(W14:AE14)</f>
        <v>8998.89</v>
      </c>
      <c r="AG14" s="252">
        <f aca="true" t="shared" si="17" ref="AG14:AG19">D14+V14+AF14</f>
        <v>9095.483999999999</v>
      </c>
      <c r="AH14" s="253">
        <f t="shared" si="2"/>
        <v>0</v>
      </c>
      <c r="AI14" s="253">
        <f t="shared" si="2"/>
        <v>0</v>
      </c>
      <c r="AJ14" s="254">
        <f>'[11]Т05'!$J$8+'[11]Т05'!$J$151</f>
        <v>3138.618</v>
      </c>
      <c r="AK14" s="148">
        <f t="shared" si="3"/>
        <v>821.8890000000001</v>
      </c>
      <c r="AL14" s="148">
        <f t="shared" si="4"/>
        <v>245.34000000000003</v>
      </c>
      <c r="AM14" s="148">
        <f t="shared" si="5"/>
        <v>1226.7</v>
      </c>
      <c r="AN14" s="148">
        <f t="shared" si="6"/>
        <v>257.607</v>
      </c>
      <c r="AO14" s="148">
        <f t="shared" si="7"/>
        <v>2477.934</v>
      </c>
      <c r="AP14" s="148">
        <f t="shared" si="8"/>
        <v>1263.501</v>
      </c>
      <c r="AQ14" s="148">
        <f t="shared" si="9"/>
        <v>920.0250000000001</v>
      </c>
      <c r="AR14" s="148">
        <f t="shared" si="10"/>
        <v>920.0250000000001</v>
      </c>
      <c r="AS14" s="148"/>
      <c r="AT14" s="255">
        <f t="shared" si="13"/>
        <v>217.35</v>
      </c>
      <c r="AU14" s="256">
        <v>1038</v>
      </c>
      <c r="AV14" s="256"/>
      <c r="AW14" s="256"/>
      <c r="AX14" s="256">
        <f>13+39.83+125</f>
        <v>177.82999999999998</v>
      </c>
      <c r="AY14" s="93"/>
      <c r="AZ14" s="255"/>
      <c r="BA14" s="255"/>
      <c r="BB14" s="248">
        <f t="shared" si="11"/>
        <v>9566.201000000001</v>
      </c>
      <c r="BC14" s="257">
        <f>'[11]Т05'!$S$8+'[11]Т05'!$S$151</f>
        <v>1876.731</v>
      </c>
      <c r="BD14" s="185">
        <f t="shared" si="14"/>
        <v>11442.932</v>
      </c>
      <c r="BE14" s="186">
        <f t="shared" si="12"/>
        <v>791.1699999999983</v>
      </c>
      <c r="BF14" s="180">
        <f t="shared" si="15"/>
        <v>-1681.5</v>
      </c>
      <c r="BG14" s="460"/>
    </row>
    <row r="15" spans="1:59" ht="12.75">
      <c r="A15" s="7" t="s">
        <v>48</v>
      </c>
      <c r="B15" s="139">
        <v>1226.7</v>
      </c>
      <c r="C15" s="140">
        <f t="shared" si="0"/>
        <v>10488.285000000002</v>
      </c>
      <c r="D15" s="182">
        <v>96.594</v>
      </c>
      <c r="E15" s="190">
        <v>0</v>
      </c>
      <c r="F15" s="190"/>
      <c r="G15" s="190">
        <v>6457.28</v>
      </c>
      <c r="H15" s="190"/>
      <c r="I15" s="262">
        <v>0</v>
      </c>
      <c r="J15" s="262"/>
      <c r="K15" s="262">
        <v>0</v>
      </c>
      <c r="L15" s="262"/>
      <c r="M15" s="262">
        <v>3135.63</v>
      </c>
      <c r="N15" s="262"/>
      <c r="O15" s="262">
        <v>1087.48</v>
      </c>
      <c r="P15" s="262"/>
      <c r="Q15" s="262">
        <v>0</v>
      </c>
      <c r="R15" s="263"/>
      <c r="S15" s="263">
        <v>0</v>
      </c>
      <c r="T15" s="262"/>
      <c r="U15" s="264">
        <f t="shared" si="1"/>
        <v>10680.39</v>
      </c>
      <c r="V15" s="265">
        <f t="shared" si="1"/>
        <v>0</v>
      </c>
      <c r="W15" s="192">
        <v>-499.98</v>
      </c>
      <c r="X15" s="190">
        <v>9436.45</v>
      </c>
      <c r="Y15" s="190">
        <v>-676.84</v>
      </c>
      <c r="Z15" s="190">
        <v>-1115.74</v>
      </c>
      <c r="AA15" s="190">
        <v>3173.78</v>
      </c>
      <c r="AB15" s="190">
        <v>1241.42</v>
      </c>
      <c r="AC15" s="190">
        <v>0</v>
      </c>
      <c r="AD15" s="190">
        <v>0</v>
      </c>
      <c r="AE15" s="191">
        <v>0</v>
      </c>
      <c r="AF15" s="194">
        <f t="shared" si="16"/>
        <v>11559.090000000002</v>
      </c>
      <c r="AG15" s="252">
        <f t="shared" si="17"/>
        <v>11655.684000000001</v>
      </c>
      <c r="AH15" s="253">
        <f t="shared" si="2"/>
        <v>0</v>
      </c>
      <c r="AI15" s="253">
        <f t="shared" si="2"/>
        <v>0</v>
      </c>
      <c r="AJ15" s="254">
        <f>'[11]Т06'!$J$8+'[11]Т06'!$J$151</f>
        <v>3138.618</v>
      </c>
      <c r="AK15" s="148">
        <f t="shared" si="3"/>
        <v>821.8890000000001</v>
      </c>
      <c r="AL15" s="148">
        <f t="shared" si="4"/>
        <v>245.34000000000003</v>
      </c>
      <c r="AM15" s="148">
        <f t="shared" si="5"/>
        <v>1226.7</v>
      </c>
      <c r="AN15" s="148">
        <f t="shared" si="6"/>
        <v>257.607</v>
      </c>
      <c r="AO15" s="148">
        <f t="shared" si="7"/>
        <v>2477.934</v>
      </c>
      <c r="AP15" s="148">
        <f t="shared" si="8"/>
        <v>1263.501</v>
      </c>
      <c r="AQ15" s="148">
        <f t="shared" si="9"/>
        <v>920.0250000000001</v>
      </c>
      <c r="AR15" s="148">
        <f t="shared" si="10"/>
        <v>920.0250000000001</v>
      </c>
      <c r="AS15" s="148"/>
      <c r="AT15" s="255">
        <f t="shared" si="13"/>
        <v>217.35</v>
      </c>
      <c r="AU15" s="256"/>
      <c r="AV15" s="256"/>
      <c r="AW15" s="256"/>
      <c r="AX15" s="256"/>
      <c r="AY15" s="148"/>
      <c r="AZ15" s="255"/>
      <c r="BA15" s="255"/>
      <c r="BB15" s="266">
        <f t="shared" si="11"/>
        <v>8350.371000000001</v>
      </c>
      <c r="BC15" s="257">
        <f>'[11]Т06'!$S$8+'[11]Т06'!$S$151</f>
        <v>1876.731</v>
      </c>
      <c r="BD15" s="185">
        <f t="shared" si="14"/>
        <v>10227.102</v>
      </c>
      <c r="BE15" s="186">
        <f t="shared" si="12"/>
        <v>4567.200000000001</v>
      </c>
      <c r="BF15" s="180">
        <f t="shared" si="15"/>
        <v>878.7000000000025</v>
      </c>
      <c r="BG15" s="187"/>
    </row>
    <row r="16" spans="1:59" ht="12.75">
      <c r="A16" s="7" t="s">
        <v>49</v>
      </c>
      <c r="B16" s="220">
        <v>1226.7</v>
      </c>
      <c r="C16" s="221">
        <f aca="true" t="shared" si="18" ref="C16:C21">B16*14.05</f>
        <v>17235.135000000002</v>
      </c>
      <c r="D16" s="182">
        <v>96.594</v>
      </c>
      <c r="E16" s="222"/>
      <c r="F16" s="222"/>
      <c r="G16" s="222">
        <v>12082.99</v>
      </c>
      <c r="H16" s="222"/>
      <c r="I16" s="222"/>
      <c r="J16" s="222"/>
      <c r="K16" s="222"/>
      <c r="L16" s="222"/>
      <c r="M16" s="222">
        <v>3680.1</v>
      </c>
      <c r="N16" s="222"/>
      <c r="O16" s="222">
        <v>1472.04</v>
      </c>
      <c r="P16" s="222"/>
      <c r="Q16" s="222"/>
      <c r="R16" s="222"/>
      <c r="S16" s="223"/>
      <c r="T16" s="224"/>
      <c r="U16" s="193">
        <f t="shared" si="1"/>
        <v>17235.13</v>
      </c>
      <c r="V16" s="267">
        <f t="shared" si="1"/>
        <v>0</v>
      </c>
      <c r="W16" s="268">
        <v>16</v>
      </c>
      <c r="X16" s="222">
        <v>6563.06</v>
      </c>
      <c r="Y16" s="222">
        <v>21.7</v>
      </c>
      <c r="Z16" s="222">
        <v>43.38</v>
      </c>
      <c r="AA16" s="222">
        <v>5260.85</v>
      </c>
      <c r="AB16" s="222">
        <v>1056.75</v>
      </c>
      <c r="AC16" s="225"/>
      <c r="AD16" s="222"/>
      <c r="AE16" s="223"/>
      <c r="AF16" s="226">
        <f t="shared" si="16"/>
        <v>12961.740000000002</v>
      </c>
      <c r="AG16" s="269">
        <f t="shared" si="17"/>
        <v>13058.334</v>
      </c>
      <c r="AH16" s="270">
        <f t="shared" si="2"/>
        <v>0</v>
      </c>
      <c r="AI16" s="270">
        <f t="shared" si="2"/>
        <v>0</v>
      </c>
      <c r="AJ16" s="227">
        <f>'[11]Т07'!$J$8+'[11]Т07'!$J$155</f>
        <v>3138.618</v>
      </c>
      <c r="AK16" s="148">
        <f t="shared" si="3"/>
        <v>821.8890000000001</v>
      </c>
      <c r="AL16" s="148">
        <f t="shared" si="4"/>
        <v>245.34000000000003</v>
      </c>
      <c r="AM16" s="148">
        <f t="shared" si="5"/>
        <v>1226.7</v>
      </c>
      <c r="AN16" s="148">
        <f t="shared" si="6"/>
        <v>257.607</v>
      </c>
      <c r="AO16" s="148">
        <f t="shared" si="7"/>
        <v>2477.934</v>
      </c>
      <c r="AP16" s="148">
        <f t="shared" si="8"/>
        <v>1263.501</v>
      </c>
      <c r="AQ16" s="148">
        <f t="shared" si="9"/>
        <v>920.0250000000001</v>
      </c>
      <c r="AR16" s="148">
        <f t="shared" si="10"/>
        <v>920.0250000000001</v>
      </c>
      <c r="AS16" s="228"/>
      <c r="AT16" s="255">
        <f t="shared" si="13"/>
        <v>217.35</v>
      </c>
      <c r="AU16" s="230"/>
      <c r="AV16" s="230"/>
      <c r="AW16" s="230"/>
      <c r="AX16" s="256">
        <f>111.43+9.43+227.135</f>
        <v>347.995</v>
      </c>
      <c r="AY16" s="228"/>
      <c r="AZ16" s="229"/>
      <c r="BA16" s="229"/>
      <c r="BB16" s="231">
        <f t="shared" si="11"/>
        <v>8698.366000000002</v>
      </c>
      <c r="BC16" s="232">
        <f>'[11]Т07'!$S$8+'[11]Т07'!$S$155</f>
        <v>1876.731</v>
      </c>
      <c r="BD16" s="185">
        <f t="shared" si="14"/>
        <v>10575.097000000002</v>
      </c>
      <c r="BE16" s="186">
        <f t="shared" si="12"/>
        <v>5621.855</v>
      </c>
      <c r="BF16" s="180">
        <f t="shared" si="15"/>
        <v>-4273.389999999999</v>
      </c>
      <c r="BG16" s="187"/>
    </row>
    <row r="17" spans="1:59" ht="12.75">
      <c r="A17" s="7" t="s">
        <v>50</v>
      </c>
      <c r="B17" s="220">
        <v>1226.7</v>
      </c>
      <c r="C17" s="221">
        <f t="shared" si="18"/>
        <v>17235.135000000002</v>
      </c>
      <c r="D17" s="182">
        <v>96.594</v>
      </c>
      <c r="E17" s="222"/>
      <c r="F17" s="222"/>
      <c r="G17" s="222">
        <v>12082.99</v>
      </c>
      <c r="H17" s="222"/>
      <c r="I17" s="222"/>
      <c r="J17" s="222"/>
      <c r="K17" s="222"/>
      <c r="L17" s="222"/>
      <c r="M17" s="222">
        <v>3680.09</v>
      </c>
      <c r="N17" s="222"/>
      <c r="O17" s="222">
        <v>1472.04</v>
      </c>
      <c r="P17" s="222"/>
      <c r="Q17" s="222"/>
      <c r="R17" s="222"/>
      <c r="S17" s="223"/>
      <c r="T17" s="271"/>
      <c r="U17" s="272">
        <f t="shared" si="1"/>
        <v>17235.12</v>
      </c>
      <c r="V17" s="273">
        <f t="shared" si="1"/>
        <v>0</v>
      </c>
      <c r="W17" s="222">
        <v>0</v>
      </c>
      <c r="X17" s="222">
        <v>10001.89</v>
      </c>
      <c r="Y17" s="222">
        <v>0</v>
      </c>
      <c r="Z17" s="222">
        <v>0</v>
      </c>
      <c r="AA17" s="222">
        <v>2884.06</v>
      </c>
      <c r="AB17" s="222">
        <v>1244.83</v>
      </c>
      <c r="AC17" s="222"/>
      <c r="AD17" s="222"/>
      <c r="AE17" s="223"/>
      <c r="AF17" s="226">
        <f t="shared" si="16"/>
        <v>14130.779999999999</v>
      </c>
      <c r="AG17" s="269">
        <f t="shared" si="17"/>
        <v>14227.373999999998</v>
      </c>
      <c r="AH17" s="270">
        <f t="shared" si="2"/>
        <v>0</v>
      </c>
      <c r="AI17" s="270">
        <f t="shared" si="2"/>
        <v>0</v>
      </c>
      <c r="AJ17" s="227">
        <f>'[11]Т08'!$J$8+'[11]Т08'!$J$159</f>
        <v>3138.618</v>
      </c>
      <c r="AK17" s="148">
        <f t="shared" si="3"/>
        <v>821.8890000000001</v>
      </c>
      <c r="AL17" s="148">
        <f t="shared" si="4"/>
        <v>245.34000000000003</v>
      </c>
      <c r="AM17" s="148">
        <f t="shared" si="5"/>
        <v>1226.7</v>
      </c>
      <c r="AN17" s="148">
        <f t="shared" si="6"/>
        <v>257.607</v>
      </c>
      <c r="AO17" s="148">
        <f t="shared" si="7"/>
        <v>2477.934</v>
      </c>
      <c r="AP17" s="148">
        <f t="shared" si="8"/>
        <v>1263.501</v>
      </c>
      <c r="AQ17" s="148">
        <f t="shared" si="9"/>
        <v>920.0250000000001</v>
      </c>
      <c r="AR17" s="148">
        <f t="shared" si="10"/>
        <v>920.0250000000001</v>
      </c>
      <c r="AS17" s="228"/>
      <c r="AT17" s="255">
        <f t="shared" si="13"/>
        <v>217.35</v>
      </c>
      <c r="AU17" s="230">
        <v>20545</v>
      </c>
      <c r="AV17" s="230"/>
      <c r="AW17" s="230">
        <v>891</v>
      </c>
      <c r="AX17" s="230"/>
      <c r="AY17" s="228"/>
      <c r="AZ17" s="229"/>
      <c r="BA17" s="229"/>
      <c r="BB17" s="231">
        <f t="shared" si="11"/>
        <v>29786.371</v>
      </c>
      <c r="BC17" s="232">
        <f>'[11]Т08'!$S$159+'[11]Т08'!$S$8</f>
        <v>1876.731</v>
      </c>
      <c r="BD17" s="185">
        <f t="shared" si="14"/>
        <v>31663.102</v>
      </c>
      <c r="BE17" s="186">
        <f t="shared" si="12"/>
        <v>-14297.11</v>
      </c>
      <c r="BF17" s="180">
        <f t="shared" si="15"/>
        <v>-3104.34</v>
      </c>
      <c r="BG17" s="187"/>
    </row>
    <row r="18" spans="1:59" ht="12.75">
      <c r="A18" s="7" t="s">
        <v>51</v>
      </c>
      <c r="B18" s="139">
        <v>1226.7</v>
      </c>
      <c r="C18" s="221">
        <f t="shared" si="18"/>
        <v>17235.135000000002</v>
      </c>
      <c r="D18" s="182">
        <v>96.594</v>
      </c>
      <c r="E18" s="222"/>
      <c r="F18" s="222"/>
      <c r="G18" s="222">
        <v>12083.05</v>
      </c>
      <c r="H18" s="222"/>
      <c r="I18" s="222"/>
      <c r="J18" s="222"/>
      <c r="K18" s="222"/>
      <c r="L18" s="222"/>
      <c r="M18" s="222">
        <v>3680.1</v>
      </c>
      <c r="N18" s="222"/>
      <c r="O18" s="222">
        <v>1472.04</v>
      </c>
      <c r="P18" s="222"/>
      <c r="Q18" s="222"/>
      <c r="R18" s="222"/>
      <c r="S18" s="223"/>
      <c r="T18" s="274"/>
      <c r="U18" s="274">
        <f t="shared" si="1"/>
        <v>17235.19</v>
      </c>
      <c r="V18" s="275">
        <f t="shared" si="1"/>
        <v>0</v>
      </c>
      <c r="W18" s="222">
        <v>0</v>
      </c>
      <c r="X18" s="222">
        <v>11920.27</v>
      </c>
      <c r="Y18" s="222">
        <v>0</v>
      </c>
      <c r="Z18" s="222">
        <v>2.23</v>
      </c>
      <c r="AA18" s="222">
        <v>3483.68</v>
      </c>
      <c r="AB18" s="222">
        <v>1490.71</v>
      </c>
      <c r="AC18" s="222"/>
      <c r="AD18" s="222"/>
      <c r="AE18" s="223"/>
      <c r="AF18" s="226">
        <f t="shared" si="16"/>
        <v>16896.89</v>
      </c>
      <c r="AG18" s="269">
        <f t="shared" si="17"/>
        <v>16993.484</v>
      </c>
      <c r="AH18" s="270">
        <f t="shared" si="2"/>
        <v>0</v>
      </c>
      <c r="AI18" s="270">
        <f t="shared" si="2"/>
        <v>0</v>
      </c>
      <c r="AJ18" s="227">
        <f>'[11]Т09'!$J$8+'[11]Т09'!$J$159</f>
        <v>3138.618</v>
      </c>
      <c r="AK18" s="148">
        <f t="shared" si="3"/>
        <v>821.8890000000001</v>
      </c>
      <c r="AL18" s="148">
        <f t="shared" si="4"/>
        <v>245.34000000000003</v>
      </c>
      <c r="AM18" s="148">
        <f t="shared" si="5"/>
        <v>1226.7</v>
      </c>
      <c r="AN18" s="148">
        <f t="shared" si="6"/>
        <v>257.607</v>
      </c>
      <c r="AO18" s="148">
        <f t="shared" si="7"/>
        <v>2477.934</v>
      </c>
      <c r="AP18" s="148">
        <f t="shared" si="8"/>
        <v>1263.501</v>
      </c>
      <c r="AQ18" s="148">
        <f t="shared" si="9"/>
        <v>920.0250000000001</v>
      </c>
      <c r="AR18" s="148">
        <f t="shared" si="10"/>
        <v>920.0250000000001</v>
      </c>
      <c r="AS18" s="228"/>
      <c r="AT18" s="255">
        <f t="shared" si="13"/>
        <v>217.35</v>
      </c>
      <c r="AU18" s="230"/>
      <c r="AV18" s="230"/>
      <c r="AW18" s="230"/>
      <c r="AX18" s="230"/>
      <c r="AY18" s="228"/>
      <c r="AZ18" s="229"/>
      <c r="BA18" s="229"/>
      <c r="BB18" s="231">
        <f t="shared" si="11"/>
        <v>8350.371000000001</v>
      </c>
      <c r="BC18" s="232">
        <f>'[11]Т08'!$S$159+'[11]Т08'!$S$8</f>
        <v>1876.731</v>
      </c>
      <c r="BD18" s="185">
        <f t="shared" si="14"/>
        <v>10227.102</v>
      </c>
      <c r="BE18" s="186">
        <f t="shared" si="12"/>
        <v>9904.999999999998</v>
      </c>
      <c r="BF18" s="180">
        <f t="shared" si="15"/>
        <v>-338.2999999999993</v>
      </c>
      <c r="BG18" s="187"/>
    </row>
    <row r="19" spans="1:59" ht="12.75">
      <c r="A19" s="7" t="s">
        <v>39</v>
      </c>
      <c r="B19" s="139">
        <v>1226.7</v>
      </c>
      <c r="C19" s="221">
        <f t="shared" si="18"/>
        <v>17235.135000000002</v>
      </c>
      <c r="D19" s="182">
        <v>96.594</v>
      </c>
      <c r="E19" s="190"/>
      <c r="F19" s="190"/>
      <c r="G19" s="190">
        <v>12083.05</v>
      </c>
      <c r="H19" s="190"/>
      <c r="I19" s="190"/>
      <c r="J19" s="190"/>
      <c r="K19" s="190"/>
      <c r="L19" s="190"/>
      <c r="M19" s="190">
        <v>3680.1</v>
      </c>
      <c r="N19" s="190"/>
      <c r="O19" s="190">
        <v>1472.04</v>
      </c>
      <c r="P19" s="190"/>
      <c r="Q19" s="190"/>
      <c r="R19" s="190"/>
      <c r="S19" s="191"/>
      <c r="T19" s="276"/>
      <c r="U19" s="277">
        <f t="shared" si="1"/>
        <v>17235.19</v>
      </c>
      <c r="V19" s="278">
        <f t="shared" si="1"/>
        <v>0</v>
      </c>
      <c r="W19" s="190">
        <v>0</v>
      </c>
      <c r="X19" s="190">
        <v>12794.51</v>
      </c>
      <c r="Y19" s="190">
        <v>0</v>
      </c>
      <c r="Z19" s="190">
        <v>0</v>
      </c>
      <c r="AA19" s="190">
        <v>3896.73</v>
      </c>
      <c r="AB19" s="190">
        <v>1558.71</v>
      </c>
      <c r="AC19" s="190"/>
      <c r="AD19" s="190"/>
      <c r="AE19" s="191"/>
      <c r="AF19" s="226">
        <f t="shared" si="16"/>
        <v>18249.95</v>
      </c>
      <c r="AG19" s="269">
        <f t="shared" si="17"/>
        <v>18346.544</v>
      </c>
      <c r="AH19" s="270">
        <f t="shared" si="2"/>
        <v>0</v>
      </c>
      <c r="AI19" s="270">
        <f t="shared" si="2"/>
        <v>0</v>
      </c>
      <c r="AJ19" s="227">
        <f>'[9]Т10'!$J$8+'[9]Т10'!$J$159</f>
        <v>3138.618</v>
      </c>
      <c r="AK19" s="148">
        <f>0.67*B19</f>
        <v>821.8890000000001</v>
      </c>
      <c r="AL19" s="148">
        <f>B19*0.2</f>
        <v>245.34000000000003</v>
      </c>
      <c r="AM19" s="148">
        <f>B19*1</f>
        <v>1226.7</v>
      </c>
      <c r="AN19" s="148">
        <f t="shared" si="6"/>
        <v>257.607</v>
      </c>
      <c r="AO19" s="148">
        <f t="shared" si="7"/>
        <v>2477.934</v>
      </c>
      <c r="AP19" s="148">
        <f t="shared" si="8"/>
        <v>1263.501</v>
      </c>
      <c r="AQ19" s="148">
        <f t="shared" si="9"/>
        <v>920.0250000000001</v>
      </c>
      <c r="AR19" s="148">
        <f t="shared" si="10"/>
        <v>920.0250000000001</v>
      </c>
      <c r="AS19" s="279">
        <f>B19*1.15</f>
        <v>1410.705</v>
      </c>
      <c r="AT19" s="255">
        <f t="shared" si="13"/>
        <v>217.35</v>
      </c>
      <c r="AU19" s="230"/>
      <c r="AV19" s="230"/>
      <c r="AW19" s="230"/>
      <c r="AX19" s="230"/>
      <c r="AY19" s="228"/>
      <c r="AZ19" s="229"/>
      <c r="BA19" s="229"/>
      <c r="BB19" s="231">
        <f t="shared" si="11"/>
        <v>9761.076000000001</v>
      </c>
      <c r="BC19" s="232">
        <f>'[9]Т10'!$S$8+'[9]Т10'!$S$159</f>
        <v>1876.731</v>
      </c>
      <c r="BD19" s="185">
        <f t="shared" si="14"/>
        <v>11637.807</v>
      </c>
      <c r="BE19" s="186">
        <f t="shared" si="12"/>
        <v>9847.355</v>
      </c>
      <c r="BF19" s="180">
        <f t="shared" si="15"/>
        <v>1014.760000000002</v>
      </c>
      <c r="BG19" s="187"/>
    </row>
    <row r="20" spans="1:59" ht="12.75">
      <c r="A20" s="7" t="s">
        <v>40</v>
      </c>
      <c r="B20" s="139">
        <v>1226.7</v>
      </c>
      <c r="C20" s="140">
        <f t="shared" si="18"/>
        <v>17235.135000000002</v>
      </c>
      <c r="D20" s="182">
        <v>96.594</v>
      </c>
      <c r="E20" s="190"/>
      <c r="F20" s="190"/>
      <c r="G20" s="190">
        <v>12083.04</v>
      </c>
      <c r="H20" s="190"/>
      <c r="I20" s="190"/>
      <c r="J20" s="190"/>
      <c r="K20" s="190"/>
      <c r="L20" s="190"/>
      <c r="M20" s="190">
        <v>3680.1</v>
      </c>
      <c r="N20" s="190"/>
      <c r="O20" s="190">
        <v>1472.04</v>
      </c>
      <c r="P20" s="190"/>
      <c r="Q20" s="190"/>
      <c r="R20" s="190"/>
      <c r="S20" s="191"/>
      <c r="T20" s="276"/>
      <c r="U20" s="277">
        <f>E20+G20+I20+K20+M20+O20+Q20+S20</f>
        <v>17235.18</v>
      </c>
      <c r="V20" s="278">
        <f>F20+H20+J20+L20+N20+P20+R20+T20</f>
        <v>0</v>
      </c>
      <c r="W20" s="190">
        <v>0</v>
      </c>
      <c r="X20" s="190">
        <v>11668.65</v>
      </c>
      <c r="Y20" s="190">
        <v>0</v>
      </c>
      <c r="Z20" s="190">
        <v>0</v>
      </c>
      <c r="AA20" s="190">
        <v>3553.88</v>
      </c>
      <c r="AB20" s="190">
        <v>1421.56</v>
      </c>
      <c r="AC20" s="190"/>
      <c r="AD20" s="190"/>
      <c r="AE20" s="191"/>
      <c r="AF20" s="226">
        <f t="shared" si="16"/>
        <v>16644.09</v>
      </c>
      <c r="AG20" s="269">
        <f>D20+V20+AF20</f>
        <v>16740.684</v>
      </c>
      <c r="AH20" s="270">
        <f>AC20</f>
        <v>0</v>
      </c>
      <c r="AI20" s="270">
        <f>AD20</f>
        <v>0</v>
      </c>
      <c r="AJ20" s="227">
        <f>'[9]Т11'!$J$8+'[9]Т11'!$J$159</f>
        <v>3138.618</v>
      </c>
      <c r="AK20" s="148">
        <f>0.67*B20</f>
        <v>821.8890000000001</v>
      </c>
      <c r="AL20" s="148">
        <f>B20*0.2</f>
        <v>245.34000000000003</v>
      </c>
      <c r="AM20" s="148">
        <f>B20*1</f>
        <v>1226.7</v>
      </c>
      <c r="AN20" s="148">
        <f>B20*0.21</f>
        <v>257.607</v>
      </c>
      <c r="AO20" s="148">
        <f>2.02*B20</f>
        <v>2477.934</v>
      </c>
      <c r="AP20" s="148">
        <f>B20*1.03</f>
        <v>1263.501</v>
      </c>
      <c r="AQ20" s="148">
        <f>B20*0.75</f>
        <v>920.0250000000001</v>
      </c>
      <c r="AR20" s="148">
        <f>B20*0.75</f>
        <v>920.0250000000001</v>
      </c>
      <c r="AS20" s="279">
        <f>B20*1.15</f>
        <v>1410.705</v>
      </c>
      <c r="AT20" s="255">
        <f t="shared" si="13"/>
        <v>217.35</v>
      </c>
      <c r="AU20" s="230">
        <v>670</v>
      </c>
      <c r="AV20" s="230"/>
      <c r="AW20" s="230"/>
      <c r="AX20" s="230">
        <f>8.78+173</f>
        <v>181.78</v>
      </c>
      <c r="AY20" s="228"/>
      <c r="AZ20" s="229"/>
      <c r="BA20" s="229"/>
      <c r="BB20" s="231">
        <f t="shared" si="11"/>
        <v>10612.856000000002</v>
      </c>
      <c r="BC20" s="232">
        <f>'[9]Т11'!$S$8+'[9]Т11'!$S$159</f>
        <v>1876.731</v>
      </c>
      <c r="BD20" s="185">
        <f t="shared" si="14"/>
        <v>12489.587000000001</v>
      </c>
      <c r="BE20" s="186">
        <f t="shared" si="12"/>
        <v>7389.714999999998</v>
      </c>
      <c r="BF20" s="180">
        <f t="shared" si="15"/>
        <v>-591.0900000000001</v>
      </c>
      <c r="BG20" s="187"/>
    </row>
    <row r="21" spans="1:59" ht="13.5" thickBot="1">
      <c r="A21" s="7" t="s">
        <v>41</v>
      </c>
      <c r="B21" s="139">
        <v>1226.7</v>
      </c>
      <c r="C21" s="140">
        <f t="shared" si="18"/>
        <v>17235.135000000002</v>
      </c>
      <c r="D21" s="182">
        <v>96.594</v>
      </c>
      <c r="E21" s="281"/>
      <c r="F21" s="281"/>
      <c r="G21" s="281">
        <v>11639.85</v>
      </c>
      <c r="H21" s="281"/>
      <c r="I21" s="281"/>
      <c r="J21" s="281"/>
      <c r="K21" s="281"/>
      <c r="L21" s="281"/>
      <c r="M21" s="281">
        <v>3633.7</v>
      </c>
      <c r="N21" s="281"/>
      <c r="O21" s="281">
        <v>1440.79</v>
      </c>
      <c r="P21" s="281"/>
      <c r="Q21" s="281"/>
      <c r="R21" s="281"/>
      <c r="S21" s="282"/>
      <c r="T21" s="283"/>
      <c r="U21" s="277">
        <f>E21+G21+I21+K21+M21+O21+Q21+S21</f>
        <v>16714.34</v>
      </c>
      <c r="V21" s="278">
        <f>F21+H21+J21+L21+N21+P21+R21+T21</f>
        <v>0</v>
      </c>
      <c r="W21" s="190">
        <v>0</v>
      </c>
      <c r="X21" s="190">
        <v>11315.78</v>
      </c>
      <c r="Y21" s="190">
        <v>0</v>
      </c>
      <c r="Z21" s="190">
        <v>0</v>
      </c>
      <c r="AA21" s="190">
        <v>3446.43</v>
      </c>
      <c r="AB21" s="190">
        <v>1378.56</v>
      </c>
      <c r="AC21" s="190"/>
      <c r="AD21" s="190"/>
      <c r="AE21" s="191"/>
      <c r="AF21" s="226">
        <f t="shared" si="16"/>
        <v>16140.77</v>
      </c>
      <c r="AG21" s="269">
        <f>D21+V21+AF21</f>
        <v>16237.364</v>
      </c>
      <c r="AH21" s="270">
        <f>AC21</f>
        <v>0</v>
      </c>
      <c r="AI21" s="270">
        <f>AD21</f>
        <v>0</v>
      </c>
      <c r="AJ21" s="227">
        <f>'[9]Т12'!$J$8+'[9]Т12'!$J$183</f>
        <v>3138.618</v>
      </c>
      <c r="AK21" s="148">
        <f>0.67*B21</f>
        <v>821.8890000000001</v>
      </c>
      <c r="AL21" s="148">
        <f>B21*0.2</f>
        <v>245.34000000000003</v>
      </c>
      <c r="AM21" s="148">
        <f>B21*1</f>
        <v>1226.7</v>
      </c>
      <c r="AN21" s="148">
        <f>B21*0.21</f>
        <v>257.607</v>
      </c>
      <c r="AO21" s="148">
        <f>2.02*B21</f>
        <v>2477.934</v>
      </c>
      <c r="AP21" s="148">
        <f>B21*1.03</f>
        <v>1263.501</v>
      </c>
      <c r="AQ21" s="148">
        <f>B21*0.75</f>
        <v>920.0250000000001</v>
      </c>
      <c r="AR21" s="148">
        <f>B21*0.75</f>
        <v>920.0250000000001</v>
      </c>
      <c r="AS21" s="279">
        <f>B21*1.15</f>
        <v>1410.705</v>
      </c>
      <c r="AT21" s="255">
        <f t="shared" si="13"/>
        <v>217.35</v>
      </c>
      <c r="AU21" s="230">
        <v>2223</v>
      </c>
      <c r="AV21" s="230"/>
      <c r="AW21" s="230"/>
      <c r="AX21" s="230">
        <f>75+50</f>
        <v>125</v>
      </c>
      <c r="AY21" s="228"/>
      <c r="AZ21" s="229"/>
      <c r="BA21" s="229"/>
      <c r="BB21" s="231">
        <f t="shared" si="11"/>
        <v>12109.076000000001</v>
      </c>
      <c r="BC21" s="232">
        <f>'[9]Т12'!$S$8+'[9]Т12'!$S$183</f>
        <v>1876.731</v>
      </c>
      <c r="BD21" s="185">
        <f t="shared" si="14"/>
        <v>13985.807</v>
      </c>
      <c r="BE21" s="186">
        <f t="shared" si="12"/>
        <v>5390.174999999999</v>
      </c>
      <c r="BF21" s="180">
        <f t="shared" si="15"/>
        <v>-573.5699999999997</v>
      </c>
      <c r="BG21" s="187"/>
    </row>
    <row r="22" spans="1:59" s="17" customFormat="1" ht="13.5" thickBot="1">
      <c r="A22" s="195" t="s">
        <v>4</v>
      </c>
      <c r="B22" s="196"/>
      <c r="C22" s="197">
        <f aca="true" t="shared" si="19" ref="C22:AR22">SUM(C10:C21)</f>
        <v>166340.52000000005</v>
      </c>
      <c r="D22" s="197">
        <f t="shared" si="19"/>
        <v>1159.1280000000002</v>
      </c>
      <c r="E22" s="197">
        <f t="shared" si="19"/>
        <v>1.01</v>
      </c>
      <c r="F22" s="197">
        <f t="shared" si="19"/>
        <v>0</v>
      </c>
      <c r="G22" s="197">
        <f t="shared" si="19"/>
        <v>110798.65</v>
      </c>
      <c r="H22" s="197">
        <f t="shared" si="19"/>
        <v>0</v>
      </c>
      <c r="I22" s="197">
        <f t="shared" si="19"/>
        <v>1.31</v>
      </c>
      <c r="J22" s="197">
        <f t="shared" si="19"/>
        <v>0</v>
      </c>
      <c r="K22" s="197">
        <f t="shared" si="19"/>
        <v>2.21</v>
      </c>
      <c r="L22" s="197">
        <f t="shared" si="19"/>
        <v>0</v>
      </c>
      <c r="M22" s="197">
        <f t="shared" si="19"/>
        <v>40851.2</v>
      </c>
      <c r="N22" s="197">
        <f t="shared" si="19"/>
        <v>0</v>
      </c>
      <c r="O22" s="197">
        <f t="shared" si="19"/>
        <v>15326.68</v>
      </c>
      <c r="P22" s="197">
        <f t="shared" si="19"/>
        <v>0</v>
      </c>
      <c r="Q22" s="197">
        <f t="shared" si="19"/>
        <v>0</v>
      </c>
      <c r="R22" s="197">
        <f t="shared" si="19"/>
        <v>0</v>
      </c>
      <c r="S22" s="197">
        <f t="shared" si="19"/>
        <v>0</v>
      </c>
      <c r="T22" s="197">
        <f t="shared" si="19"/>
        <v>0</v>
      </c>
      <c r="U22" s="197">
        <f t="shared" si="19"/>
        <v>166981.05999999997</v>
      </c>
      <c r="V22" s="197">
        <f t="shared" si="19"/>
        <v>0</v>
      </c>
      <c r="W22" s="197">
        <f t="shared" si="19"/>
        <v>887.6599999999999</v>
      </c>
      <c r="X22" s="197">
        <f t="shared" si="19"/>
        <v>96168.38999999998</v>
      </c>
      <c r="Y22" s="197">
        <f t="shared" si="19"/>
        <v>1203.64</v>
      </c>
      <c r="Z22" s="197">
        <f t="shared" si="19"/>
        <v>2001.3800000000003</v>
      </c>
      <c r="AA22" s="197">
        <f t="shared" si="19"/>
        <v>40612.65</v>
      </c>
      <c r="AB22" s="197">
        <f t="shared" si="19"/>
        <v>14157.859999999997</v>
      </c>
      <c r="AC22" s="197">
        <f t="shared" si="19"/>
        <v>0</v>
      </c>
      <c r="AD22" s="197">
        <f t="shared" si="19"/>
        <v>0</v>
      </c>
      <c r="AE22" s="197">
        <f t="shared" si="19"/>
        <v>0</v>
      </c>
      <c r="AF22" s="197">
        <f t="shared" si="19"/>
        <v>155031.58</v>
      </c>
      <c r="AG22" s="197">
        <f t="shared" si="19"/>
        <v>156190.708</v>
      </c>
      <c r="AH22" s="197">
        <f t="shared" si="19"/>
        <v>0</v>
      </c>
      <c r="AI22" s="197">
        <f t="shared" si="19"/>
        <v>0</v>
      </c>
      <c r="AJ22" s="197">
        <f t="shared" si="19"/>
        <v>37663.416</v>
      </c>
      <c r="AK22" s="197">
        <f t="shared" si="19"/>
        <v>9862.668000000001</v>
      </c>
      <c r="AL22" s="197">
        <f t="shared" si="19"/>
        <v>2944.0800000000013</v>
      </c>
      <c r="AM22" s="197">
        <f t="shared" si="19"/>
        <v>14720.400000000003</v>
      </c>
      <c r="AN22" s="197">
        <f t="shared" si="19"/>
        <v>3091.284</v>
      </c>
      <c r="AO22" s="197">
        <f t="shared" si="19"/>
        <v>29735.20800000001</v>
      </c>
      <c r="AP22" s="197">
        <f t="shared" si="19"/>
        <v>15162.012</v>
      </c>
      <c r="AQ22" s="197">
        <f t="shared" si="19"/>
        <v>11040.299999999997</v>
      </c>
      <c r="AR22" s="197">
        <f t="shared" si="19"/>
        <v>11040.299999999997</v>
      </c>
      <c r="AS22" s="197"/>
      <c r="AT22" s="197">
        <f aca="true" t="shared" si="20" ref="AT22:BG22">SUM(AS10:AS21)</f>
        <v>8464.23</v>
      </c>
      <c r="AU22" s="197">
        <f t="shared" si="20"/>
        <v>2390.8499999999995</v>
      </c>
      <c r="AV22" s="197">
        <f t="shared" si="20"/>
        <v>24476</v>
      </c>
      <c r="AW22" s="197">
        <f t="shared" si="20"/>
        <v>0</v>
      </c>
      <c r="AX22" s="197">
        <f t="shared" si="20"/>
        <v>891</v>
      </c>
      <c r="AY22" s="197">
        <f t="shared" si="20"/>
        <v>1823.365</v>
      </c>
      <c r="AZ22" s="197">
        <f t="shared" si="20"/>
        <v>0</v>
      </c>
      <c r="BA22" s="197">
        <f t="shared" si="20"/>
        <v>0</v>
      </c>
      <c r="BB22" s="197">
        <f t="shared" si="20"/>
        <v>0</v>
      </c>
      <c r="BC22" s="197">
        <f t="shared" si="20"/>
        <v>135641.697</v>
      </c>
      <c r="BD22" s="197">
        <f t="shared" si="20"/>
        <v>22520.772</v>
      </c>
      <c r="BE22" s="197">
        <f t="shared" si="20"/>
        <v>158162.469</v>
      </c>
      <c r="BF22" s="197">
        <f t="shared" si="20"/>
        <v>35691.654999999984</v>
      </c>
      <c r="BG22" s="202">
        <f t="shared" si="20"/>
        <v>-11949.479999999989</v>
      </c>
    </row>
    <row r="23" spans="1:59" s="17" customFormat="1" ht="13.5" thickBot="1">
      <c r="A23" s="198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200"/>
      <c r="BF23" s="199"/>
      <c r="BG23" s="201"/>
    </row>
    <row r="24" spans="1:59" s="17" customFormat="1" ht="13.5" thickBot="1">
      <c r="A24" s="176" t="s">
        <v>52</v>
      </c>
      <c r="B24" s="199"/>
      <c r="C24" s="202">
        <f aca="true" t="shared" si="21" ref="C24:AH24">C22+C8</f>
        <v>421124.54000000004</v>
      </c>
      <c r="D24" s="202">
        <f t="shared" si="21"/>
        <v>24072.335500000005</v>
      </c>
      <c r="E24" s="202">
        <f t="shared" si="21"/>
        <v>22713.25</v>
      </c>
      <c r="F24" s="202">
        <f t="shared" si="21"/>
        <v>3824.12</v>
      </c>
      <c r="G24" s="202">
        <f t="shared" si="21"/>
        <v>110798.65</v>
      </c>
      <c r="H24" s="202">
        <f t="shared" si="21"/>
        <v>0</v>
      </c>
      <c r="I24" s="202">
        <f t="shared" si="21"/>
        <v>30749.019999999997</v>
      </c>
      <c r="J24" s="202">
        <f t="shared" si="21"/>
        <v>5179.4400000000005</v>
      </c>
      <c r="K24" s="202">
        <f t="shared" si="21"/>
        <v>51190.13</v>
      </c>
      <c r="L24" s="202">
        <f t="shared" si="21"/>
        <v>8621.64</v>
      </c>
      <c r="M24" s="202">
        <f t="shared" si="21"/>
        <v>114751.59999999999</v>
      </c>
      <c r="N24" s="202">
        <f t="shared" si="21"/>
        <v>12445.630000000001</v>
      </c>
      <c r="O24" s="202">
        <f t="shared" si="21"/>
        <v>33498.47</v>
      </c>
      <c r="P24" s="202">
        <f t="shared" si="21"/>
        <v>3059.2799999999997</v>
      </c>
      <c r="Q24" s="202">
        <f t="shared" si="21"/>
        <v>0</v>
      </c>
      <c r="R24" s="202">
        <f t="shared" si="21"/>
        <v>0</v>
      </c>
      <c r="S24" s="202">
        <f t="shared" si="21"/>
        <v>0</v>
      </c>
      <c r="T24" s="202">
        <f t="shared" si="21"/>
        <v>0</v>
      </c>
      <c r="U24" s="202">
        <f t="shared" si="21"/>
        <v>363701.12</v>
      </c>
      <c r="V24" s="202">
        <f t="shared" si="21"/>
        <v>33130.11</v>
      </c>
      <c r="W24" s="202">
        <f t="shared" si="21"/>
        <v>23629.46</v>
      </c>
      <c r="X24" s="202">
        <f t="shared" si="21"/>
        <v>96168.38999999998</v>
      </c>
      <c r="Y24" s="202">
        <f t="shared" si="21"/>
        <v>31982.190000000002</v>
      </c>
      <c r="Z24" s="202">
        <f t="shared" si="21"/>
        <v>53246.62</v>
      </c>
      <c r="AA24" s="202">
        <f t="shared" si="21"/>
        <v>114600.01999999999</v>
      </c>
      <c r="AB24" s="202">
        <f t="shared" si="21"/>
        <v>32351.17</v>
      </c>
      <c r="AC24" s="202">
        <f t="shared" si="21"/>
        <v>0</v>
      </c>
      <c r="AD24" s="202">
        <f t="shared" si="21"/>
        <v>0</v>
      </c>
      <c r="AE24" s="202">
        <f t="shared" si="21"/>
        <v>0</v>
      </c>
      <c r="AF24" s="202">
        <f t="shared" si="21"/>
        <v>351977.85</v>
      </c>
      <c r="AG24" s="202">
        <f t="shared" si="21"/>
        <v>409180.2955</v>
      </c>
      <c r="AH24" s="202">
        <f t="shared" si="21"/>
        <v>0</v>
      </c>
      <c r="AI24" s="202">
        <f aca="true" t="shared" si="22" ref="AI24:BG24">AI22+AI8</f>
        <v>0</v>
      </c>
      <c r="AJ24" s="202">
        <f t="shared" si="22"/>
        <v>110956.30511999999</v>
      </c>
      <c r="AK24" s="202">
        <f t="shared" si="22"/>
        <v>30049.860000000004</v>
      </c>
      <c r="AL24" s="202">
        <f t="shared" si="22"/>
        <v>8749.292104400003</v>
      </c>
      <c r="AM24" s="202">
        <f t="shared" si="22"/>
        <v>46203.098571695</v>
      </c>
      <c r="AN24" s="202">
        <f t="shared" si="22"/>
        <v>3091.284</v>
      </c>
      <c r="AO24" s="202">
        <f t="shared" si="22"/>
        <v>66470.78000000001</v>
      </c>
      <c r="AP24" s="202">
        <f t="shared" si="22"/>
        <v>79810.902</v>
      </c>
      <c r="AQ24" s="202">
        <f t="shared" si="22"/>
        <v>11040.299999999997</v>
      </c>
      <c r="AR24" s="202">
        <f t="shared" si="22"/>
        <v>11040.299999999997</v>
      </c>
      <c r="AS24" s="202"/>
      <c r="AT24" s="202">
        <f t="shared" si="22"/>
        <v>11072.43</v>
      </c>
      <c r="AU24" s="202">
        <f t="shared" si="22"/>
        <v>59039.989799999996</v>
      </c>
      <c r="AV24" s="202">
        <f t="shared" si="22"/>
        <v>24476</v>
      </c>
      <c r="AW24" s="202">
        <f t="shared" si="22"/>
        <v>24956.77</v>
      </c>
      <c r="AX24" s="202">
        <f t="shared" si="22"/>
        <v>18798.212799999998</v>
      </c>
      <c r="AY24" s="202">
        <f t="shared" si="22"/>
        <v>7212.133</v>
      </c>
      <c r="AZ24" s="202">
        <f t="shared" si="22"/>
        <v>0</v>
      </c>
      <c r="BA24" s="202">
        <f t="shared" si="22"/>
        <v>0</v>
      </c>
      <c r="BB24" s="202">
        <f t="shared" si="22"/>
        <v>0</v>
      </c>
      <c r="BC24" s="202">
        <f t="shared" si="22"/>
        <v>402011.34651228675</v>
      </c>
      <c r="BD24" s="202">
        <f t="shared" si="22"/>
        <v>37287.888000000006</v>
      </c>
      <c r="BE24" s="203">
        <f t="shared" si="22"/>
        <v>439299.2345122867</v>
      </c>
      <c r="BF24" s="202">
        <f t="shared" si="22"/>
        <v>80837.36610771321</v>
      </c>
      <c r="BG24" s="204">
        <f t="shared" si="22"/>
        <v>-11723.26999999999</v>
      </c>
    </row>
    <row r="25" spans="1:59" ht="12.75">
      <c r="A25" s="5" t="s">
        <v>129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181"/>
      <c r="BF25" s="180"/>
      <c r="BG25" s="180"/>
    </row>
    <row r="26" spans="1:59" ht="12.75">
      <c r="A26" s="7" t="s">
        <v>43</v>
      </c>
      <c r="B26" s="139">
        <v>1226.7</v>
      </c>
      <c r="C26" s="221">
        <f>B26*14.05</f>
        <v>17235.135000000002</v>
      </c>
      <c r="D26" s="280">
        <v>96.594</v>
      </c>
      <c r="E26" s="190"/>
      <c r="F26" s="190"/>
      <c r="G26" s="190">
        <v>11639.85</v>
      </c>
      <c r="H26" s="190"/>
      <c r="I26" s="190"/>
      <c r="J26" s="190"/>
      <c r="K26" s="190"/>
      <c r="L26" s="190"/>
      <c r="M26" s="190">
        <v>3633.7</v>
      </c>
      <c r="N26" s="190"/>
      <c r="O26" s="190">
        <v>1440.79</v>
      </c>
      <c r="P26" s="190"/>
      <c r="Q26" s="190"/>
      <c r="R26" s="190"/>
      <c r="S26" s="191"/>
      <c r="T26" s="283"/>
      <c r="U26" s="277">
        <f aca="true" t="shared" si="23" ref="U26:V31">E26+G26+I26+K26+M26+O26+Q26+S26</f>
        <v>16714.34</v>
      </c>
      <c r="V26" s="278">
        <f t="shared" si="23"/>
        <v>0</v>
      </c>
      <c r="W26" s="190">
        <v>0</v>
      </c>
      <c r="X26" s="190">
        <v>10787.35</v>
      </c>
      <c r="Y26" s="190">
        <v>0</v>
      </c>
      <c r="Z26" s="190">
        <v>0</v>
      </c>
      <c r="AA26" s="190">
        <v>3373.96</v>
      </c>
      <c r="AB26" s="190">
        <v>1336.91</v>
      </c>
      <c r="AC26" s="190"/>
      <c r="AD26" s="190"/>
      <c r="AE26" s="191"/>
      <c r="AF26" s="226">
        <f aca="true" t="shared" si="24" ref="AF26:AF31">SUM(W26:AE26)</f>
        <v>15498.220000000001</v>
      </c>
      <c r="AG26" s="269">
        <f aca="true" t="shared" si="25" ref="AG26:AG37">D26+V26+AF26</f>
        <v>15594.814</v>
      </c>
      <c r="AH26" s="270">
        <f aca="true" t="shared" si="26" ref="AH26:AI37">AC26</f>
        <v>0</v>
      </c>
      <c r="AI26" s="270">
        <f t="shared" si="26"/>
        <v>0</v>
      </c>
      <c r="AJ26" s="227">
        <f>'[12]Т01'!$J$3+'[12]Т01'!$J$181</f>
        <v>3857.305</v>
      </c>
      <c r="AK26" s="228">
        <f>1*B26</f>
        <v>1226.7</v>
      </c>
      <c r="AL26" s="148">
        <f aca="true" t="shared" si="27" ref="AL26:AL37">B26*0.2</f>
        <v>245.34000000000003</v>
      </c>
      <c r="AM26" s="148">
        <f aca="true" t="shared" si="28" ref="AM26:AM37">B26*1</f>
        <v>1226.7</v>
      </c>
      <c r="AN26" s="148">
        <f aca="true" t="shared" si="29" ref="AN26:AN37">B26*0.21</f>
        <v>257.607</v>
      </c>
      <c r="AO26" s="148">
        <f>2.02*B26</f>
        <v>2477.934</v>
      </c>
      <c r="AP26" s="148">
        <f aca="true" t="shared" si="30" ref="AP26:AP37">B26*1.03</f>
        <v>1263.501</v>
      </c>
      <c r="AQ26" s="148">
        <f aca="true" t="shared" si="31" ref="AQ26:AQ37">B26*0.75</f>
        <v>920.0250000000001</v>
      </c>
      <c r="AR26" s="148">
        <f aca="true" t="shared" si="32" ref="AR26:AR37">B26*0.75</f>
        <v>920.0250000000001</v>
      </c>
      <c r="AS26" s="279">
        <f>B26*1.15</f>
        <v>1410.705</v>
      </c>
      <c r="AT26" s="255">
        <f>0.45*483</f>
        <v>217.35</v>
      </c>
      <c r="AU26" s="461"/>
      <c r="AV26" s="230"/>
      <c r="AW26" s="230"/>
      <c r="AX26" s="230"/>
      <c r="AY26" s="230"/>
      <c r="AZ26" s="230"/>
      <c r="BA26" s="93"/>
      <c r="BB26" s="229"/>
      <c r="BC26" s="266">
        <f>SUM(AK26:BB26)</f>
        <v>10165.887</v>
      </c>
      <c r="BD26" s="232">
        <f>'[12]Т01'!$S$3+'[12]Т01'!$S$181</f>
        <v>1876.731</v>
      </c>
      <c r="BE26" s="154">
        <f>BC26+BD26</f>
        <v>12042.618</v>
      </c>
      <c r="BF26" s="185">
        <f>AG26+AJ26-BE26</f>
        <v>7409.500999999998</v>
      </c>
      <c r="BG26" s="180">
        <f>AF26-U26</f>
        <v>-1216.119999999999</v>
      </c>
    </row>
    <row r="27" spans="1:59" ht="12.75">
      <c r="A27" s="7" t="s">
        <v>44</v>
      </c>
      <c r="B27" s="139">
        <v>1226.7</v>
      </c>
      <c r="C27" s="140">
        <f>B27*14.05</f>
        <v>17235.135000000002</v>
      </c>
      <c r="D27" s="280">
        <v>96.594</v>
      </c>
      <c r="E27" s="222"/>
      <c r="F27" s="222"/>
      <c r="G27" s="222">
        <v>11639.85</v>
      </c>
      <c r="H27" s="222"/>
      <c r="I27" s="222"/>
      <c r="J27" s="222"/>
      <c r="K27" s="222"/>
      <c r="L27" s="222"/>
      <c r="M27" s="222">
        <v>3633.7</v>
      </c>
      <c r="N27" s="222"/>
      <c r="O27" s="222">
        <v>1440.79</v>
      </c>
      <c r="P27" s="222"/>
      <c r="Q27" s="222"/>
      <c r="R27" s="222"/>
      <c r="S27" s="223"/>
      <c r="T27" s="283"/>
      <c r="U27" s="277">
        <f t="shared" si="23"/>
        <v>16714.34</v>
      </c>
      <c r="V27" s="278">
        <f t="shared" si="23"/>
        <v>0</v>
      </c>
      <c r="W27" s="222">
        <v>0</v>
      </c>
      <c r="X27" s="222">
        <v>10710.43</v>
      </c>
      <c r="Y27" s="222">
        <v>0</v>
      </c>
      <c r="Z27" s="222">
        <v>0</v>
      </c>
      <c r="AA27" s="222">
        <v>3350.6</v>
      </c>
      <c r="AB27" s="222">
        <v>1327.57</v>
      </c>
      <c r="AC27" s="222"/>
      <c r="AD27" s="222"/>
      <c r="AE27" s="223"/>
      <c r="AF27" s="226">
        <f t="shared" si="24"/>
        <v>15388.6</v>
      </c>
      <c r="AG27" s="269">
        <f t="shared" si="25"/>
        <v>15485.194</v>
      </c>
      <c r="AH27" s="270">
        <f t="shared" si="26"/>
        <v>0</v>
      </c>
      <c r="AI27" s="270">
        <f t="shared" si="26"/>
        <v>0</v>
      </c>
      <c r="AJ27" s="227">
        <f>'[12]Т01'!$J$3+'[12]Т01'!$J$181</f>
        <v>3857.305</v>
      </c>
      <c r="AK27" s="462">
        <f>1*B27</f>
        <v>1226.7</v>
      </c>
      <c r="AL27" s="148">
        <f t="shared" si="27"/>
        <v>245.34000000000003</v>
      </c>
      <c r="AM27" s="148">
        <f t="shared" si="28"/>
        <v>1226.7</v>
      </c>
      <c r="AN27" s="148">
        <f t="shared" si="29"/>
        <v>257.607</v>
      </c>
      <c r="AO27" s="148">
        <f>2.02*B27</f>
        <v>2477.934</v>
      </c>
      <c r="AP27" s="148">
        <f t="shared" si="30"/>
        <v>1263.501</v>
      </c>
      <c r="AQ27" s="148">
        <f t="shared" si="31"/>
        <v>920.0250000000001</v>
      </c>
      <c r="AR27" s="148">
        <f t="shared" si="32"/>
        <v>920.0250000000001</v>
      </c>
      <c r="AS27" s="279">
        <f>B27*1.15</f>
        <v>1410.705</v>
      </c>
      <c r="AT27" s="255">
        <f>0.45*483</f>
        <v>217.35</v>
      </c>
      <c r="AU27" s="461"/>
      <c r="AV27" s="230"/>
      <c r="AW27" s="230"/>
      <c r="AX27" s="230"/>
      <c r="AY27" s="230"/>
      <c r="AZ27" s="230"/>
      <c r="BA27" s="93"/>
      <c r="BB27" s="229"/>
      <c r="BC27" s="231">
        <f>SUM(AK27:BB27)</f>
        <v>10165.887</v>
      </c>
      <c r="BD27" s="232">
        <f>'[12]Т01'!$S$3+'[12]Т01'!$S$181</f>
        <v>1876.731</v>
      </c>
      <c r="BE27" s="154">
        <f>BC27+BD27</f>
        <v>12042.618</v>
      </c>
      <c r="BF27" s="185">
        <f>AG27+AJ27-BE27</f>
        <v>7299.880999999999</v>
      </c>
      <c r="BG27" s="180">
        <f>AF27-U27</f>
        <v>-1325.7399999999998</v>
      </c>
    </row>
    <row r="28" spans="1:59" ht="12.75">
      <c r="A28" s="7" t="s">
        <v>45</v>
      </c>
      <c r="B28" s="139">
        <v>1226.7</v>
      </c>
      <c r="C28" s="140">
        <f>B28*14.05</f>
        <v>17235.135000000002</v>
      </c>
      <c r="D28" s="280">
        <v>96.594</v>
      </c>
      <c r="E28" s="222"/>
      <c r="F28" s="222"/>
      <c r="G28" s="222">
        <v>11639.85</v>
      </c>
      <c r="H28" s="222"/>
      <c r="I28" s="222"/>
      <c r="J28" s="222"/>
      <c r="K28" s="222"/>
      <c r="L28" s="222"/>
      <c r="M28" s="222">
        <v>3633.7</v>
      </c>
      <c r="N28" s="222"/>
      <c r="O28" s="222">
        <v>1440.79</v>
      </c>
      <c r="P28" s="222"/>
      <c r="Q28" s="222"/>
      <c r="R28" s="222"/>
      <c r="S28" s="223"/>
      <c r="T28" s="283"/>
      <c r="U28" s="277">
        <f t="shared" si="23"/>
        <v>16714.34</v>
      </c>
      <c r="V28" s="278">
        <f t="shared" si="23"/>
        <v>0</v>
      </c>
      <c r="W28" s="190">
        <v>0</v>
      </c>
      <c r="X28" s="190">
        <v>10644.22</v>
      </c>
      <c r="Y28" s="190">
        <v>0</v>
      </c>
      <c r="Z28" s="190">
        <v>0</v>
      </c>
      <c r="AA28" s="190">
        <v>3048.96</v>
      </c>
      <c r="AB28" s="190">
        <v>1213.32</v>
      </c>
      <c r="AC28" s="190"/>
      <c r="AD28" s="190"/>
      <c r="AE28" s="191"/>
      <c r="AF28" s="226">
        <f t="shared" si="24"/>
        <v>14906.5</v>
      </c>
      <c r="AG28" s="269">
        <f t="shared" si="25"/>
        <v>15003.094</v>
      </c>
      <c r="AH28" s="270">
        <f t="shared" si="26"/>
        <v>0</v>
      </c>
      <c r="AI28" s="270">
        <f t="shared" si="26"/>
        <v>0</v>
      </c>
      <c r="AJ28" s="227">
        <f>'[12]Т01'!$J$3+'[12]Т01'!$J$181</f>
        <v>3857.305</v>
      </c>
      <c r="AK28" s="462">
        <f>1*B28</f>
        <v>1226.7</v>
      </c>
      <c r="AL28" s="148">
        <f t="shared" si="27"/>
        <v>245.34000000000003</v>
      </c>
      <c r="AM28" s="148">
        <f t="shared" si="28"/>
        <v>1226.7</v>
      </c>
      <c r="AN28" s="148">
        <f t="shared" si="29"/>
        <v>257.607</v>
      </c>
      <c r="AO28" s="148">
        <f aca="true" t="shared" si="33" ref="AO28:AO37">2.02*B28</f>
        <v>2477.934</v>
      </c>
      <c r="AP28" s="148">
        <f t="shared" si="30"/>
        <v>1263.501</v>
      </c>
      <c r="AQ28" s="148">
        <f t="shared" si="31"/>
        <v>920.0250000000001</v>
      </c>
      <c r="AR28" s="148">
        <f t="shared" si="32"/>
        <v>920.0250000000001</v>
      </c>
      <c r="AS28" s="279">
        <f>B28*1.15</f>
        <v>1410.705</v>
      </c>
      <c r="AT28" s="255">
        <f>0.45*483</f>
        <v>217.35</v>
      </c>
      <c r="AU28" s="461"/>
      <c r="AV28" s="230"/>
      <c r="AW28" s="230">
        <v>316</v>
      </c>
      <c r="AX28" s="230">
        <f>238.73+1810</f>
        <v>2048.73</v>
      </c>
      <c r="AY28" s="230"/>
      <c r="AZ28" s="230"/>
      <c r="BA28" s="93"/>
      <c r="BB28" s="229"/>
      <c r="BC28" s="266">
        <f>SUM(AK28:BB28)</f>
        <v>12530.617</v>
      </c>
      <c r="BD28" s="232">
        <f>'[12]Т01'!$S$3+'[12]Т01'!$S$181</f>
        <v>1876.731</v>
      </c>
      <c r="BE28" s="154">
        <f aca="true" t="shared" si="34" ref="BE28:BE37">BC28+BD28</f>
        <v>14407.348</v>
      </c>
      <c r="BF28" s="185">
        <f aca="true" t="shared" si="35" ref="BF28:BF37">AG28+AJ28-BE28</f>
        <v>4453.050999999998</v>
      </c>
      <c r="BG28" s="180">
        <f aca="true" t="shared" si="36" ref="BG28:BG37">AF28-U28</f>
        <v>-1807.8400000000001</v>
      </c>
    </row>
    <row r="29" spans="1:59" ht="12.75">
      <c r="A29" s="7" t="s">
        <v>46</v>
      </c>
      <c r="B29" s="139">
        <v>1226.7</v>
      </c>
      <c r="C29" s="140">
        <f>B29*14.05</f>
        <v>17235.135000000002</v>
      </c>
      <c r="D29" s="280">
        <v>96.594</v>
      </c>
      <c r="E29" s="222"/>
      <c r="F29" s="222"/>
      <c r="G29" s="222">
        <v>11639.84</v>
      </c>
      <c r="H29" s="222"/>
      <c r="I29" s="222"/>
      <c r="J29" s="222"/>
      <c r="K29" s="222"/>
      <c r="L29" s="222"/>
      <c r="M29" s="222">
        <v>3633.7</v>
      </c>
      <c r="N29" s="222"/>
      <c r="O29" s="222">
        <v>1440.79</v>
      </c>
      <c r="P29" s="222"/>
      <c r="Q29" s="222"/>
      <c r="R29" s="222"/>
      <c r="S29" s="223"/>
      <c r="T29" s="283"/>
      <c r="U29" s="277">
        <f t="shared" si="23"/>
        <v>16714.33</v>
      </c>
      <c r="V29" s="278">
        <f t="shared" si="23"/>
        <v>0</v>
      </c>
      <c r="W29" s="281">
        <v>0</v>
      </c>
      <c r="X29" s="281">
        <v>10329.89</v>
      </c>
      <c r="Y29" s="281">
        <v>0</v>
      </c>
      <c r="Z29" s="281">
        <v>0</v>
      </c>
      <c r="AA29" s="281">
        <v>3237.33</v>
      </c>
      <c r="AB29" s="281">
        <v>1279.02</v>
      </c>
      <c r="AC29" s="281"/>
      <c r="AD29" s="281"/>
      <c r="AE29" s="282"/>
      <c r="AF29" s="226">
        <f t="shared" si="24"/>
        <v>14846.24</v>
      </c>
      <c r="AG29" s="269">
        <f t="shared" si="25"/>
        <v>14942.833999999999</v>
      </c>
      <c r="AH29" s="270">
        <f t="shared" si="26"/>
        <v>0</v>
      </c>
      <c r="AI29" s="270">
        <f t="shared" si="26"/>
        <v>0</v>
      </c>
      <c r="AJ29" s="227">
        <f>'[12]Т01'!$J$3+'[12]Т01'!$J$181</f>
        <v>3857.305</v>
      </c>
      <c r="AK29" s="462">
        <f>1*B29</f>
        <v>1226.7</v>
      </c>
      <c r="AL29" s="148">
        <f t="shared" si="27"/>
        <v>245.34000000000003</v>
      </c>
      <c r="AM29" s="148">
        <f t="shared" si="28"/>
        <v>1226.7</v>
      </c>
      <c r="AN29" s="148">
        <f t="shared" si="29"/>
        <v>257.607</v>
      </c>
      <c r="AO29" s="148">
        <f t="shared" si="33"/>
        <v>2477.934</v>
      </c>
      <c r="AP29" s="148">
        <f t="shared" si="30"/>
        <v>1263.501</v>
      </c>
      <c r="AQ29" s="148">
        <f t="shared" si="31"/>
        <v>920.0250000000001</v>
      </c>
      <c r="AR29" s="148">
        <f t="shared" si="32"/>
        <v>920.0250000000001</v>
      </c>
      <c r="AS29" s="279"/>
      <c r="AT29" s="255">
        <f>0.45*483</f>
        <v>217.35</v>
      </c>
      <c r="AU29" s="461"/>
      <c r="AV29" s="230"/>
      <c r="AW29" s="230"/>
      <c r="AX29" s="230">
        <f>8.55</f>
        <v>8.55</v>
      </c>
      <c r="AY29" s="230"/>
      <c r="AZ29" s="230"/>
      <c r="BA29" s="93"/>
      <c r="BB29" s="229"/>
      <c r="BC29" s="266">
        <f>SUM(AK29:BB29)</f>
        <v>8763.732</v>
      </c>
      <c r="BD29" s="232">
        <f>'[12]Т01'!$S$3+'[12]Т01'!$S$181</f>
        <v>1876.731</v>
      </c>
      <c r="BE29" s="154">
        <f t="shared" si="34"/>
        <v>10640.463</v>
      </c>
      <c r="BF29" s="185">
        <f t="shared" si="35"/>
        <v>8159.6759999999995</v>
      </c>
      <c r="BG29" s="180">
        <f t="shared" si="36"/>
        <v>-1868.090000000002</v>
      </c>
    </row>
    <row r="30" spans="1:59" ht="12.75">
      <c r="A30" s="7" t="s">
        <v>47</v>
      </c>
      <c r="B30" s="139">
        <v>1226.7</v>
      </c>
      <c r="C30" s="140">
        <f>B30*14.05</f>
        <v>17235.135000000002</v>
      </c>
      <c r="D30" s="280">
        <v>96.594</v>
      </c>
      <c r="E30" s="222"/>
      <c r="F30" s="222"/>
      <c r="G30" s="222">
        <v>11639.85</v>
      </c>
      <c r="H30" s="222"/>
      <c r="I30" s="222"/>
      <c r="J30" s="222"/>
      <c r="K30" s="222"/>
      <c r="L30" s="222"/>
      <c r="M30" s="222">
        <v>3633.7</v>
      </c>
      <c r="N30" s="222"/>
      <c r="O30" s="222">
        <v>1440.79</v>
      </c>
      <c r="P30" s="222"/>
      <c r="Q30" s="222"/>
      <c r="R30" s="222"/>
      <c r="S30" s="223"/>
      <c r="T30" s="283"/>
      <c r="U30" s="277">
        <f t="shared" si="23"/>
        <v>16714.34</v>
      </c>
      <c r="V30" s="278">
        <f t="shared" si="23"/>
        <v>0</v>
      </c>
      <c r="W30" s="281">
        <v>0</v>
      </c>
      <c r="X30" s="281">
        <v>10351.09</v>
      </c>
      <c r="Y30" s="281">
        <v>0</v>
      </c>
      <c r="Z30" s="281">
        <v>0</v>
      </c>
      <c r="AA30" s="281">
        <v>3185.2</v>
      </c>
      <c r="AB30" s="281">
        <v>1259.79</v>
      </c>
      <c r="AC30" s="281"/>
      <c r="AD30" s="281"/>
      <c r="AE30" s="281"/>
      <c r="AF30" s="226">
        <f t="shared" si="24"/>
        <v>14796.080000000002</v>
      </c>
      <c r="AG30" s="269">
        <f t="shared" si="25"/>
        <v>14892.674</v>
      </c>
      <c r="AH30" s="270">
        <f t="shared" si="26"/>
        <v>0</v>
      </c>
      <c r="AI30" s="270">
        <f t="shared" si="26"/>
        <v>0</v>
      </c>
      <c r="AJ30" s="227">
        <f>'[12]Т05'!$J$3+'[12]Т05'!$J$182</f>
        <v>3857.305</v>
      </c>
      <c r="AK30" s="462">
        <f>1*B30</f>
        <v>1226.7</v>
      </c>
      <c r="AL30" s="148">
        <f t="shared" si="27"/>
        <v>245.34000000000003</v>
      </c>
      <c r="AM30" s="148">
        <f t="shared" si="28"/>
        <v>1226.7</v>
      </c>
      <c r="AN30" s="148">
        <f t="shared" si="29"/>
        <v>257.607</v>
      </c>
      <c r="AO30" s="148">
        <f t="shared" si="33"/>
        <v>2477.934</v>
      </c>
      <c r="AP30" s="148">
        <f t="shared" si="30"/>
        <v>1263.501</v>
      </c>
      <c r="AQ30" s="148">
        <f t="shared" si="31"/>
        <v>920.0250000000001</v>
      </c>
      <c r="AR30" s="148">
        <f t="shared" si="32"/>
        <v>920.0250000000001</v>
      </c>
      <c r="AS30" s="279"/>
      <c r="AT30" s="255">
        <f>0.45*483</f>
        <v>217.35</v>
      </c>
      <c r="AU30" s="461"/>
      <c r="AV30" s="230"/>
      <c r="AW30" s="230"/>
      <c r="AX30" s="230"/>
      <c r="AY30" s="230"/>
      <c r="AZ30" s="230"/>
      <c r="BA30" s="93"/>
      <c r="BB30" s="229"/>
      <c r="BC30" s="266">
        <f>SUM(AK30:BB30)</f>
        <v>8755.182</v>
      </c>
      <c r="BD30" s="232">
        <f>'[12]Т05'!$S$3+'[12]Т05'!$S$182</f>
        <v>1876.731</v>
      </c>
      <c r="BE30" s="154">
        <f t="shared" si="34"/>
        <v>10631.913</v>
      </c>
      <c r="BF30" s="185">
        <f t="shared" si="35"/>
        <v>8118.065999999999</v>
      </c>
      <c r="BG30" s="180">
        <f t="shared" si="36"/>
        <v>-1918.2599999999984</v>
      </c>
    </row>
    <row r="31" spans="1:59" ht="12.75">
      <c r="A31" s="7" t="s">
        <v>48</v>
      </c>
      <c r="B31" s="139">
        <v>1226.7</v>
      </c>
      <c r="C31" s="140">
        <f>B31*14.05</f>
        <v>17235.135000000002</v>
      </c>
      <c r="D31" s="463">
        <v>96.594</v>
      </c>
      <c r="E31" s="222"/>
      <c r="F31" s="222"/>
      <c r="G31" s="222">
        <v>11639.85</v>
      </c>
      <c r="H31" s="222"/>
      <c r="I31" s="222"/>
      <c r="J31" s="222"/>
      <c r="K31" s="222"/>
      <c r="L31" s="222"/>
      <c r="M31" s="222">
        <v>3633.69</v>
      </c>
      <c r="N31" s="222"/>
      <c r="O31" s="222">
        <v>1440.8</v>
      </c>
      <c r="P31" s="222"/>
      <c r="Q31" s="222"/>
      <c r="R31" s="222"/>
      <c r="S31" s="223"/>
      <c r="T31" s="283"/>
      <c r="U31" s="277">
        <f t="shared" si="23"/>
        <v>16714.34</v>
      </c>
      <c r="V31" s="278">
        <f t="shared" si="23"/>
        <v>0</v>
      </c>
      <c r="W31" s="281"/>
      <c r="X31" s="464">
        <v>11394.05</v>
      </c>
      <c r="Y31" s="281"/>
      <c r="Z31" s="281"/>
      <c r="AA31" s="464">
        <v>3586.64</v>
      </c>
      <c r="AB31" s="464">
        <v>1420.35</v>
      </c>
      <c r="AC31" s="281"/>
      <c r="AD31" s="464"/>
      <c r="AE31" s="465"/>
      <c r="AF31" s="226">
        <f t="shared" si="24"/>
        <v>16401.039999999997</v>
      </c>
      <c r="AG31" s="269">
        <f t="shared" si="25"/>
        <v>16497.634</v>
      </c>
      <c r="AH31" s="270">
        <f t="shared" si="26"/>
        <v>0</v>
      </c>
      <c r="AI31" s="270">
        <f t="shared" si="26"/>
        <v>0</v>
      </c>
      <c r="AJ31" s="227">
        <f>'[12]Т06'!$J$3+'[12]Т06'!$J$213</f>
        <v>3857.305</v>
      </c>
      <c r="AK31" s="462">
        <f>1*B31</f>
        <v>1226.7</v>
      </c>
      <c r="AL31" s="148">
        <f t="shared" si="27"/>
        <v>245.34000000000003</v>
      </c>
      <c r="AM31" s="148">
        <f t="shared" si="28"/>
        <v>1226.7</v>
      </c>
      <c r="AN31" s="148">
        <f t="shared" si="29"/>
        <v>257.607</v>
      </c>
      <c r="AO31" s="148">
        <f t="shared" si="33"/>
        <v>2477.934</v>
      </c>
      <c r="AP31" s="148">
        <f t="shared" si="30"/>
        <v>1263.501</v>
      </c>
      <c r="AQ31" s="148">
        <f t="shared" si="31"/>
        <v>920.0250000000001</v>
      </c>
      <c r="AR31" s="148">
        <f t="shared" si="32"/>
        <v>920.0250000000001</v>
      </c>
      <c r="AS31" s="279"/>
      <c r="AT31" s="255">
        <f>0.45*483</f>
        <v>217.35</v>
      </c>
      <c r="AU31" s="461"/>
      <c r="AV31" s="230"/>
      <c r="AW31" s="230"/>
      <c r="AX31" s="230"/>
      <c r="AY31" s="230"/>
      <c r="AZ31" s="230"/>
      <c r="BA31" s="93"/>
      <c r="BB31" s="229"/>
      <c r="BC31" s="266">
        <f>SUM(AK31:BB31)</f>
        <v>8755.182</v>
      </c>
      <c r="BD31" s="232">
        <f>'[12]Т06'!$S$213+'[12]Т06'!$S$3</f>
        <v>1876.731</v>
      </c>
      <c r="BE31" s="154">
        <f t="shared" si="34"/>
        <v>10631.913</v>
      </c>
      <c r="BF31" s="185">
        <f t="shared" si="35"/>
        <v>9723.025999999998</v>
      </c>
      <c r="BG31" s="180">
        <f t="shared" si="36"/>
        <v>-313.3000000000029</v>
      </c>
    </row>
    <row r="32" spans="1:59" ht="12.75">
      <c r="A32" s="7" t="s">
        <v>49</v>
      </c>
      <c r="B32" s="139">
        <v>1226.7</v>
      </c>
      <c r="C32" s="221">
        <f>B32*14.05</f>
        <v>17235.135000000002</v>
      </c>
      <c r="D32" s="280">
        <v>129.2655</v>
      </c>
      <c r="E32" s="222"/>
      <c r="F32" s="222"/>
      <c r="G32" s="222">
        <v>11639.93</v>
      </c>
      <c r="H32" s="222"/>
      <c r="I32" s="222"/>
      <c r="J32" s="222"/>
      <c r="K32" s="222"/>
      <c r="L32" s="222"/>
      <c r="M32" s="222">
        <v>3633.73</v>
      </c>
      <c r="N32" s="222"/>
      <c r="O32" s="222">
        <v>1440.8</v>
      </c>
      <c r="P32" s="222"/>
      <c r="Q32" s="222"/>
      <c r="R32" s="222"/>
      <c r="S32" s="223"/>
      <c r="T32" s="283"/>
      <c r="U32" s="277">
        <f aca="true" t="shared" si="37" ref="U32:V37">G32+M32+O32+Q32+S32</f>
        <v>16714.46</v>
      </c>
      <c r="V32" s="466">
        <f t="shared" si="37"/>
        <v>0</v>
      </c>
      <c r="W32" s="281"/>
      <c r="X32" s="190">
        <v>12651.72</v>
      </c>
      <c r="Y32" s="281"/>
      <c r="Z32" s="281"/>
      <c r="AA32" s="190">
        <v>3839.69</v>
      </c>
      <c r="AB32" s="190">
        <v>1523.2</v>
      </c>
      <c r="AC32" s="281"/>
      <c r="AD32" s="190"/>
      <c r="AE32" s="191"/>
      <c r="AF32" s="226">
        <f aca="true" t="shared" si="38" ref="AF32:AF37">SUM(X32:AE32)</f>
        <v>18014.61</v>
      </c>
      <c r="AG32" s="269">
        <f t="shared" si="25"/>
        <v>18143.875500000002</v>
      </c>
      <c r="AH32" s="467">
        <v>0</v>
      </c>
      <c r="AI32" s="270">
        <f t="shared" si="26"/>
        <v>0</v>
      </c>
      <c r="AJ32" s="227">
        <f>'[12]Т07'!$J$3+'[12]Т07'!$J$215</f>
        <v>3857.305</v>
      </c>
      <c r="AK32" s="148">
        <f>1*B32</f>
        <v>1226.7</v>
      </c>
      <c r="AL32" s="148">
        <f t="shared" si="27"/>
        <v>245.34000000000003</v>
      </c>
      <c r="AM32" s="148">
        <f t="shared" si="28"/>
        <v>1226.7</v>
      </c>
      <c r="AN32" s="148">
        <f t="shared" si="29"/>
        <v>257.607</v>
      </c>
      <c r="AO32" s="148">
        <f t="shared" si="33"/>
        <v>2477.934</v>
      </c>
      <c r="AP32" s="148">
        <f t="shared" si="30"/>
        <v>1263.501</v>
      </c>
      <c r="AQ32" s="148">
        <f t="shared" si="31"/>
        <v>920.0250000000001</v>
      </c>
      <c r="AR32" s="148">
        <f t="shared" si="32"/>
        <v>920.0250000000001</v>
      </c>
      <c r="AS32" s="279"/>
      <c r="AT32" s="255">
        <f>0.45*483</f>
        <v>217.35</v>
      </c>
      <c r="AU32" s="461">
        <v>20738</v>
      </c>
      <c r="AV32" s="230"/>
      <c r="AW32" s="230"/>
      <c r="AX32" s="230">
        <f>6377+1200+8.33+5856+3360</f>
        <v>16801.33</v>
      </c>
      <c r="AY32" s="230"/>
      <c r="AZ32" s="230"/>
      <c r="BA32" s="93"/>
      <c r="BB32" s="229"/>
      <c r="BC32" s="266">
        <f>SUM(AK32:BB32)</f>
        <v>46294.512</v>
      </c>
      <c r="BD32" s="232">
        <f>'[12]Т07'!$S$3+'[12]Т07'!$S$215</f>
        <v>1876.731</v>
      </c>
      <c r="BE32" s="154">
        <f t="shared" si="34"/>
        <v>48171.243</v>
      </c>
      <c r="BF32" s="185">
        <f t="shared" si="35"/>
        <v>-26170.0625</v>
      </c>
      <c r="BG32" s="180">
        <f t="shared" si="36"/>
        <v>1300.1500000000015</v>
      </c>
    </row>
    <row r="33" spans="1:59" ht="12.75">
      <c r="A33" s="7" t="s">
        <v>50</v>
      </c>
      <c r="B33" s="139">
        <v>1226.7</v>
      </c>
      <c r="C33" s="221">
        <f>B33*14.05</f>
        <v>17235.135000000002</v>
      </c>
      <c r="D33" s="280"/>
      <c r="E33" s="222"/>
      <c r="F33" s="222"/>
      <c r="G33" s="222">
        <v>11642.47</v>
      </c>
      <c r="H33" s="222"/>
      <c r="I33" s="222"/>
      <c r="J33" s="222"/>
      <c r="K33" s="222"/>
      <c r="L33" s="222"/>
      <c r="M33" s="222">
        <v>3634.98</v>
      </c>
      <c r="N33" s="222"/>
      <c r="O33" s="222">
        <v>1441.25</v>
      </c>
      <c r="P33" s="222"/>
      <c r="Q33" s="222"/>
      <c r="R33" s="222"/>
      <c r="S33" s="223"/>
      <c r="T33" s="283"/>
      <c r="U33" s="277">
        <f t="shared" si="37"/>
        <v>16718.699999999997</v>
      </c>
      <c r="V33" s="466">
        <f t="shared" si="37"/>
        <v>0</v>
      </c>
      <c r="W33" s="281"/>
      <c r="X33" s="190">
        <v>10957.56</v>
      </c>
      <c r="Y33" s="281"/>
      <c r="Z33" s="281"/>
      <c r="AA33" s="190">
        <v>3352.89</v>
      </c>
      <c r="AB33" s="190">
        <v>1328.49</v>
      </c>
      <c r="AC33" s="281"/>
      <c r="AD33" s="190"/>
      <c r="AE33" s="191"/>
      <c r="AF33" s="226">
        <f t="shared" si="38"/>
        <v>15638.939999999999</v>
      </c>
      <c r="AG33" s="269">
        <f t="shared" si="25"/>
        <v>15638.939999999999</v>
      </c>
      <c r="AH33" s="467">
        <v>0</v>
      </c>
      <c r="AI33" s="270">
        <f t="shared" si="26"/>
        <v>0</v>
      </c>
      <c r="AJ33" s="227">
        <f>'[12]Т08'!$J$3+'[12]Т08'!$J$215</f>
        <v>3857.305</v>
      </c>
      <c r="AK33" s="148">
        <f>1*B33</f>
        <v>1226.7</v>
      </c>
      <c r="AL33" s="148">
        <f t="shared" si="27"/>
        <v>245.34000000000003</v>
      </c>
      <c r="AM33" s="148">
        <f t="shared" si="28"/>
        <v>1226.7</v>
      </c>
      <c r="AN33" s="148">
        <f t="shared" si="29"/>
        <v>257.607</v>
      </c>
      <c r="AO33" s="148">
        <f t="shared" si="33"/>
        <v>2477.934</v>
      </c>
      <c r="AP33" s="148">
        <f t="shared" si="30"/>
        <v>1263.501</v>
      </c>
      <c r="AQ33" s="148">
        <f t="shared" si="31"/>
        <v>920.0250000000001</v>
      </c>
      <c r="AR33" s="148">
        <f t="shared" si="32"/>
        <v>920.0250000000001</v>
      </c>
      <c r="AS33" s="279"/>
      <c r="AT33" s="255">
        <f>0.45*483</f>
        <v>217.35</v>
      </c>
      <c r="AU33" s="461"/>
      <c r="AV33" s="230"/>
      <c r="AW33" s="230"/>
      <c r="AX33" s="230">
        <f>44.6</f>
        <v>44.6</v>
      </c>
      <c r="AY33" s="230"/>
      <c r="AZ33" s="230"/>
      <c r="BA33" s="93"/>
      <c r="BB33" s="229"/>
      <c r="BC33" s="266">
        <f>SUM(AK33:BB33)</f>
        <v>8799.782000000001</v>
      </c>
      <c r="BD33" s="232">
        <f>'[12]Т08'!$S$3+'[12]Т08'!$S$215</f>
        <v>1876.731</v>
      </c>
      <c r="BE33" s="154">
        <f t="shared" si="34"/>
        <v>10676.513</v>
      </c>
      <c r="BF33" s="185">
        <f t="shared" si="35"/>
        <v>8819.731999999998</v>
      </c>
      <c r="BG33" s="180">
        <f t="shared" si="36"/>
        <v>-1079.7599999999984</v>
      </c>
    </row>
    <row r="34" spans="1:59" ht="12.75">
      <c r="A34" s="7" t="s">
        <v>51</v>
      </c>
      <c r="B34" s="139">
        <v>1226.7</v>
      </c>
      <c r="C34" s="221">
        <f>B34*14.05</f>
        <v>17235.135000000002</v>
      </c>
      <c r="D34" s="280"/>
      <c r="E34" s="222"/>
      <c r="F34" s="222"/>
      <c r="G34" s="222">
        <v>11642.47</v>
      </c>
      <c r="H34" s="222"/>
      <c r="I34" s="222"/>
      <c r="J34" s="222"/>
      <c r="K34" s="222"/>
      <c r="L34" s="222"/>
      <c r="M34" s="222">
        <v>3634.98</v>
      </c>
      <c r="N34" s="222"/>
      <c r="O34" s="222">
        <v>1441.25</v>
      </c>
      <c r="P34" s="222"/>
      <c r="Q34" s="222"/>
      <c r="R34" s="222"/>
      <c r="S34" s="223"/>
      <c r="T34" s="283"/>
      <c r="U34" s="277">
        <f t="shared" si="37"/>
        <v>16718.699999999997</v>
      </c>
      <c r="V34" s="466">
        <f t="shared" si="37"/>
        <v>0</v>
      </c>
      <c r="W34" s="281"/>
      <c r="X34" s="190">
        <v>12667.01</v>
      </c>
      <c r="Y34" s="281"/>
      <c r="Z34" s="281"/>
      <c r="AA34" s="190">
        <v>3894.57</v>
      </c>
      <c r="AB34" s="190">
        <v>1545.05</v>
      </c>
      <c r="AC34" s="281"/>
      <c r="AD34" s="190"/>
      <c r="AE34" s="191"/>
      <c r="AF34" s="226">
        <f t="shared" si="38"/>
        <v>18106.63</v>
      </c>
      <c r="AG34" s="269">
        <f t="shared" si="25"/>
        <v>18106.63</v>
      </c>
      <c r="AH34" s="467">
        <v>0</v>
      </c>
      <c r="AI34" s="270">
        <f t="shared" si="26"/>
        <v>0</v>
      </c>
      <c r="AJ34" s="227">
        <f>'[12]Т09'!$J$3+'[12]Т09'!$J$215</f>
        <v>3857.305</v>
      </c>
      <c r="AK34" s="148">
        <f>1*B34</f>
        <v>1226.7</v>
      </c>
      <c r="AL34" s="148">
        <f t="shared" si="27"/>
        <v>245.34000000000003</v>
      </c>
      <c r="AM34" s="148">
        <f t="shared" si="28"/>
        <v>1226.7</v>
      </c>
      <c r="AN34" s="148">
        <f t="shared" si="29"/>
        <v>257.607</v>
      </c>
      <c r="AO34" s="148">
        <f t="shared" si="33"/>
        <v>2477.934</v>
      </c>
      <c r="AP34" s="148">
        <f t="shared" si="30"/>
        <v>1263.501</v>
      </c>
      <c r="AQ34" s="148">
        <f t="shared" si="31"/>
        <v>920.0250000000001</v>
      </c>
      <c r="AR34" s="148">
        <f t="shared" si="32"/>
        <v>920.0250000000001</v>
      </c>
      <c r="AS34" s="279"/>
      <c r="AT34" s="255">
        <f>0.45*483</f>
        <v>217.35</v>
      </c>
      <c r="AU34" s="461"/>
      <c r="AV34" s="230"/>
      <c r="AW34" s="230"/>
      <c r="AX34" s="230"/>
      <c r="AY34" s="230"/>
      <c r="AZ34" s="230"/>
      <c r="BA34" s="93"/>
      <c r="BB34" s="229"/>
      <c r="BC34" s="266">
        <f>SUM(AK34:BB34)</f>
        <v>8755.182</v>
      </c>
      <c r="BD34" s="232">
        <f>'[12]Т09'!$S$3+'[12]Т09'!$S$215</f>
        <v>1876.731</v>
      </c>
      <c r="BE34" s="154">
        <f t="shared" si="34"/>
        <v>10631.913</v>
      </c>
      <c r="BF34" s="185">
        <f t="shared" si="35"/>
        <v>11332.022</v>
      </c>
      <c r="BG34" s="180">
        <f t="shared" si="36"/>
        <v>1387.930000000004</v>
      </c>
    </row>
    <row r="35" spans="1:59" ht="12.75">
      <c r="A35" s="7" t="s">
        <v>39</v>
      </c>
      <c r="B35" s="139">
        <v>1226.7</v>
      </c>
      <c r="C35" s="221">
        <f>B35*14.05</f>
        <v>17235.135000000002</v>
      </c>
      <c r="D35" s="280"/>
      <c r="E35" s="222"/>
      <c r="F35" s="222"/>
      <c r="G35" s="222">
        <v>11642.47</v>
      </c>
      <c r="H35" s="222"/>
      <c r="I35" s="222"/>
      <c r="J35" s="222"/>
      <c r="K35" s="222"/>
      <c r="L35" s="222"/>
      <c r="M35" s="222">
        <v>3634.98</v>
      </c>
      <c r="N35" s="222"/>
      <c r="O35" s="222">
        <v>1441.25</v>
      </c>
      <c r="P35" s="222"/>
      <c r="Q35" s="222"/>
      <c r="R35" s="222"/>
      <c r="S35" s="223"/>
      <c r="T35" s="283"/>
      <c r="U35" s="277">
        <f t="shared" si="37"/>
        <v>16718.699999999997</v>
      </c>
      <c r="V35" s="466">
        <f t="shared" si="37"/>
        <v>0</v>
      </c>
      <c r="W35" s="281"/>
      <c r="X35" s="190">
        <v>10914.96</v>
      </c>
      <c r="Y35" s="281"/>
      <c r="Z35" s="281"/>
      <c r="AA35" s="190">
        <v>3358.42</v>
      </c>
      <c r="AB35" s="190">
        <v>1337.04</v>
      </c>
      <c r="AC35" s="281"/>
      <c r="AD35" s="190"/>
      <c r="AE35" s="191"/>
      <c r="AF35" s="226">
        <f t="shared" si="38"/>
        <v>15610.419999999998</v>
      </c>
      <c r="AG35" s="269">
        <f t="shared" si="25"/>
        <v>15610.419999999998</v>
      </c>
      <c r="AH35" s="467">
        <v>0</v>
      </c>
      <c r="AI35" s="270">
        <f t="shared" si="26"/>
        <v>0</v>
      </c>
      <c r="AJ35" s="227">
        <f>'[12]Т10'!$J$3+'[12]Т10'!$J$214</f>
        <v>3857.305</v>
      </c>
      <c r="AK35" s="148">
        <f>1*B35</f>
        <v>1226.7</v>
      </c>
      <c r="AL35" s="148">
        <f t="shared" si="27"/>
        <v>245.34000000000003</v>
      </c>
      <c r="AM35" s="148">
        <f t="shared" si="28"/>
        <v>1226.7</v>
      </c>
      <c r="AN35" s="148">
        <f t="shared" si="29"/>
        <v>257.607</v>
      </c>
      <c r="AO35" s="148">
        <f t="shared" si="33"/>
        <v>2477.934</v>
      </c>
      <c r="AP35" s="148">
        <f t="shared" si="30"/>
        <v>1263.501</v>
      </c>
      <c r="AQ35" s="148">
        <f t="shared" si="31"/>
        <v>920.0250000000001</v>
      </c>
      <c r="AR35" s="148">
        <f t="shared" si="32"/>
        <v>920.0250000000001</v>
      </c>
      <c r="AS35" s="279">
        <f>B35*1.15</f>
        <v>1410.705</v>
      </c>
      <c r="AT35" s="255">
        <f>0.45*483</f>
        <v>217.35</v>
      </c>
      <c r="AU35" s="468">
        <v>11756</v>
      </c>
      <c r="AV35" s="230"/>
      <c r="AW35" s="230"/>
      <c r="AX35" s="230">
        <f>2825+800+500+700+27+265</f>
        <v>5117</v>
      </c>
      <c r="AY35" s="230"/>
      <c r="AZ35" s="230"/>
      <c r="BA35" s="93"/>
      <c r="BB35" s="229"/>
      <c r="BC35" s="266">
        <f>SUM(AK35:BB35)</f>
        <v>27038.887000000002</v>
      </c>
      <c r="BD35" s="232">
        <f>'[12]Т10'!$S$3+'[12]Т10'!$S$214</f>
        <v>1876.731</v>
      </c>
      <c r="BE35" s="154">
        <f t="shared" si="34"/>
        <v>28915.618000000002</v>
      </c>
      <c r="BF35" s="185">
        <f t="shared" si="35"/>
        <v>-9447.893000000004</v>
      </c>
      <c r="BG35" s="180">
        <f t="shared" si="36"/>
        <v>-1108.2799999999988</v>
      </c>
    </row>
    <row r="36" spans="1:59" ht="12.75">
      <c r="A36" s="7" t="s">
        <v>40</v>
      </c>
      <c r="B36" s="469">
        <v>1226.7</v>
      </c>
      <c r="C36" s="221">
        <f>B36*14.05</f>
        <v>17235.135000000002</v>
      </c>
      <c r="D36" s="280"/>
      <c r="E36" s="222"/>
      <c r="F36" s="222"/>
      <c r="G36" s="190">
        <v>11642.46</v>
      </c>
      <c r="H36" s="190"/>
      <c r="I36" s="222"/>
      <c r="J36" s="222"/>
      <c r="K36" s="222"/>
      <c r="L36" s="222"/>
      <c r="M36" s="190">
        <v>3634.98</v>
      </c>
      <c r="N36" s="190"/>
      <c r="O36" s="190">
        <v>1441.25</v>
      </c>
      <c r="P36" s="190"/>
      <c r="Q36" s="190"/>
      <c r="R36" s="190"/>
      <c r="S36" s="191"/>
      <c r="T36" s="283"/>
      <c r="U36" s="277">
        <f t="shared" si="37"/>
        <v>16718.69</v>
      </c>
      <c r="V36" s="466">
        <f t="shared" si="37"/>
        <v>0</v>
      </c>
      <c r="W36" s="281"/>
      <c r="X36" s="190">
        <v>16670.94</v>
      </c>
      <c r="Y36" s="281"/>
      <c r="Z36" s="281"/>
      <c r="AA36" s="190">
        <v>5157.33</v>
      </c>
      <c r="AB36" s="190">
        <v>2043.78</v>
      </c>
      <c r="AC36" s="281"/>
      <c r="AD36" s="190"/>
      <c r="AE36" s="191"/>
      <c r="AF36" s="226">
        <f t="shared" si="38"/>
        <v>23872.049999999996</v>
      </c>
      <c r="AG36" s="269">
        <f t="shared" si="25"/>
        <v>23872.049999999996</v>
      </c>
      <c r="AH36" s="467">
        <v>0</v>
      </c>
      <c r="AI36" s="270">
        <f t="shared" si="26"/>
        <v>0</v>
      </c>
      <c r="AJ36" s="227">
        <f>'[12]Т11'!$J$3+'[12]Т11'!$J$216</f>
        <v>3857.305</v>
      </c>
      <c r="AK36" s="148">
        <f>1*B36</f>
        <v>1226.7</v>
      </c>
      <c r="AL36" s="148">
        <f t="shared" si="27"/>
        <v>245.34000000000003</v>
      </c>
      <c r="AM36" s="148">
        <f t="shared" si="28"/>
        <v>1226.7</v>
      </c>
      <c r="AN36" s="148">
        <f t="shared" si="29"/>
        <v>257.607</v>
      </c>
      <c r="AO36" s="148">
        <f t="shared" si="33"/>
        <v>2477.934</v>
      </c>
      <c r="AP36" s="148">
        <f t="shared" si="30"/>
        <v>1263.501</v>
      </c>
      <c r="AQ36" s="148">
        <f t="shared" si="31"/>
        <v>920.0250000000001</v>
      </c>
      <c r="AR36" s="148">
        <f t="shared" si="32"/>
        <v>920.0250000000001</v>
      </c>
      <c r="AS36" s="279">
        <f>B36*1.15</f>
        <v>1410.705</v>
      </c>
      <c r="AT36" s="255">
        <f>0.45*483</f>
        <v>217.35</v>
      </c>
      <c r="AU36" s="461">
        <v>10408</v>
      </c>
      <c r="AV36" s="230"/>
      <c r="AW36" s="230"/>
      <c r="AX36" s="230">
        <f>1942+1900</f>
        <v>3842</v>
      </c>
      <c r="AY36" s="230"/>
      <c r="AZ36" s="230"/>
      <c r="BA36" s="93"/>
      <c r="BB36" s="229"/>
      <c r="BC36" s="266">
        <f>SUM(AK36:BB36)</f>
        <v>24415.887000000002</v>
      </c>
      <c r="BD36" s="232">
        <f>'[12]Т11'!$S$3+'[12]Т11'!$S$216</f>
        <v>1876.731</v>
      </c>
      <c r="BE36" s="154">
        <f t="shared" si="34"/>
        <v>26292.618000000002</v>
      </c>
      <c r="BF36" s="185">
        <f t="shared" si="35"/>
        <v>1436.7369999999937</v>
      </c>
      <c r="BG36" s="180">
        <f t="shared" si="36"/>
        <v>7153.359999999997</v>
      </c>
    </row>
    <row r="37" spans="1:59" ht="13.5" thickBot="1">
      <c r="A37" s="7" t="s">
        <v>41</v>
      </c>
      <c r="B37" s="469">
        <v>1226.7</v>
      </c>
      <c r="C37" s="221">
        <f>B37*14.05</f>
        <v>17235.135000000002</v>
      </c>
      <c r="D37" s="280"/>
      <c r="E37" s="190"/>
      <c r="F37" s="190"/>
      <c r="G37" s="190">
        <v>11642.47</v>
      </c>
      <c r="H37" s="190"/>
      <c r="I37" s="190"/>
      <c r="J37" s="190"/>
      <c r="K37" s="190"/>
      <c r="L37" s="190"/>
      <c r="M37" s="190">
        <v>3634.98</v>
      </c>
      <c r="N37" s="190"/>
      <c r="O37" s="190">
        <v>1441.25</v>
      </c>
      <c r="P37" s="190"/>
      <c r="Q37" s="190"/>
      <c r="R37" s="190"/>
      <c r="S37" s="191"/>
      <c r="T37" s="283"/>
      <c r="U37" s="277">
        <f t="shared" si="37"/>
        <v>16718.699999999997</v>
      </c>
      <c r="V37" s="466">
        <f t="shared" si="37"/>
        <v>0</v>
      </c>
      <c r="W37" s="281"/>
      <c r="X37" s="190">
        <v>16231.84</v>
      </c>
      <c r="Y37" s="190"/>
      <c r="Z37" s="190"/>
      <c r="AA37" s="190">
        <v>5033.87</v>
      </c>
      <c r="AB37" s="190">
        <v>1845.12</v>
      </c>
      <c r="AC37" s="190"/>
      <c r="AD37" s="190"/>
      <c r="AE37" s="191"/>
      <c r="AF37" s="226">
        <f t="shared" si="38"/>
        <v>23110.829999999998</v>
      </c>
      <c r="AG37" s="269">
        <f t="shared" si="25"/>
        <v>23110.829999999998</v>
      </c>
      <c r="AH37" s="467">
        <v>0</v>
      </c>
      <c r="AI37" s="270">
        <f t="shared" si="26"/>
        <v>0</v>
      </c>
      <c r="AJ37" s="227">
        <f>'[12]Т12'!$J$3+'[12]Т12'!$J$219</f>
        <v>3857.305</v>
      </c>
      <c r="AK37" s="148">
        <f>1*B37</f>
        <v>1226.7</v>
      </c>
      <c r="AL37" s="148">
        <f t="shared" si="27"/>
        <v>245.34000000000003</v>
      </c>
      <c r="AM37" s="148">
        <f t="shared" si="28"/>
        <v>1226.7</v>
      </c>
      <c r="AN37" s="148">
        <f t="shared" si="29"/>
        <v>257.607</v>
      </c>
      <c r="AO37" s="148">
        <f t="shared" si="33"/>
        <v>2477.934</v>
      </c>
      <c r="AP37" s="148">
        <f t="shared" si="30"/>
        <v>1263.501</v>
      </c>
      <c r="AQ37" s="148">
        <f t="shared" si="31"/>
        <v>920.0250000000001</v>
      </c>
      <c r="AR37" s="148">
        <f t="shared" si="32"/>
        <v>920.0250000000001</v>
      </c>
      <c r="AS37" s="279">
        <f>B37*1.15</f>
        <v>1410.705</v>
      </c>
      <c r="AT37" s="255">
        <f>0.45*483</f>
        <v>217.35</v>
      </c>
      <c r="AU37" s="461"/>
      <c r="AV37" s="230"/>
      <c r="AW37" s="230"/>
      <c r="AX37" s="230">
        <f>27</f>
        <v>27</v>
      </c>
      <c r="AY37" s="230"/>
      <c r="AZ37" s="230"/>
      <c r="BA37" s="93"/>
      <c r="BB37" s="229"/>
      <c r="BC37" s="266">
        <f>SUM(AK37:BB37)</f>
        <v>10192.887</v>
      </c>
      <c r="BD37" s="232">
        <f>'[12]Т12'!$S$3+'[12]Т12'!$S$219</f>
        <v>1876.731</v>
      </c>
      <c r="BE37" s="154">
        <f t="shared" si="34"/>
        <v>12069.618</v>
      </c>
      <c r="BF37" s="185">
        <f t="shared" si="35"/>
        <v>14898.516999999998</v>
      </c>
      <c r="BG37" s="180">
        <f t="shared" si="36"/>
        <v>6392.130000000001</v>
      </c>
    </row>
    <row r="38" spans="1:59" s="17" customFormat="1" ht="13.5" thickBot="1">
      <c r="A38" s="195" t="s">
        <v>4</v>
      </c>
      <c r="B38" s="196"/>
      <c r="C38" s="197">
        <f aca="true" t="shared" si="39" ref="C38:AR38">SUM(C26:C37)</f>
        <v>206821.62000000008</v>
      </c>
      <c r="D38" s="197">
        <f t="shared" si="39"/>
        <v>708.8294999999999</v>
      </c>
      <c r="E38" s="197">
        <f t="shared" si="39"/>
        <v>0</v>
      </c>
      <c r="F38" s="197">
        <f t="shared" si="39"/>
        <v>0</v>
      </c>
      <c r="G38" s="197">
        <f t="shared" si="39"/>
        <v>139691.36</v>
      </c>
      <c r="H38" s="197">
        <f t="shared" si="39"/>
        <v>0</v>
      </c>
      <c r="I38" s="197">
        <f t="shared" si="39"/>
        <v>0</v>
      </c>
      <c r="J38" s="197">
        <f t="shared" si="39"/>
        <v>0</v>
      </c>
      <c r="K38" s="197">
        <f t="shared" si="39"/>
        <v>0</v>
      </c>
      <c r="L38" s="197">
        <f t="shared" si="39"/>
        <v>0</v>
      </c>
      <c r="M38" s="197">
        <f t="shared" si="39"/>
        <v>43610.82000000001</v>
      </c>
      <c r="N38" s="197">
        <f t="shared" si="39"/>
        <v>0</v>
      </c>
      <c r="O38" s="197">
        <f t="shared" si="39"/>
        <v>17291.8</v>
      </c>
      <c r="P38" s="197">
        <f t="shared" si="39"/>
        <v>0</v>
      </c>
      <c r="Q38" s="197">
        <f t="shared" si="39"/>
        <v>0</v>
      </c>
      <c r="R38" s="197">
        <f t="shared" si="39"/>
        <v>0</v>
      </c>
      <c r="S38" s="197">
        <f t="shared" si="39"/>
        <v>0</v>
      </c>
      <c r="T38" s="197">
        <f t="shared" si="39"/>
        <v>0</v>
      </c>
      <c r="U38" s="197">
        <f t="shared" si="39"/>
        <v>200593.98000000004</v>
      </c>
      <c r="V38" s="197">
        <f t="shared" si="39"/>
        <v>0</v>
      </c>
      <c r="W38" s="197">
        <f t="shared" si="39"/>
        <v>0</v>
      </c>
      <c r="X38" s="197">
        <f t="shared" si="39"/>
        <v>144311.06</v>
      </c>
      <c r="Y38" s="197">
        <f t="shared" si="39"/>
        <v>0</v>
      </c>
      <c r="Z38" s="197">
        <f t="shared" si="39"/>
        <v>0</v>
      </c>
      <c r="AA38" s="197">
        <f t="shared" si="39"/>
        <v>44419.46</v>
      </c>
      <c r="AB38" s="197">
        <f t="shared" si="39"/>
        <v>17459.64</v>
      </c>
      <c r="AC38" s="197">
        <f t="shared" si="39"/>
        <v>0</v>
      </c>
      <c r="AD38" s="197">
        <f t="shared" si="39"/>
        <v>0</v>
      </c>
      <c r="AE38" s="197">
        <f t="shared" si="39"/>
        <v>0</v>
      </c>
      <c r="AF38" s="197">
        <f t="shared" si="39"/>
        <v>206190.15999999995</v>
      </c>
      <c r="AG38" s="197">
        <f t="shared" si="39"/>
        <v>206898.9895</v>
      </c>
      <c r="AH38" s="197">
        <f t="shared" si="39"/>
        <v>0</v>
      </c>
      <c r="AI38" s="197">
        <f t="shared" si="39"/>
        <v>0</v>
      </c>
      <c r="AJ38" s="197">
        <f t="shared" si="39"/>
        <v>46287.659999999996</v>
      </c>
      <c r="AK38" s="197">
        <f t="shared" si="39"/>
        <v>14720.400000000003</v>
      </c>
      <c r="AL38" s="197">
        <f t="shared" si="39"/>
        <v>2944.0800000000013</v>
      </c>
      <c r="AM38" s="197">
        <f t="shared" si="39"/>
        <v>14720.400000000003</v>
      </c>
      <c r="AN38" s="197">
        <f t="shared" si="39"/>
        <v>3091.284</v>
      </c>
      <c r="AO38" s="197">
        <f t="shared" si="39"/>
        <v>29735.20800000001</v>
      </c>
      <c r="AP38" s="197">
        <f t="shared" si="39"/>
        <v>15162.012</v>
      </c>
      <c r="AQ38" s="197">
        <f t="shared" si="39"/>
        <v>11040.299999999997</v>
      </c>
      <c r="AR38" s="197">
        <f t="shared" si="39"/>
        <v>11040.299999999997</v>
      </c>
      <c r="AS38" s="197"/>
      <c r="AT38" s="197">
        <f aca="true" t="shared" si="40" ref="AT38:AY38">SUM(AS26:AS37)</f>
        <v>8464.23</v>
      </c>
      <c r="AU38" s="197">
        <f t="shared" si="40"/>
        <v>2608.1999999999994</v>
      </c>
      <c r="AV38" s="197">
        <f t="shared" si="40"/>
        <v>42902</v>
      </c>
      <c r="AW38" s="197">
        <f t="shared" si="40"/>
        <v>0</v>
      </c>
      <c r="AX38" s="197">
        <f t="shared" si="40"/>
        <v>316</v>
      </c>
      <c r="AY38" s="197">
        <f t="shared" si="40"/>
        <v>27889.21</v>
      </c>
      <c r="AZ38" s="197">
        <f>SUM(BA26:BA37)</f>
        <v>0</v>
      </c>
      <c r="BA38" s="197">
        <f>SUM(BB26:BB37)</f>
        <v>0</v>
      </c>
      <c r="BB38" s="202">
        <f>SUM(BB26:BB37)</f>
        <v>0</v>
      </c>
      <c r="BC38" s="202">
        <f>SUM(BC26:BC37)</f>
        <v>184633.624</v>
      </c>
      <c r="BD38" s="202">
        <f>SUM(BD26:BD37)</f>
        <v>22520.772</v>
      </c>
      <c r="BE38" s="202">
        <f>SUM(BE26:BE37)</f>
        <v>207154.39600000004</v>
      </c>
      <c r="BF38" s="202">
        <f>SUM(BF26:BF37)</f>
        <v>46032.25349999998</v>
      </c>
      <c r="BG38" s="202">
        <f>SUM(BG26:BG37)</f>
        <v>5596.180000000004</v>
      </c>
    </row>
    <row r="39" spans="1:59" s="17" customFormat="1" ht="13.5" thickBot="1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200"/>
      <c r="BF39" s="199"/>
      <c r="BG39" s="201"/>
    </row>
    <row r="40" spans="1:59" s="17" customFormat="1" ht="13.5" thickBot="1">
      <c r="A40" s="176" t="s">
        <v>52</v>
      </c>
      <c r="B40" s="199"/>
      <c r="C40" s="202">
        <f aca="true" t="shared" si="41" ref="C40:AR40">C38+C24</f>
        <v>627946.1600000001</v>
      </c>
      <c r="D40" s="202">
        <f t="shared" si="41"/>
        <v>24781.165000000005</v>
      </c>
      <c r="E40" s="202">
        <f t="shared" si="41"/>
        <v>22713.25</v>
      </c>
      <c r="F40" s="202">
        <f t="shared" si="41"/>
        <v>3824.12</v>
      </c>
      <c r="G40" s="202">
        <f t="shared" si="41"/>
        <v>250490.00999999998</v>
      </c>
      <c r="H40" s="202">
        <f t="shared" si="41"/>
        <v>0</v>
      </c>
      <c r="I40" s="202">
        <f t="shared" si="41"/>
        <v>30749.019999999997</v>
      </c>
      <c r="J40" s="202">
        <f t="shared" si="41"/>
        <v>5179.4400000000005</v>
      </c>
      <c r="K40" s="202">
        <f t="shared" si="41"/>
        <v>51190.13</v>
      </c>
      <c r="L40" s="202">
        <f t="shared" si="41"/>
        <v>8621.64</v>
      </c>
      <c r="M40" s="202">
        <f t="shared" si="41"/>
        <v>158362.41999999998</v>
      </c>
      <c r="N40" s="202">
        <f t="shared" si="41"/>
        <v>12445.630000000001</v>
      </c>
      <c r="O40" s="202">
        <f t="shared" si="41"/>
        <v>50790.270000000004</v>
      </c>
      <c r="P40" s="202">
        <f t="shared" si="41"/>
        <v>3059.2799999999997</v>
      </c>
      <c r="Q40" s="202">
        <f t="shared" si="41"/>
        <v>0</v>
      </c>
      <c r="R40" s="202">
        <f t="shared" si="41"/>
        <v>0</v>
      </c>
      <c r="S40" s="202">
        <f t="shared" si="41"/>
        <v>0</v>
      </c>
      <c r="T40" s="202">
        <f t="shared" si="41"/>
        <v>0</v>
      </c>
      <c r="U40" s="202">
        <f t="shared" si="41"/>
        <v>564295.1000000001</v>
      </c>
      <c r="V40" s="202">
        <f t="shared" si="41"/>
        <v>33130.11</v>
      </c>
      <c r="W40" s="202">
        <f t="shared" si="41"/>
        <v>23629.46</v>
      </c>
      <c r="X40" s="202">
        <f t="shared" si="41"/>
        <v>240479.44999999998</v>
      </c>
      <c r="Y40" s="202">
        <f t="shared" si="41"/>
        <v>31982.190000000002</v>
      </c>
      <c r="Z40" s="202">
        <f t="shared" si="41"/>
        <v>53246.62</v>
      </c>
      <c r="AA40" s="202">
        <f t="shared" si="41"/>
        <v>159019.47999999998</v>
      </c>
      <c r="AB40" s="202">
        <f t="shared" si="41"/>
        <v>49810.81</v>
      </c>
      <c r="AC40" s="202">
        <f t="shared" si="41"/>
        <v>0</v>
      </c>
      <c r="AD40" s="202">
        <f t="shared" si="41"/>
        <v>0</v>
      </c>
      <c r="AE40" s="202">
        <f t="shared" si="41"/>
        <v>0</v>
      </c>
      <c r="AF40" s="202">
        <f t="shared" si="41"/>
        <v>558168.0099999999</v>
      </c>
      <c r="AG40" s="202">
        <f t="shared" si="41"/>
        <v>616079.285</v>
      </c>
      <c r="AH40" s="202">
        <f t="shared" si="41"/>
        <v>0</v>
      </c>
      <c r="AI40" s="202">
        <f t="shared" si="41"/>
        <v>0</v>
      </c>
      <c r="AJ40" s="202">
        <f t="shared" si="41"/>
        <v>157243.96511999998</v>
      </c>
      <c r="AK40" s="202">
        <f t="shared" si="41"/>
        <v>44770.26000000001</v>
      </c>
      <c r="AL40" s="202">
        <f t="shared" si="41"/>
        <v>11693.372104400005</v>
      </c>
      <c r="AM40" s="202">
        <f t="shared" si="41"/>
        <v>60923.498571695</v>
      </c>
      <c r="AN40" s="202">
        <f t="shared" si="41"/>
        <v>6182.568</v>
      </c>
      <c r="AO40" s="202">
        <f t="shared" si="41"/>
        <v>96205.98800000003</v>
      </c>
      <c r="AP40" s="202">
        <f t="shared" si="41"/>
        <v>94972.914</v>
      </c>
      <c r="AQ40" s="202">
        <f t="shared" si="41"/>
        <v>22080.599999999995</v>
      </c>
      <c r="AR40" s="202">
        <f t="shared" si="41"/>
        <v>22080.599999999995</v>
      </c>
      <c r="AS40" s="202"/>
      <c r="AT40" s="202">
        <f aca="true" t="shared" si="42" ref="AT40:BG40">AT38+AT24</f>
        <v>19536.66</v>
      </c>
      <c r="AU40" s="202">
        <f t="shared" si="42"/>
        <v>61648.18979999999</v>
      </c>
      <c r="AV40" s="202">
        <f t="shared" si="42"/>
        <v>67378</v>
      </c>
      <c r="AW40" s="202">
        <f t="shared" si="42"/>
        <v>24956.77</v>
      </c>
      <c r="AX40" s="202">
        <f t="shared" si="42"/>
        <v>19114.212799999998</v>
      </c>
      <c r="AY40" s="202">
        <f t="shared" si="42"/>
        <v>35101.343</v>
      </c>
      <c r="AZ40" s="202">
        <f t="shared" si="42"/>
        <v>0</v>
      </c>
      <c r="BA40" s="202">
        <f t="shared" si="42"/>
        <v>0</v>
      </c>
      <c r="BB40" s="202">
        <f t="shared" si="42"/>
        <v>0</v>
      </c>
      <c r="BC40" s="202">
        <f t="shared" si="42"/>
        <v>586644.9705122868</v>
      </c>
      <c r="BD40" s="202">
        <f t="shared" si="42"/>
        <v>59808.66</v>
      </c>
      <c r="BE40" s="203">
        <f t="shared" si="42"/>
        <v>646453.6305122868</v>
      </c>
      <c r="BF40" s="202">
        <f t="shared" si="42"/>
        <v>126869.61960771319</v>
      </c>
      <c r="BG40" s="204">
        <f t="shared" si="42"/>
        <v>-6127.089999999986</v>
      </c>
    </row>
  </sheetData>
  <sheetProtection/>
  <mergeCells count="56">
    <mergeCell ref="AJ3:AJ6"/>
    <mergeCell ref="Z5:Z6"/>
    <mergeCell ref="AA5:AA6"/>
    <mergeCell ref="V5:V6"/>
    <mergeCell ref="W5:W6"/>
    <mergeCell ref="X5:X6"/>
    <mergeCell ref="Y5:Y6"/>
    <mergeCell ref="AE5:AE6"/>
    <mergeCell ref="AK3:BE4"/>
    <mergeCell ref="AW5:AW6"/>
    <mergeCell ref="BB5:BB6"/>
    <mergeCell ref="AQ5:AQ6"/>
    <mergeCell ref="AR5:AR6"/>
    <mergeCell ref="AU5:AU6"/>
    <mergeCell ref="BA5:BA6"/>
    <mergeCell ref="BD5:BD6"/>
    <mergeCell ref="BE5:BE6"/>
    <mergeCell ref="AX5:AX6"/>
    <mergeCell ref="AM5:AM6"/>
    <mergeCell ref="AP5:AP6"/>
    <mergeCell ref="AT5:AT6"/>
    <mergeCell ref="BC5:BC6"/>
    <mergeCell ref="AV5:AV6"/>
    <mergeCell ref="AZ5:AZ6"/>
    <mergeCell ref="AN5:AN6"/>
    <mergeCell ref="AO5:AO6"/>
    <mergeCell ref="AS5:AS6"/>
    <mergeCell ref="A1:N1"/>
    <mergeCell ref="A3:A6"/>
    <mergeCell ref="B3:B6"/>
    <mergeCell ref="C3:C6"/>
    <mergeCell ref="D3:D6"/>
    <mergeCell ref="BF3:BF6"/>
    <mergeCell ref="AH5:AH6"/>
    <mergeCell ref="AI5:AI6"/>
    <mergeCell ref="AK5:AK6"/>
    <mergeCell ref="AL5:AL6"/>
    <mergeCell ref="E3:R4"/>
    <mergeCell ref="U3:V4"/>
    <mergeCell ref="W3:AI4"/>
    <mergeCell ref="S3:T4"/>
    <mergeCell ref="AF5:AF6"/>
    <mergeCell ref="AG5:AG6"/>
    <mergeCell ref="U5:U6"/>
    <mergeCell ref="AB5:AB6"/>
    <mergeCell ref="AD5:AD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AC5:A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N48" sqref="N48"/>
    </sheetView>
  </sheetViews>
  <sheetFormatPr defaultColWidth="9.00390625" defaultRowHeight="12.75"/>
  <cols>
    <col min="1" max="1" width="10.00390625" style="2" customWidth="1"/>
    <col min="2" max="2" width="7.25390625" style="2" customWidth="1"/>
    <col min="3" max="3" width="9.875" style="2" customWidth="1"/>
    <col min="4" max="4" width="9.00390625" style="2" customWidth="1"/>
    <col min="5" max="5" width="10.125" style="2" bestFit="1" customWidth="1"/>
    <col min="6" max="6" width="9.375" style="2" customWidth="1"/>
    <col min="7" max="7" width="12.125" style="2" customWidth="1"/>
    <col min="8" max="8" width="12.25390625" style="2" customWidth="1"/>
    <col min="9" max="9" width="9.875" style="2" customWidth="1"/>
    <col min="10" max="10" width="9.25390625" style="2" customWidth="1"/>
    <col min="11" max="11" width="9.125" style="2" customWidth="1"/>
    <col min="12" max="12" width="10.00390625" style="2" customWidth="1"/>
    <col min="13" max="13" width="11.75390625" style="2" customWidth="1"/>
    <col min="14" max="14" width="9.875" style="2" customWidth="1"/>
    <col min="15" max="15" width="10.25390625" style="2" customWidth="1"/>
    <col min="16" max="16" width="10.625" style="2" customWidth="1"/>
    <col min="17" max="17" width="9.75390625" style="2" bestFit="1" customWidth="1"/>
    <col min="18" max="18" width="9.75390625" style="2" customWidth="1"/>
    <col min="19" max="16384" width="9.125" style="2" customWidth="1"/>
  </cols>
  <sheetData>
    <row r="1" spans="2:9" ht="20.25" customHeight="1">
      <c r="B1" s="456" t="s">
        <v>53</v>
      </c>
      <c r="C1" s="456"/>
      <c r="D1" s="456"/>
      <c r="E1" s="456"/>
      <c r="F1" s="456"/>
      <c r="G1" s="456"/>
      <c r="H1" s="456"/>
      <c r="I1" s="22"/>
    </row>
    <row r="2" spans="2:12" ht="21" customHeight="1">
      <c r="B2" s="456" t="s">
        <v>54</v>
      </c>
      <c r="C2" s="456"/>
      <c r="D2" s="456"/>
      <c r="E2" s="456"/>
      <c r="F2" s="456"/>
      <c r="G2" s="456"/>
      <c r="H2" s="456"/>
      <c r="I2" s="22"/>
      <c r="K2" s="1"/>
      <c r="L2" s="1"/>
    </row>
    <row r="5" spans="1:17" ht="13.5" thickBot="1">
      <c r="A5" s="457" t="s">
        <v>120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206"/>
      <c r="Q5" s="206"/>
    </row>
    <row r="6" spans="1:17" ht="12.75">
      <c r="A6" s="458" t="s">
        <v>131</v>
      </c>
      <c r="B6" s="458"/>
      <c r="C6" s="458"/>
      <c r="D6" s="458"/>
      <c r="E6" s="458"/>
      <c r="F6" s="458"/>
      <c r="G6" s="458"/>
      <c r="H6" s="205"/>
      <c r="I6" s="205"/>
      <c r="J6" s="205"/>
      <c r="K6" s="205"/>
      <c r="L6" s="205"/>
      <c r="M6" s="205"/>
      <c r="N6" s="205"/>
      <c r="O6" s="205"/>
      <c r="Q6" s="235"/>
    </row>
    <row r="7" spans="1:17" ht="13.5" thickBot="1">
      <c r="A7" s="459" t="s">
        <v>55</v>
      </c>
      <c r="B7" s="459"/>
      <c r="C7" s="459"/>
      <c r="D7" s="459"/>
      <c r="E7" s="459">
        <v>14.05</v>
      </c>
      <c r="F7" s="459"/>
      <c r="J7" s="206"/>
      <c r="K7" s="206"/>
      <c r="L7" s="206"/>
      <c r="M7" s="206"/>
      <c r="N7" s="206"/>
      <c r="O7" s="206"/>
      <c r="P7" s="206"/>
      <c r="Q7" s="236"/>
    </row>
    <row r="8" spans="1:18" ht="12.75" customHeight="1">
      <c r="A8" s="307" t="s">
        <v>56</v>
      </c>
      <c r="B8" s="335" t="s">
        <v>1</v>
      </c>
      <c r="C8" s="442" t="s">
        <v>127</v>
      </c>
      <c r="D8" s="445" t="s">
        <v>3</v>
      </c>
      <c r="E8" s="448" t="s">
        <v>58</v>
      </c>
      <c r="F8" s="345"/>
      <c r="G8" s="438" t="s">
        <v>115</v>
      </c>
      <c r="H8" s="439"/>
      <c r="I8" s="237"/>
      <c r="J8" s="350" t="s">
        <v>9</v>
      </c>
      <c r="K8" s="351"/>
      <c r="L8" s="351"/>
      <c r="M8" s="351"/>
      <c r="N8" s="351"/>
      <c r="O8" s="351"/>
      <c r="P8" s="431" t="s">
        <v>59</v>
      </c>
      <c r="Q8" s="370" t="s">
        <v>11</v>
      </c>
      <c r="R8" s="233"/>
    </row>
    <row r="9" spans="1:19" ht="12.75">
      <c r="A9" s="308"/>
      <c r="B9" s="336"/>
      <c r="C9" s="443"/>
      <c r="D9" s="446"/>
      <c r="E9" s="449"/>
      <c r="F9" s="450"/>
      <c r="G9" s="440"/>
      <c r="H9" s="441"/>
      <c r="I9" s="429" t="s">
        <v>125</v>
      </c>
      <c r="J9" s="353"/>
      <c r="K9" s="354"/>
      <c r="L9" s="354"/>
      <c r="M9" s="354"/>
      <c r="N9" s="354"/>
      <c r="O9" s="354"/>
      <c r="P9" s="432"/>
      <c r="Q9" s="331"/>
      <c r="R9" s="233"/>
      <c r="S9" s="1"/>
    </row>
    <row r="10" spans="1:17" ht="26.25" customHeight="1">
      <c r="A10" s="308"/>
      <c r="B10" s="336"/>
      <c r="C10" s="443"/>
      <c r="D10" s="446"/>
      <c r="E10" s="451" t="s">
        <v>60</v>
      </c>
      <c r="F10" s="331"/>
      <c r="G10" s="207" t="s">
        <v>61</v>
      </c>
      <c r="H10" s="453" t="s">
        <v>6</v>
      </c>
      <c r="I10" s="429"/>
      <c r="J10" s="356" t="s">
        <v>62</v>
      </c>
      <c r="K10" s="313" t="s">
        <v>116</v>
      </c>
      <c r="L10" s="313" t="s">
        <v>63</v>
      </c>
      <c r="M10" s="313" t="s">
        <v>36</v>
      </c>
      <c r="N10" s="314" t="s">
        <v>117</v>
      </c>
      <c r="O10" s="434" t="s">
        <v>38</v>
      </c>
      <c r="P10" s="432"/>
      <c r="Q10" s="331"/>
    </row>
    <row r="11" spans="1:17" ht="66.75" customHeight="1" thickBot="1">
      <c r="A11" s="334"/>
      <c r="B11" s="337"/>
      <c r="C11" s="444"/>
      <c r="D11" s="447"/>
      <c r="E11" s="208" t="s">
        <v>65</v>
      </c>
      <c r="F11" s="25" t="s">
        <v>20</v>
      </c>
      <c r="G11" s="172" t="s">
        <v>118</v>
      </c>
      <c r="H11" s="434"/>
      <c r="I11" s="430"/>
      <c r="J11" s="357"/>
      <c r="K11" s="314"/>
      <c r="L11" s="314"/>
      <c r="M11" s="314"/>
      <c r="N11" s="452"/>
      <c r="O11" s="435"/>
      <c r="P11" s="433"/>
      <c r="Q11" s="347"/>
    </row>
    <row r="12" spans="1:17" ht="13.5" thickBot="1">
      <c r="A12" s="27">
        <v>1</v>
      </c>
      <c r="B12" s="28">
        <v>2</v>
      </c>
      <c r="C12" s="27">
        <v>3</v>
      </c>
      <c r="D12" s="28">
        <v>4</v>
      </c>
      <c r="E12" s="27">
        <v>5</v>
      </c>
      <c r="F12" s="28">
        <v>6</v>
      </c>
      <c r="G12" s="27">
        <v>7</v>
      </c>
      <c r="H12" s="28">
        <v>8</v>
      </c>
      <c r="I12" s="27">
        <v>9</v>
      </c>
      <c r="J12" s="28">
        <v>10</v>
      </c>
      <c r="K12" s="27">
        <v>11</v>
      </c>
      <c r="L12" s="28">
        <v>12</v>
      </c>
      <c r="M12" s="27">
        <v>13</v>
      </c>
      <c r="N12" s="28">
        <v>14</v>
      </c>
      <c r="O12" s="27">
        <v>15</v>
      </c>
      <c r="P12" s="28">
        <v>16</v>
      </c>
      <c r="Q12" s="27">
        <v>17</v>
      </c>
    </row>
    <row r="13" spans="1:17" ht="13.5" hidden="1" thickBot="1">
      <c r="A13" s="436" t="s">
        <v>93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209"/>
      <c r="Q13" s="209"/>
    </row>
    <row r="14" spans="1:19" s="17" customFormat="1" ht="13.5" hidden="1" thickBot="1">
      <c r="A14" s="48" t="s">
        <v>52</v>
      </c>
      <c r="B14" s="49"/>
      <c r="C14" s="50">
        <f>'2012 полн'!C8</f>
        <v>254784.02000000002</v>
      </c>
      <c r="D14" s="50">
        <f>'2012 полн'!D8</f>
        <v>22913.207500000004</v>
      </c>
      <c r="E14" s="50">
        <f>'2012 полн'!U8</f>
        <v>196720.06</v>
      </c>
      <c r="F14" s="50">
        <f>'2012 полн'!V8</f>
        <v>33130.11</v>
      </c>
      <c r="G14" s="50">
        <f>'2012 полн'!AF8</f>
        <v>196946.27000000002</v>
      </c>
      <c r="H14" s="50">
        <f>'2012 полн'!AG8</f>
        <v>252989.58749999997</v>
      </c>
      <c r="I14" s="50">
        <f>'2012 полн'!AJ8</f>
        <v>73292.88911999999</v>
      </c>
      <c r="J14" s="50">
        <f>'2012 полн'!AK8</f>
        <v>20187.192000000003</v>
      </c>
      <c r="K14" s="50">
        <f>'2012 полн'!AL8</f>
        <v>5805.212104400002</v>
      </c>
      <c r="L14" s="50">
        <f>'2012 полн'!AM8+'2012 полн'!AN8+'2012 полн'!AO8+'2012 полн'!AP8+'2012 полн'!AQ8+'2012 полн'!AR8+'2012 полн'!AT8+'2012 полн'!AX8</f>
        <v>153382.57337169503</v>
      </c>
      <c r="M14" s="50">
        <f>'2012 полн'!AU8+'2012 полн'!AV8+'2012 полн'!AW8+5388.77</f>
        <v>86994.6798</v>
      </c>
      <c r="N14" s="50">
        <f>'2012 полн'!BD8</f>
        <v>14767.116000000004</v>
      </c>
      <c r="O14" s="50">
        <f>'2012 полн'!BE8</f>
        <v>281136.76551228674</v>
      </c>
      <c r="P14" s="50">
        <f>'2012 полн'!BF8</f>
        <v>45145.71110771323</v>
      </c>
      <c r="Q14" s="50">
        <f>'2012 полн'!BG8</f>
        <v>226.20999999999822</v>
      </c>
      <c r="R14" s="53"/>
      <c r="S14" s="42"/>
    </row>
    <row r="15" spans="1:19" ht="12.75" hidden="1">
      <c r="A15" s="6" t="s">
        <v>114</v>
      </c>
      <c r="B15" s="210"/>
      <c r="C15" s="211"/>
      <c r="D15" s="212"/>
      <c r="E15" s="43"/>
      <c r="F15" s="44"/>
      <c r="G15" s="46"/>
      <c r="H15" s="44"/>
      <c r="I15" s="284"/>
      <c r="J15" s="46"/>
      <c r="K15" s="14"/>
      <c r="L15" s="14"/>
      <c r="M15" s="15"/>
      <c r="N15" s="213"/>
      <c r="O15" s="16"/>
      <c r="P15" s="33"/>
      <c r="Q15" s="33"/>
      <c r="R15" s="1"/>
      <c r="S15" s="1"/>
    </row>
    <row r="16" spans="1:19" ht="12.75" hidden="1">
      <c r="A16" s="7" t="s">
        <v>43</v>
      </c>
      <c r="B16" s="214">
        <f>'2012 полн'!B10</f>
        <v>1226.7</v>
      </c>
      <c r="C16" s="215">
        <f>'2012 полн'!C10</f>
        <v>10488.285000000002</v>
      </c>
      <c r="D16" s="216">
        <f>'2012 полн'!D10</f>
        <v>96.594</v>
      </c>
      <c r="E16" s="14">
        <f>'2012 полн'!U10</f>
        <v>10688.96</v>
      </c>
      <c r="F16" s="14">
        <f>'2012 полн'!V10</f>
        <v>0</v>
      </c>
      <c r="G16" s="32">
        <f>'2012 полн'!AF14</f>
        <v>8998.89</v>
      </c>
      <c r="H16" s="32">
        <f>'2012 полн'!AG14</f>
        <v>9095.483999999999</v>
      </c>
      <c r="I16" s="32">
        <f>'2012 полн'!AJ10</f>
        <v>3138.618</v>
      </c>
      <c r="J16" s="32">
        <f>'2012 полн'!AK10</f>
        <v>821.8890000000001</v>
      </c>
      <c r="K16" s="14">
        <f>'2012 полн'!AL10</f>
        <v>245.34000000000003</v>
      </c>
      <c r="L16" s="14">
        <f>'2012 полн'!AM10+'2012 полн'!AN10+'2012 полн'!AO10+'2012 полн'!AP10+'2012 полн'!AQ10+'2012 полн'!AR10+'2012 полн'!AS10+'2012 полн'!AT10+'2012 полн'!AX10</f>
        <v>9063.697</v>
      </c>
      <c r="M16" s="15">
        <f>'2012 полн'!AU10+'2012 полн'!AV10+'2012 полн'!AW10</f>
        <v>0</v>
      </c>
      <c r="N16" s="16">
        <f>'2012 полн'!BC10</f>
        <v>1876.731</v>
      </c>
      <c r="O16" s="16">
        <f>'2012 полн'!BD10</f>
        <v>12007.657000000001</v>
      </c>
      <c r="P16" s="33">
        <f>'2012 полн'!BE10</f>
        <v>-453.97500000000036</v>
      </c>
      <c r="Q16" s="33">
        <f>'2012 полн'!BF10</f>
        <v>-2370.489999999998</v>
      </c>
      <c r="R16" s="1"/>
      <c r="S16" s="1"/>
    </row>
    <row r="17" spans="1:19" ht="12.75" hidden="1">
      <c r="A17" s="7" t="s">
        <v>44</v>
      </c>
      <c r="B17" s="214">
        <f>'2012 полн'!B11</f>
        <v>1226.7</v>
      </c>
      <c r="C17" s="215">
        <f>'2012 полн'!C11</f>
        <v>10488.285000000002</v>
      </c>
      <c r="D17" s="216">
        <f>'2012 полн'!D11</f>
        <v>96.594</v>
      </c>
      <c r="E17" s="14">
        <f>'2012 полн'!U11</f>
        <v>10680.39</v>
      </c>
      <c r="F17" s="14">
        <f>'2012 полн'!V11</f>
        <v>0</v>
      </c>
      <c r="G17" s="32">
        <f>'2012 полн'!AF15</f>
        <v>11559.090000000002</v>
      </c>
      <c r="H17" s="32">
        <f>'2012 полн'!AG15</f>
        <v>11655.684000000001</v>
      </c>
      <c r="I17" s="32">
        <f>'2012 полн'!AJ11</f>
        <v>3138.618</v>
      </c>
      <c r="J17" s="32">
        <f>'2012 полн'!AK11</f>
        <v>821.8890000000001</v>
      </c>
      <c r="K17" s="14">
        <f>'2012 полн'!AL11</f>
        <v>245.34000000000003</v>
      </c>
      <c r="L17" s="14">
        <f>'2012 полн'!AM11+'2012 полн'!AN11+'2012 полн'!AO11+'2012 полн'!AP11+'2012 полн'!AQ11+'2012 полн'!AR11+'2012 полн'!AS11+'2012 полн'!AT11+'2012 полн'!AX11</f>
        <v>8716.407</v>
      </c>
      <c r="M17" s="15">
        <f>'2012 полн'!AU11+'2012 полн'!AV11+'2012 полн'!AW11</f>
        <v>0</v>
      </c>
      <c r="N17" s="16">
        <f>'2012 полн'!BC11</f>
        <v>1876.731</v>
      </c>
      <c r="O17" s="16">
        <f>'2012 полн'!BD11</f>
        <v>11660.367</v>
      </c>
      <c r="P17" s="33">
        <f>'2012 полн'!BE11</f>
        <v>1701.2750000000015</v>
      </c>
      <c r="Q17" s="33">
        <f>'2012 полн'!BF11</f>
        <v>-553.9599999999973</v>
      </c>
      <c r="R17" s="1"/>
      <c r="S17" s="1"/>
    </row>
    <row r="18" spans="1:19" ht="12.75" hidden="1">
      <c r="A18" s="7" t="s">
        <v>45</v>
      </c>
      <c r="B18" s="214">
        <f>'2012 полн'!B12</f>
        <v>1226.7</v>
      </c>
      <c r="C18" s="215">
        <f>'2012 полн'!C12</f>
        <v>10488.285000000002</v>
      </c>
      <c r="D18" s="216">
        <f>'2012 полн'!D12</f>
        <v>96.594</v>
      </c>
      <c r="E18" s="14">
        <f>'2012 полн'!U12</f>
        <v>10680.39</v>
      </c>
      <c r="F18" s="14">
        <f>'2012 полн'!V12</f>
        <v>0</v>
      </c>
      <c r="G18" s="32">
        <f>'2012 полн'!AF16</f>
        <v>12961.740000000002</v>
      </c>
      <c r="H18" s="32">
        <f>'2012 полн'!AG16</f>
        <v>13058.334</v>
      </c>
      <c r="I18" s="32">
        <f>'2012 полн'!AJ12</f>
        <v>3138.618</v>
      </c>
      <c r="J18" s="32">
        <f>'2012 полн'!AK12</f>
        <v>821.8890000000001</v>
      </c>
      <c r="K18" s="14">
        <f>'2012 полн'!AL12</f>
        <v>245.34000000000003</v>
      </c>
      <c r="L18" s="14">
        <f>'2012 полн'!AM12+'2012 полн'!AN12+'2012 полн'!AO12+'2012 полн'!AP12+'2012 полн'!AQ12+'2012 полн'!AR12+'2012 полн'!AS12+'2012 полн'!AT12+'2012 полн'!AX12</f>
        <v>8693.847</v>
      </c>
      <c r="M18" s="15">
        <f>'2012 полн'!AU12+'2012 полн'!AV12+'2012 полн'!AW12</f>
        <v>0</v>
      </c>
      <c r="N18" s="16">
        <f>'2012 полн'!BC12</f>
        <v>1876.731</v>
      </c>
      <c r="O18" s="16">
        <f>'2012 полн'!BD12</f>
        <v>11637.807</v>
      </c>
      <c r="P18" s="33">
        <f>'2012 полн'!BE12</f>
        <v>2729.9749999999985</v>
      </c>
      <c r="Q18" s="33">
        <f>'2012 полн'!BF12</f>
        <v>452.1800000000003</v>
      </c>
      <c r="R18" s="1"/>
      <c r="S18" s="1"/>
    </row>
    <row r="19" spans="1:19" ht="12.75" hidden="1">
      <c r="A19" s="7" t="s">
        <v>46</v>
      </c>
      <c r="B19" s="214">
        <f>'2012 полн'!B13</f>
        <v>1226.7</v>
      </c>
      <c r="C19" s="215">
        <f>'2012 полн'!C13</f>
        <v>10488.285000000002</v>
      </c>
      <c r="D19" s="216">
        <f>'2012 полн'!D13</f>
        <v>96.594</v>
      </c>
      <c r="E19" s="14">
        <f>'2012 полн'!U13</f>
        <v>10680.39</v>
      </c>
      <c r="F19" s="14">
        <f>'2012 полн'!V13</f>
        <v>0</v>
      </c>
      <c r="G19" s="32">
        <f>'2012 полн'!AF17</f>
        <v>14130.779999999999</v>
      </c>
      <c r="H19" s="32">
        <f>'2012 полн'!AG17</f>
        <v>14227.373999999998</v>
      </c>
      <c r="I19" s="32">
        <f>'2012 полн'!AJ13</f>
        <v>3138.618</v>
      </c>
      <c r="J19" s="32">
        <f>'2012 полн'!AK13</f>
        <v>821.8890000000001</v>
      </c>
      <c r="K19" s="14">
        <f>'2012 полн'!AL13</f>
        <v>245.34000000000003</v>
      </c>
      <c r="L19" s="14">
        <f>'2012 полн'!AM13+'2012 полн'!AN13+'2012 полн'!AO13+'2012 полн'!AP13+'2012 полн'!AQ13+'2012 полн'!AR13+'2012 полн'!AS13+'2012 полн'!AT13+'2012 полн'!AX13</f>
        <v>7664.142</v>
      </c>
      <c r="M19" s="15">
        <f>'2012 полн'!AU13+'2012 полн'!AV13+'2012 полн'!AW13</f>
        <v>0</v>
      </c>
      <c r="N19" s="16">
        <f>'2012 полн'!BC13</f>
        <v>1876.731</v>
      </c>
      <c r="O19" s="16">
        <f>'2012 полн'!BD13</f>
        <v>10608.102</v>
      </c>
      <c r="P19" s="33">
        <f>'2012 полн'!BE13</f>
        <v>2499.0199999999986</v>
      </c>
      <c r="Q19" s="33">
        <f>'2012 полн'!BF13</f>
        <v>-808.4799999999996</v>
      </c>
      <c r="R19" s="1"/>
      <c r="S19" s="1"/>
    </row>
    <row r="20" spans="1:19" ht="12.75" hidden="1">
      <c r="A20" s="7" t="s">
        <v>47</v>
      </c>
      <c r="B20" s="214">
        <f>'2012 полн'!B14</f>
        <v>1226.7</v>
      </c>
      <c r="C20" s="215">
        <f>'2012 полн'!C14</f>
        <v>10488.285000000002</v>
      </c>
      <c r="D20" s="216">
        <f>'2012 полн'!D14</f>
        <v>96.594</v>
      </c>
      <c r="E20" s="14">
        <f>'2012 полн'!U14</f>
        <v>10680.39</v>
      </c>
      <c r="F20" s="14">
        <f>'2012 полн'!V14</f>
        <v>0</v>
      </c>
      <c r="G20" s="32">
        <f>'2012 полн'!AF18</f>
        <v>16896.89</v>
      </c>
      <c r="H20" s="32">
        <f>'2012 полн'!AG18</f>
        <v>16993.484</v>
      </c>
      <c r="I20" s="32">
        <f>'2012 полн'!AJ14</f>
        <v>3138.618</v>
      </c>
      <c r="J20" s="32">
        <f>'2012 полн'!AK14</f>
        <v>821.8890000000001</v>
      </c>
      <c r="K20" s="14">
        <f>'2012 полн'!AL14</f>
        <v>245.34000000000003</v>
      </c>
      <c r="L20" s="14">
        <f>'2012 полн'!AM14+'2012 полн'!AN14+'2012 полн'!AO14+'2012 полн'!AP14+'2012 полн'!AQ14+'2012 полн'!AR14+'2012 полн'!AS14+'2012 полн'!AT14+'2012 полн'!AX14</f>
        <v>7460.972</v>
      </c>
      <c r="M20" s="15">
        <f>'2012 полн'!AU14+'2012 полн'!AV14+'2012 полн'!AW14</f>
        <v>1038</v>
      </c>
      <c r="N20" s="16">
        <f>'2012 полн'!BC14</f>
        <v>1876.731</v>
      </c>
      <c r="O20" s="16">
        <f>'2012 полн'!BD14</f>
        <v>11442.932</v>
      </c>
      <c r="P20" s="33">
        <f>'2012 полн'!BE14</f>
        <v>791.1699999999983</v>
      </c>
      <c r="Q20" s="33">
        <f>'2012 полн'!BF14</f>
        <v>-1681.5</v>
      </c>
      <c r="R20" s="1"/>
      <c r="S20" s="1"/>
    </row>
    <row r="21" spans="1:19" ht="12.75" hidden="1">
      <c r="A21" s="7" t="s">
        <v>48</v>
      </c>
      <c r="B21" s="214">
        <f>'2012 полн'!B15</f>
        <v>1226.7</v>
      </c>
      <c r="C21" s="215">
        <f>'2012 полн'!C15</f>
        <v>10488.285000000002</v>
      </c>
      <c r="D21" s="216">
        <f>'2012 полн'!D15</f>
        <v>96.594</v>
      </c>
      <c r="E21" s="14">
        <f>'2012 полн'!U15</f>
        <v>10680.39</v>
      </c>
      <c r="F21" s="14">
        <f>'2012 полн'!V15</f>
        <v>0</v>
      </c>
      <c r="G21" s="32">
        <f>'2012 полн'!AF19</f>
        <v>18249.95</v>
      </c>
      <c r="H21" s="32">
        <f>'2012 полн'!AG19</f>
        <v>18346.544</v>
      </c>
      <c r="I21" s="32">
        <f>'2012 полн'!AJ15</f>
        <v>3138.618</v>
      </c>
      <c r="J21" s="32">
        <f>'2012 полн'!AK15</f>
        <v>821.8890000000001</v>
      </c>
      <c r="K21" s="14">
        <f>'2012 полн'!AL15</f>
        <v>245.34000000000003</v>
      </c>
      <c r="L21" s="14">
        <f>'2012 полн'!AM15+'2012 полн'!AN15+'2012 полн'!AO15+'2012 полн'!AP15+'2012 полн'!AQ15+'2012 полн'!AR15+'2012 полн'!AS15+'2012 полн'!AT15+'2012 полн'!AX15</f>
        <v>7283.142</v>
      </c>
      <c r="M21" s="15">
        <f>'2012 полн'!AU15+'2012 полн'!AV15+'2012 полн'!AW15</f>
        <v>0</v>
      </c>
      <c r="N21" s="16">
        <f>'2012 полн'!BC15</f>
        <v>1876.731</v>
      </c>
      <c r="O21" s="16">
        <f>'2012 полн'!BD15</f>
        <v>10227.102</v>
      </c>
      <c r="P21" s="33">
        <f>'2012 полн'!BE15</f>
        <v>4567.200000000001</v>
      </c>
      <c r="Q21" s="33">
        <f>'2012 полн'!BF15</f>
        <v>878.7000000000025</v>
      </c>
      <c r="R21" s="1"/>
      <c r="S21" s="1"/>
    </row>
    <row r="22" spans="1:19" ht="12.75" hidden="1">
      <c r="A22" s="7" t="s">
        <v>49</v>
      </c>
      <c r="B22" s="214">
        <f>'2012 полн'!B16</f>
        <v>1226.7</v>
      </c>
      <c r="C22" s="215">
        <f>'2012 полн'!C16</f>
        <v>17235.135000000002</v>
      </c>
      <c r="D22" s="216">
        <f>'2012 полн'!D16</f>
        <v>96.594</v>
      </c>
      <c r="E22" s="14">
        <f>'2012 полн'!U16</f>
        <v>17235.13</v>
      </c>
      <c r="F22" s="14">
        <f>'2012 полн'!V16</f>
        <v>0</v>
      </c>
      <c r="G22" s="32">
        <f>'2012 полн'!AF20</f>
        <v>16644.09</v>
      </c>
      <c r="H22" s="32">
        <f>'2012 полн'!AG20</f>
        <v>16740.684</v>
      </c>
      <c r="I22" s="32">
        <f>'2012 полн'!AJ16</f>
        <v>3138.618</v>
      </c>
      <c r="J22" s="32">
        <f>'2012 полн'!AK16</f>
        <v>821.8890000000001</v>
      </c>
      <c r="K22" s="14">
        <f>'2012 полн'!AL16</f>
        <v>245.34000000000003</v>
      </c>
      <c r="L22" s="14">
        <f>'2012 полн'!AM16+'2012 полн'!AN16+'2012 полн'!AO16+'2012 полн'!AP16+'2012 полн'!AQ16+'2012 полн'!AR16+'2012 полн'!AS16+'2012 полн'!AT16+'2012 полн'!AX16</f>
        <v>7631.137</v>
      </c>
      <c r="M22" s="15">
        <f>'2012 полн'!AU16+'2012 полн'!AV16+'2012 полн'!AW16</f>
        <v>0</v>
      </c>
      <c r="N22" s="16">
        <f>'2012 полн'!BC16</f>
        <v>1876.731</v>
      </c>
      <c r="O22" s="16">
        <f>'2012 полн'!BD16</f>
        <v>10575.097000000002</v>
      </c>
      <c r="P22" s="33">
        <f>'2012 полн'!BE16</f>
        <v>5621.855</v>
      </c>
      <c r="Q22" s="33">
        <f>'2012 полн'!BF16</f>
        <v>-4273.389999999999</v>
      </c>
      <c r="R22" s="1"/>
      <c r="S22" s="1"/>
    </row>
    <row r="23" spans="1:19" ht="12.75" hidden="1">
      <c r="A23" s="7" t="s">
        <v>50</v>
      </c>
      <c r="B23" s="214">
        <f>'2012 полн'!B17</f>
        <v>1226.7</v>
      </c>
      <c r="C23" s="215">
        <f>'2012 полн'!C17</f>
        <v>17235.135000000002</v>
      </c>
      <c r="D23" s="216">
        <f>'2012 полн'!D17</f>
        <v>96.594</v>
      </c>
      <c r="E23" s="14">
        <f>'2012 полн'!U17</f>
        <v>17235.12</v>
      </c>
      <c r="F23" s="14">
        <f>'2012 полн'!V17</f>
        <v>0</v>
      </c>
      <c r="G23" s="32">
        <f>'2012 полн'!AF21</f>
        <v>16140.77</v>
      </c>
      <c r="H23" s="32">
        <f>'2012 полн'!AG21</f>
        <v>16237.364</v>
      </c>
      <c r="I23" s="32">
        <f>'2012 полн'!AJ17</f>
        <v>3138.618</v>
      </c>
      <c r="J23" s="32">
        <f>'2012 полн'!AK17</f>
        <v>821.8890000000001</v>
      </c>
      <c r="K23" s="14">
        <f>'2012 полн'!AL17</f>
        <v>245.34000000000003</v>
      </c>
      <c r="L23" s="14">
        <f>'2012 полн'!AM17+'2012 полн'!AN17+'2012 полн'!AO17+'2012 полн'!AP17+'2012 полн'!AQ17+'2012 полн'!AR17+'2012 полн'!AS17+'2012 полн'!AT17+'2012 полн'!AX17</f>
        <v>7283.142</v>
      </c>
      <c r="M23" s="15">
        <f>'2012 полн'!AU17+'2012 полн'!AV17+'2012 полн'!AW17</f>
        <v>21436</v>
      </c>
      <c r="N23" s="16">
        <f>'2012 полн'!BC17</f>
        <v>1876.731</v>
      </c>
      <c r="O23" s="16">
        <f>'2012 полн'!BD17</f>
        <v>31663.102</v>
      </c>
      <c r="P23" s="33">
        <f>'2012 полн'!BE17</f>
        <v>-14297.11</v>
      </c>
      <c r="Q23" s="33">
        <f>'2012 полн'!BF17</f>
        <v>-3104.34</v>
      </c>
      <c r="R23" s="1"/>
      <c r="S23" s="1"/>
    </row>
    <row r="24" spans="1:19" ht="12.75" hidden="1">
      <c r="A24" s="7" t="s">
        <v>51</v>
      </c>
      <c r="B24" s="214">
        <f>'2012 полн'!B18</f>
        <v>1226.7</v>
      </c>
      <c r="C24" s="215">
        <f>'2012 полн'!C18</f>
        <v>17235.135000000002</v>
      </c>
      <c r="D24" s="216">
        <f>'2012 полн'!D18</f>
        <v>96.594</v>
      </c>
      <c r="E24" s="14">
        <f>'2012 полн'!U18</f>
        <v>17235.19</v>
      </c>
      <c r="F24" s="14">
        <f>'2012 полн'!V18</f>
        <v>0</v>
      </c>
      <c r="G24" s="32">
        <f>'2012 полн'!AF22</f>
        <v>155031.58</v>
      </c>
      <c r="H24" s="32">
        <f>'2012 полн'!AG22</f>
        <v>156190.708</v>
      </c>
      <c r="I24" s="32">
        <f>'2012 полн'!AJ18</f>
        <v>3138.618</v>
      </c>
      <c r="J24" s="32">
        <f>'2012 полн'!AK18</f>
        <v>821.8890000000001</v>
      </c>
      <c r="K24" s="14">
        <f>'2012 полн'!AL18</f>
        <v>245.34000000000003</v>
      </c>
      <c r="L24" s="14">
        <f>'2012 полн'!AM18+'2012 полн'!AN18+'2012 полн'!AO18+'2012 полн'!AP18+'2012 полн'!AQ18+'2012 полн'!AR18+'2012 полн'!AS18+'2012 полн'!AT18+'2012 полн'!AX18</f>
        <v>7283.142</v>
      </c>
      <c r="M24" s="15">
        <f>'2012 полн'!AU18+'2012 полн'!AV18+'2012 полн'!AW18</f>
        <v>0</v>
      </c>
      <c r="N24" s="16">
        <f>'2012 полн'!BC18</f>
        <v>1876.731</v>
      </c>
      <c r="O24" s="16">
        <f>'2012 полн'!BD18</f>
        <v>10227.102</v>
      </c>
      <c r="P24" s="33">
        <f>'2012 полн'!BE18</f>
        <v>9904.999999999998</v>
      </c>
      <c r="Q24" s="33">
        <f>'2012 полн'!BF18</f>
        <v>-338.2999999999993</v>
      </c>
      <c r="R24" s="1"/>
      <c r="S24" s="1"/>
    </row>
    <row r="25" spans="1:19" ht="12.75" hidden="1">
      <c r="A25" s="7" t="s">
        <v>39</v>
      </c>
      <c r="B25" s="214">
        <f>'2012 полн'!B19</f>
        <v>1226.7</v>
      </c>
      <c r="C25" s="215">
        <f>'2012 полн'!C19</f>
        <v>17235.135000000002</v>
      </c>
      <c r="D25" s="216">
        <f>'2012 полн'!D19</f>
        <v>96.594</v>
      </c>
      <c r="E25" s="14">
        <f>'2012 полн'!U19</f>
        <v>17235.19</v>
      </c>
      <c r="F25" s="14">
        <f>'2012 полн'!V19</f>
        <v>0</v>
      </c>
      <c r="G25" s="32">
        <f>'2012 полн'!AF23</f>
        <v>0</v>
      </c>
      <c r="H25" s="32">
        <f>'2012 полн'!AG23</f>
        <v>0</v>
      </c>
      <c r="I25" s="32">
        <f>'2012 полн'!AJ19</f>
        <v>3138.618</v>
      </c>
      <c r="J25" s="32">
        <f>'2012 полн'!AK19</f>
        <v>821.8890000000001</v>
      </c>
      <c r="K25" s="14">
        <f>'2012 полн'!AL19</f>
        <v>245.34000000000003</v>
      </c>
      <c r="L25" s="14">
        <f>'2012 полн'!AM19+'2012 полн'!AN19+'2012 полн'!AO19+'2012 полн'!AP19+'2012 полн'!AQ19+'2012 полн'!AR19+'2012 полн'!AS19+'2012 полн'!AT19+'2012 полн'!AX19</f>
        <v>8693.847</v>
      </c>
      <c r="M25" s="15">
        <f>'2012 полн'!AU19+'2012 полн'!AV19+'2012 полн'!AW19</f>
        <v>0</v>
      </c>
      <c r="N25" s="16">
        <f>'2012 полн'!BC19</f>
        <v>1876.731</v>
      </c>
      <c r="O25" s="16">
        <f>'2012 полн'!BD19</f>
        <v>11637.807</v>
      </c>
      <c r="P25" s="33">
        <f>'2012 полн'!BE19</f>
        <v>9847.355</v>
      </c>
      <c r="Q25" s="33">
        <f>'2012 полн'!BF19</f>
        <v>1014.760000000002</v>
      </c>
      <c r="R25" s="1"/>
      <c r="S25" s="1"/>
    </row>
    <row r="26" spans="1:19" ht="12.75" hidden="1">
      <c r="A26" s="7" t="s">
        <v>40</v>
      </c>
      <c r="B26" s="214">
        <f>'2012 полн'!B20</f>
        <v>1226.7</v>
      </c>
      <c r="C26" s="215">
        <f>'2012 полн'!C20</f>
        <v>17235.135000000002</v>
      </c>
      <c r="D26" s="216">
        <f>'2012 полн'!D20</f>
        <v>96.594</v>
      </c>
      <c r="E26" s="14">
        <f>'2012 полн'!U20</f>
        <v>17235.18</v>
      </c>
      <c r="F26" s="14">
        <f>'2012 полн'!V20</f>
        <v>0</v>
      </c>
      <c r="G26" s="32">
        <f>'2012 полн'!AF24</f>
        <v>351977.85</v>
      </c>
      <c r="H26" s="32">
        <f>'2012 полн'!AG24</f>
        <v>409180.2955</v>
      </c>
      <c r="I26" s="32">
        <f>'2012 полн'!AJ20</f>
        <v>3138.618</v>
      </c>
      <c r="J26" s="32">
        <f>'2012 полн'!AK20</f>
        <v>821.8890000000001</v>
      </c>
      <c r="K26" s="14">
        <f>'2012 полн'!AL20</f>
        <v>245.34000000000003</v>
      </c>
      <c r="L26" s="14">
        <f>'2012 полн'!AM20+'2012 полн'!AN20+'2012 полн'!AO20+'2012 полн'!AP20+'2012 полн'!AQ20+'2012 полн'!AR20+'2012 полн'!AS20+'2012 полн'!AT20+'2012 полн'!AX20</f>
        <v>8875.627</v>
      </c>
      <c r="M26" s="15">
        <f>'2012 полн'!AU20+'2012 полн'!AV20+'2012 полн'!AW20</f>
        <v>670</v>
      </c>
      <c r="N26" s="16">
        <f>'2012 полн'!BC20</f>
        <v>1876.731</v>
      </c>
      <c r="O26" s="16">
        <f>'2012 полн'!BD20</f>
        <v>12489.587000000001</v>
      </c>
      <c r="P26" s="33">
        <f>'2012 полн'!BE20</f>
        <v>7389.714999999998</v>
      </c>
      <c r="Q26" s="33">
        <f>'2012 полн'!BF20</f>
        <v>-591.0900000000001</v>
      </c>
      <c r="R26" s="1"/>
      <c r="S26" s="1"/>
    </row>
    <row r="27" spans="1:19" ht="13.5" hidden="1" thickBot="1">
      <c r="A27" s="7" t="s">
        <v>41</v>
      </c>
      <c r="B27" s="214">
        <f>'2012 полн'!B21</f>
        <v>1226.7</v>
      </c>
      <c r="C27" s="215">
        <f>'2012 полн'!C21</f>
        <v>17235.135000000002</v>
      </c>
      <c r="D27" s="216">
        <f>'2012 полн'!D21</f>
        <v>96.594</v>
      </c>
      <c r="E27" s="14">
        <f>'2012 полн'!U21</f>
        <v>16714.34</v>
      </c>
      <c r="F27" s="14">
        <f>'2012 полн'!V21</f>
        <v>0</v>
      </c>
      <c r="G27" s="32">
        <f>'2012 полн'!AF41</f>
        <v>0</v>
      </c>
      <c r="H27" s="32">
        <f>'2012 полн'!AG41</f>
        <v>0</v>
      </c>
      <c r="I27" s="32">
        <f>'2012 полн'!AJ21</f>
        <v>3138.618</v>
      </c>
      <c r="J27" s="32">
        <f>'2012 полн'!AK21</f>
        <v>821.8890000000001</v>
      </c>
      <c r="K27" s="14">
        <f>'2012 полн'!AL21</f>
        <v>245.34000000000003</v>
      </c>
      <c r="L27" s="14">
        <f>'2012 полн'!AM21+'2012 полн'!AN21+'2012 полн'!AO21+'2012 полн'!AP21+'2012 полн'!AQ21+'2012 полн'!AR21+'2012 полн'!AS21+'2012 полн'!AT21+'2012 полн'!AX21</f>
        <v>8818.847</v>
      </c>
      <c r="M27" s="15">
        <f>'2012 полн'!AU21+'2012 полн'!AV21+'2012 полн'!AW21</f>
        <v>2223</v>
      </c>
      <c r="N27" s="16">
        <f>'2012 полн'!BC21</f>
        <v>1876.731</v>
      </c>
      <c r="O27" s="16">
        <f>'2012 полн'!BD21</f>
        <v>13985.807</v>
      </c>
      <c r="P27" s="33">
        <f>'2012 полн'!BE21</f>
        <v>5390.174999999999</v>
      </c>
      <c r="Q27" s="33">
        <f>'2012 полн'!BF21</f>
        <v>-573.5699999999997</v>
      </c>
      <c r="R27" s="1"/>
      <c r="S27" s="1"/>
    </row>
    <row r="28" spans="1:19" s="17" customFormat="1" ht="13.5" hidden="1" thickBot="1">
      <c r="A28" s="35" t="s">
        <v>4</v>
      </c>
      <c r="B28" s="36"/>
      <c r="C28" s="41">
        <f aca="true" t="shared" si="0" ref="C28:P28">SUM(C16:C27)</f>
        <v>166340.52000000005</v>
      </c>
      <c r="D28" s="41">
        <f t="shared" si="0"/>
        <v>1159.1280000000002</v>
      </c>
      <c r="E28" s="41">
        <f t="shared" si="0"/>
        <v>166981.05999999997</v>
      </c>
      <c r="F28" s="41">
        <f t="shared" si="0"/>
        <v>0</v>
      </c>
      <c r="G28" s="41">
        <f t="shared" si="0"/>
        <v>622591.6299999999</v>
      </c>
      <c r="H28" s="41">
        <f t="shared" si="0"/>
        <v>681725.9555</v>
      </c>
      <c r="I28" s="41">
        <f t="shared" si="0"/>
        <v>37663.416</v>
      </c>
      <c r="J28" s="41">
        <f t="shared" si="0"/>
        <v>9862.668000000001</v>
      </c>
      <c r="K28" s="41">
        <f t="shared" si="0"/>
        <v>2944.0800000000013</v>
      </c>
      <c r="L28" s="41">
        <f t="shared" si="0"/>
        <v>97467.94899999998</v>
      </c>
      <c r="M28" s="41">
        <f t="shared" si="0"/>
        <v>25367</v>
      </c>
      <c r="N28" s="41">
        <f t="shared" si="0"/>
        <v>22520.772</v>
      </c>
      <c r="O28" s="41">
        <f t="shared" si="0"/>
        <v>158162.469</v>
      </c>
      <c r="P28" s="41">
        <f t="shared" si="0"/>
        <v>35691.654999999984</v>
      </c>
      <c r="Q28" s="41">
        <f>SUM(Q16:Q27)</f>
        <v>-11949.479999999989</v>
      </c>
      <c r="R28" s="42"/>
      <c r="S28" s="42"/>
    </row>
    <row r="29" spans="1:18" ht="13.5" thickBot="1">
      <c r="A29" s="436" t="s">
        <v>93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7"/>
      <c r="Q29" s="209"/>
      <c r="R29" s="234"/>
    </row>
    <row r="30" spans="1:19" s="17" customFormat="1" ht="13.5" thickBot="1">
      <c r="A30" s="48" t="s">
        <v>52</v>
      </c>
      <c r="B30" s="49"/>
      <c r="C30" s="50">
        <f aca="true" t="shared" si="1" ref="C30:Q30">C28+C14</f>
        <v>421124.54000000004</v>
      </c>
      <c r="D30" s="50">
        <f t="shared" si="1"/>
        <v>24072.335500000005</v>
      </c>
      <c r="E30" s="50">
        <f t="shared" si="1"/>
        <v>363701.12</v>
      </c>
      <c r="F30" s="50">
        <f t="shared" si="1"/>
        <v>33130.11</v>
      </c>
      <c r="G30" s="50">
        <f t="shared" si="1"/>
        <v>819537.8999999999</v>
      </c>
      <c r="H30" s="50">
        <f t="shared" si="1"/>
        <v>934715.5430000001</v>
      </c>
      <c r="I30" s="50">
        <f t="shared" si="1"/>
        <v>110956.30511999999</v>
      </c>
      <c r="J30" s="50">
        <f t="shared" si="1"/>
        <v>30049.860000000004</v>
      </c>
      <c r="K30" s="50">
        <f t="shared" si="1"/>
        <v>8749.292104400003</v>
      </c>
      <c r="L30" s="50">
        <f t="shared" si="1"/>
        <v>250850.52237169503</v>
      </c>
      <c r="M30" s="50">
        <f t="shared" si="1"/>
        <v>112361.6798</v>
      </c>
      <c r="N30" s="50">
        <f t="shared" si="1"/>
        <v>37287.888000000006</v>
      </c>
      <c r="O30" s="50">
        <f t="shared" si="1"/>
        <v>439299.2345122867</v>
      </c>
      <c r="P30" s="50">
        <f t="shared" si="1"/>
        <v>80837.36610771321</v>
      </c>
      <c r="Q30" s="50">
        <f t="shared" si="1"/>
        <v>-11723.26999999999</v>
      </c>
      <c r="R30" s="188"/>
      <c r="S30" s="42"/>
    </row>
    <row r="31" spans="1:19" ht="12.75">
      <c r="A31" s="6" t="s">
        <v>129</v>
      </c>
      <c r="B31" s="210"/>
      <c r="C31" s="211"/>
      <c r="D31" s="212"/>
      <c r="E31" s="43"/>
      <c r="F31" s="44"/>
      <c r="G31" s="46"/>
      <c r="H31" s="44"/>
      <c r="I31" s="284"/>
      <c r="J31" s="46"/>
      <c r="K31" s="14"/>
      <c r="L31" s="14"/>
      <c r="M31" s="15"/>
      <c r="N31" s="213"/>
      <c r="O31" s="16"/>
      <c r="P31" s="33"/>
      <c r="Q31" s="33"/>
      <c r="R31" s="1"/>
      <c r="S31" s="1"/>
    </row>
    <row r="32" spans="1:19" ht="12.75">
      <c r="A32" s="7" t="s">
        <v>43</v>
      </c>
      <c r="B32" s="214">
        <f>'2012 полн'!B26</f>
        <v>1226.7</v>
      </c>
      <c r="C32" s="215">
        <f>'2012 полн'!C26</f>
        <v>17235.135000000002</v>
      </c>
      <c r="D32" s="216">
        <f>'2012 полн'!D26</f>
        <v>96.594</v>
      </c>
      <c r="E32" s="14">
        <f>'2012 полн'!U26</f>
        <v>16714.34</v>
      </c>
      <c r="F32" s="14">
        <f>'2012 полн'!V26</f>
        <v>0</v>
      </c>
      <c r="G32" s="32">
        <f>'2012 полн'!AF30</f>
        <v>14796.080000000002</v>
      </c>
      <c r="H32" s="32">
        <f>'2012 полн'!AG30</f>
        <v>14892.674</v>
      </c>
      <c r="I32" s="32">
        <f>'2012 полн'!AJ26</f>
        <v>3857.305</v>
      </c>
      <c r="J32" s="32">
        <f>'2012 полн'!AK26</f>
        <v>1226.7</v>
      </c>
      <c r="K32" s="14">
        <f>'2012 полн'!AL26</f>
        <v>245.34000000000003</v>
      </c>
      <c r="L32" s="14">
        <f>'2012 полн'!AM26+'2012 полн'!AN26+'2012 полн'!AO26+'2012 полн'!AP26+'2012 полн'!AQ26+'2012 полн'!AR26+'2012 полн'!AS26+'2012 полн'!AT26+'2012 полн'!AX26</f>
        <v>8693.847</v>
      </c>
      <c r="M32" s="15">
        <f>'2012 полн'!AU26+'2012 полн'!AV26+'2012 полн'!AW26</f>
        <v>0</v>
      </c>
      <c r="N32" s="16">
        <f>'2012 полн'!BD26</f>
        <v>1876.731</v>
      </c>
      <c r="O32" s="16">
        <f>'2012 полн'!BE26</f>
        <v>12042.618</v>
      </c>
      <c r="P32" s="16">
        <f>'2012 полн'!BF26</f>
        <v>7409.500999999998</v>
      </c>
      <c r="Q32" s="16">
        <f>'2012 полн'!BG26</f>
        <v>-1216.119999999999</v>
      </c>
      <c r="R32" s="1"/>
      <c r="S32" s="1"/>
    </row>
    <row r="33" spans="1:19" ht="12.75">
      <c r="A33" s="7" t="s">
        <v>44</v>
      </c>
      <c r="B33" s="214">
        <f>'2012 полн'!B27</f>
        <v>1226.7</v>
      </c>
      <c r="C33" s="215">
        <f>'2012 полн'!C27</f>
        <v>17235.135000000002</v>
      </c>
      <c r="D33" s="216">
        <f>'2012 полн'!D27</f>
        <v>96.594</v>
      </c>
      <c r="E33" s="14">
        <f>'2012 полн'!U27</f>
        <v>16714.34</v>
      </c>
      <c r="F33" s="14">
        <f>'2012 полн'!V27</f>
        <v>0</v>
      </c>
      <c r="G33" s="32">
        <f>'2012 полн'!AF31</f>
        <v>16401.039999999997</v>
      </c>
      <c r="H33" s="32">
        <f>'2012 полн'!AG31</f>
        <v>16497.634</v>
      </c>
      <c r="I33" s="32">
        <f>'2012 полн'!AJ27</f>
        <v>3857.305</v>
      </c>
      <c r="J33" s="32">
        <f>'2012 полн'!AK27</f>
        <v>1226.7</v>
      </c>
      <c r="K33" s="14">
        <f>'2012 полн'!AL27</f>
        <v>245.34000000000003</v>
      </c>
      <c r="L33" s="14">
        <f>'2012 полн'!AM27+'2012 полн'!AN27+'2012 полн'!AO27+'2012 полн'!AP27+'2012 полн'!AQ27+'2012 полн'!AR27+'2012 полн'!AS27+'2012 полн'!AT27+'2012 полн'!AX27</f>
        <v>8693.847</v>
      </c>
      <c r="M33" s="15">
        <f>'2012 полн'!AU27+'2012 полн'!AV27+'2012 полн'!AW27</f>
        <v>0</v>
      </c>
      <c r="N33" s="16">
        <f>'2012 полн'!BD27</f>
        <v>1876.731</v>
      </c>
      <c r="O33" s="16">
        <f>'2012 полн'!BE27</f>
        <v>12042.618</v>
      </c>
      <c r="P33" s="16">
        <f>'2012 полн'!BF27</f>
        <v>7299.880999999999</v>
      </c>
      <c r="Q33" s="16">
        <f>'2012 полн'!BG27</f>
        <v>-1325.7399999999998</v>
      </c>
      <c r="R33" s="1"/>
      <c r="S33" s="1"/>
    </row>
    <row r="34" spans="1:19" ht="12.75">
      <c r="A34" s="7" t="s">
        <v>45</v>
      </c>
      <c r="B34" s="214">
        <f>'2012 полн'!B28</f>
        <v>1226.7</v>
      </c>
      <c r="C34" s="215">
        <f>'2012 полн'!C28</f>
        <v>17235.135000000002</v>
      </c>
      <c r="D34" s="216">
        <f>'2012 полн'!D28</f>
        <v>96.594</v>
      </c>
      <c r="E34" s="14">
        <f>'2012 полн'!U28</f>
        <v>16714.34</v>
      </c>
      <c r="F34" s="14">
        <f>'2012 полн'!V28</f>
        <v>0</v>
      </c>
      <c r="G34" s="32">
        <f>'2012 полн'!AF32</f>
        <v>18014.61</v>
      </c>
      <c r="H34" s="32">
        <f>'2012 полн'!AG32</f>
        <v>18143.875500000002</v>
      </c>
      <c r="I34" s="32">
        <f>'2012 полн'!AJ28</f>
        <v>3857.305</v>
      </c>
      <c r="J34" s="32">
        <f>'2012 полн'!AK28</f>
        <v>1226.7</v>
      </c>
      <c r="K34" s="14">
        <f>'2012 полн'!AL28</f>
        <v>245.34000000000003</v>
      </c>
      <c r="L34" s="14">
        <f>'2012 полн'!AM28+'2012 полн'!AN28+'2012 полн'!AO28+'2012 полн'!AP28+'2012 полн'!AQ28+'2012 полн'!AR28+'2012 полн'!AS28+'2012 полн'!AT28+'2012 полн'!AX28</f>
        <v>10742.577</v>
      </c>
      <c r="M34" s="15">
        <f>'2012 полн'!AU28+'2012 полн'!AV28+'2012 полн'!AW28</f>
        <v>316</v>
      </c>
      <c r="N34" s="16">
        <f>'2012 полн'!BD28</f>
        <v>1876.731</v>
      </c>
      <c r="O34" s="16">
        <f>'2012 полн'!BE28</f>
        <v>14407.348</v>
      </c>
      <c r="P34" s="16">
        <f>'2012 полн'!BF28</f>
        <v>4453.050999999998</v>
      </c>
      <c r="Q34" s="16">
        <f>'2012 полн'!BG28</f>
        <v>-1807.8400000000001</v>
      </c>
      <c r="R34" s="1"/>
      <c r="S34" s="1"/>
    </row>
    <row r="35" spans="1:19" ht="12.75">
      <c r="A35" s="7" t="s">
        <v>46</v>
      </c>
      <c r="B35" s="214">
        <f>'2012 полн'!B29</f>
        <v>1226.7</v>
      </c>
      <c r="C35" s="215">
        <f>'2012 полн'!C29</f>
        <v>17235.135000000002</v>
      </c>
      <c r="D35" s="216">
        <f>'2012 полн'!D29</f>
        <v>96.594</v>
      </c>
      <c r="E35" s="14">
        <f>'2012 полн'!U29</f>
        <v>16714.33</v>
      </c>
      <c r="F35" s="14">
        <f>'2012 полн'!V29</f>
        <v>0</v>
      </c>
      <c r="G35" s="32">
        <f>'2012 полн'!AF33</f>
        <v>15638.939999999999</v>
      </c>
      <c r="H35" s="32">
        <f>'2012 полн'!AG33</f>
        <v>15638.939999999999</v>
      </c>
      <c r="I35" s="32">
        <f>'2012 полн'!AJ29</f>
        <v>3857.305</v>
      </c>
      <c r="J35" s="32">
        <f>'2012 полн'!AK29</f>
        <v>1226.7</v>
      </c>
      <c r="K35" s="14">
        <f>'2012 полн'!AL29</f>
        <v>245.34000000000003</v>
      </c>
      <c r="L35" s="14">
        <f>'2012 полн'!AM29+'2012 полн'!AN29+'2012 полн'!AO29+'2012 полн'!AP29+'2012 полн'!AQ29+'2012 полн'!AR29+'2012 полн'!AS29+'2012 полн'!AT29+'2012 полн'!AX29</f>
        <v>7291.692</v>
      </c>
      <c r="M35" s="15">
        <f>'2012 полн'!AU29+'2012 полн'!AV29+'2012 полн'!AW29</f>
        <v>0</v>
      </c>
      <c r="N35" s="16">
        <f>'2012 полн'!BD29</f>
        <v>1876.731</v>
      </c>
      <c r="O35" s="16">
        <f>'2012 полн'!BE29</f>
        <v>10640.463</v>
      </c>
      <c r="P35" s="16">
        <f>'2012 полн'!BF29</f>
        <v>8159.6759999999995</v>
      </c>
      <c r="Q35" s="16">
        <f>'2012 полн'!BG29</f>
        <v>-1868.090000000002</v>
      </c>
      <c r="R35" s="1"/>
      <c r="S35" s="1"/>
    </row>
    <row r="36" spans="1:19" ht="12.75">
      <c r="A36" s="7" t="s">
        <v>47</v>
      </c>
      <c r="B36" s="214">
        <f>'2012 полн'!B30</f>
        <v>1226.7</v>
      </c>
      <c r="C36" s="215">
        <f>'2012 полн'!C30</f>
        <v>17235.135000000002</v>
      </c>
      <c r="D36" s="216">
        <f>'2012 полн'!D30</f>
        <v>96.594</v>
      </c>
      <c r="E36" s="14">
        <f>'2012 полн'!U30</f>
        <v>16714.34</v>
      </c>
      <c r="F36" s="14">
        <f>'2012 полн'!V30</f>
        <v>0</v>
      </c>
      <c r="G36" s="32">
        <f>'2012 полн'!AF34</f>
        <v>18106.63</v>
      </c>
      <c r="H36" s="32">
        <f>'2012 полн'!AG34</f>
        <v>18106.63</v>
      </c>
      <c r="I36" s="32">
        <f>'2012 полн'!AJ30</f>
        <v>3857.305</v>
      </c>
      <c r="J36" s="32">
        <f>'2012 полн'!AK30</f>
        <v>1226.7</v>
      </c>
      <c r="K36" s="14">
        <f>'2012 полн'!AL30</f>
        <v>245.34000000000003</v>
      </c>
      <c r="L36" s="14">
        <f>'2012 полн'!AM30+'2012 полн'!AN30+'2012 полн'!AO30+'2012 полн'!AP30+'2012 полн'!AQ30+'2012 полн'!AR30+'2012 полн'!AS30+'2012 полн'!AT30+'2012 полн'!AX30</f>
        <v>7283.142</v>
      </c>
      <c r="M36" s="15">
        <f>'2012 полн'!AU30+'2012 полн'!AV30+'2012 полн'!AW30</f>
        <v>0</v>
      </c>
      <c r="N36" s="16">
        <f>'2012 полн'!BD30</f>
        <v>1876.731</v>
      </c>
      <c r="O36" s="16">
        <f>'2012 полн'!BE30</f>
        <v>10631.913</v>
      </c>
      <c r="P36" s="16">
        <f>'2012 полн'!BF30</f>
        <v>8118.065999999999</v>
      </c>
      <c r="Q36" s="16">
        <f>'2012 полн'!BG30</f>
        <v>-1918.2599999999984</v>
      </c>
      <c r="R36" s="1"/>
      <c r="S36" s="1"/>
    </row>
    <row r="37" spans="1:19" ht="12.75">
      <c r="A37" s="7" t="s">
        <v>48</v>
      </c>
      <c r="B37" s="214">
        <f>'2012 полн'!B31</f>
        <v>1226.7</v>
      </c>
      <c r="C37" s="215">
        <f>'2012 полн'!C31</f>
        <v>17235.135000000002</v>
      </c>
      <c r="D37" s="216">
        <f>'2012 полн'!D31</f>
        <v>96.594</v>
      </c>
      <c r="E37" s="14">
        <f>'2012 полн'!U31</f>
        <v>16714.34</v>
      </c>
      <c r="F37" s="14">
        <f>'2012 полн'!V31</f>
        <v>0</v>
      </c>
      <c r="G37" s="32">
        <f>'2012 полн'!AF35</f>
        <v>15610.419999999998</v>
      </c>
      <c r="H37" s="32">
        <f>'2012 полн'!AG35</f>
        <v>15610.419999999998</v>
      </c>
      <c r="I37" s="32">
        <f>'2012 полн'!AJ31</f>
        <v>3857.305</v>
      </c>
      <c r="J37" s="32">
        <f>'2012 полн'!AK31</f>
        <v>1226.7</v>
      </c>
      <c r="K37" s="14">
        <f>'2012 полн'!AL31</f>
        <v>245.34000000000003</v>
      </c>
      <c r="L37" s="14">
        <f>'2012 полн'!AM31+'2012 полн'!AN31+'2012 полн'!AO31+'2012 полн'!AP31+'2012 полн'!AQ31+'2012 полн'!AR31+'2012 полн'!AS31+'2012 полн'!AT31+'2012 полн'!AX31</f>
        <v>7283.142</v>
      </c>
      <c r="M37" s="15">
        <f>'2012 полн'!AU31+'2012 полн'!AV31+'2012 полн'!AW31</f>
        <v>0</v>
      </c>
      <c r="N37" s="16">
        <f>'2012 полн'!BD31</f>
        <v>1876.731</v>
      </c>
      <c r="O37" s="16">
        <f>'2012 полн'!BE31</f>
        <v>10631.913</v>
      </c>
      <c r="P37" s="16">
        <f>'2012 полн'!BF31</f>
        <v>9723.025999999998</v>
      </c>
      <c r="Q37" s="16">
        <f>'2012 полн'!BG31</f>
        <v>-313.3000000000029</v>
      </c>
      <c r="R37" s="1"/>
      <c r="S37" s="1"/>
    </row>
    <row r="38" spans="1:19" ht="12.75">
      <c r="A38" s="7" t="s">
        <v>49</v>
      </c>
      <c r="B38" s="214">
        <f>'2012 полн'!B32</f>
        <v>1226.7</v>
      </c>
      <c r="C38" s="215">
        <f>'2012 полн'!C32</f>
        <v>17235.135000000002</v>
      </c>
      <c r="D38" s="216">
        <f>'2012 полн'!D32</f>
        <v>129.2655</v>
      </c>
      <c r="E38" s="14">
        <f>'2012 полн'!U32</f>
        <v>16714.46</v>
      </c>
      <c r="F38" s="14">
        <f>'2012 полн'!V32</f>
        <v>0</v>
      </c>
      <c r="G38" s="32">
        <f>'2012 полн'!AF36</f>
        <v>23872.049999999996</v>
      </c>
      <c r="H38" s="32">
        <f>'2012 полн'!AG36</f>
        <v>23872.049999999996</v>
      </c>
      <c r="I38" s="32">
        <f>'2012 полн'!AJ32</f>
        <v>3857.305</v>
      </c>
      <c r="J38" s="32">
        <f>'2012 полн'!AK32</f>
        <v>1226.7</v>
      </c>
      <c r="K38" s="14">
        <f>'2012 полн'!AL32</f>
        <v>245.34000000000003</v>
      </c>
      <c r="L38" s="14">
        <f>'2012 полн'!AM32+'2012 полн'!AN32+'2012 полн'!AO32+'2012 полн'!AP32+'2012 полн'!AQ32+'2012 полн'!AR32+'2012 полн'!AS32+'2012 полн'!AT32+'2012 полн'!AX32</f>
        <v>24084.472</v>
      </c>
      <c r="M38" s="15">
        <f>'2012 полн'!AU32+'2012 полн'!AV32+'2012 полн'!AW32</f>
        <v>20738</v>
      </c>
      <c r="N38" s="16">
        <f>'2012 полн'!BD32</f>
        <v>1876.731</v>
      </c>
      <c r="O38" s="16">
        <f>'2012 полн'!BE32</f>
        <v>48171.243</v>
      </c>
      <c r="P38" s="16">
        <f>'2012 полн'!BF32</f>
        <v>-26170.0625</v>
      </c>
      <c r="Q38" s="16">
        <f>'2012 полн'!BG32</f>
        <v>1300.1500000000015</v>
      </c>
      <c r="R38" s="1"/>
      <c r="S38" s="1"/>
    </row>
    <row r="39" spans="1:19" ht="12.75">
      <c r="A39" s="7" t="s">
        <v>50</v>
      </c>
      <c r="B39" s="214">
        <f>'2012 полн'!B33</f>
        <v>1226.7</v>
      </c>
      <c r="C39" s="215">
        <f>'2012 полн'!C33</f>
        <v>17235.135000000002</v>
      </c>
      <c r="D39" s="216">
        <f>'2012 полн'!D33</f>
        <v>0</v>
      </c>
      <c r="E39" s="14">
        <f>'2012 полн'!U33</f>
        <v>16718.699999999997</v>
      </c>
      <c r="F39" s="14">
        <f>'2012 полн'!V33</f>
        <v>0</v>
      </c>
      <c r="G39" s="32">
        <f>'2012 полн'!AF37</f>
        <v>23110.829999999998</v>
      </c>
      <c r="H39" s="32">
        <f>'2012 полн'!AG37</f>
        <v>23110.829999999998</v>
      </c>
      <c r="I39" s="32">
        <f>'2012 полн'!AJ33</f>
        <v>3857.305</v>
      </c>
      <c r="J39" s="32">
        <f>'2012 полн'!AK33</f>
        <v>1226.7</v>
      </c>
      <c r="K39" s="14">
        <f>'2012 полн'!AL33</f>
        <v>245.34000000000003</v>
      </c>
      <c r="L39" s="14">
        <f>'2012 полн'!AM33+'2012 полн'!AN33+'2012 полн'!AO33+'2012 полн'!AP33+'2012 полн'!AQ33+'2012 полн'!AR33+'2012 полн'!AS33+'2012 полн'!AT33+'2012 полн'!AX33</f>
        <v>7327.742</v>
      </c>
      <c r="M39" s="15">
        <f>'2012 полн'!AU33+'2012 полн'!AV33+'2012 полн'!AW33</f>
        <v>0</v>
      </c>
      <c r="N39" s="16">
        <f>'2012 полн'!BD33</f>
        <v>1876.731</v>
      </c>
      <c r="O39" s="16">
        <f>'2012 полн'!BE33</f>
        <v>10676.513</v>
      </c>
      <c r="P39" s="16">
        <f>'2012 полн'!BF33</f>
        <v>8819.731999999998</v>
      </c>
      <c r="Q39" s="16">
        <f>'2012 полн'!BG33</f>
        <v>-1079.7599999999984</v>
      </c>
      <c r="R39" s="1"/>
      <c r="S39" s="1"/>
    </row>
    <row r="40" spans="1:19" ht="12.75">
      <c r="A40" s="7" t="s">
        <v>51</v>
      </c>
      <c r="B40" s="214">
        <f>'2012 полн'!B34</f>
        <v>1226.7</v>
      </c>
      <c r="C40" s="215">
        <f>'2012 полн'!C34</f>
        <v>17235.135000000002</v>
      </c>
      <c r="D40" s="216">
        <f>'2012 полн'!D34</f>
        <v>0</v>
      </c>
      <c r="E40" s="14">
        <f>'2012 полн'!U34</f>
        <v>16718.699999999997</v>
      </c>
      <c r="F40" s="14">
        <f>'2012 полн'!V34</f>
        <v>0</v>
      </c>
      <c r="G40" s="32">
        <f>'2012 полн'!AF38</f>
        <v>206190.15999999995</v>
      </c>
      <c r="H40" s="32">
        <f>'2012 полн'!AG38</f>
        <v>206898.9895</v>
      </c>
      <c r="I40" s="32">
        <f>'2012 полн'!AJ34</f>
        <v>3857.305</v>
      </c>
      <c r="J40" s="32">
        <f>'2012 полн'!AK34</f>
        <v>1226.7</v>
      </c>
      <c r="K40" s="14">
        <f>'2012 полн'!AL34</f>
        <v>245.34000000000003</v>
      </c>
      <c r="L40" s="14">
        <f>'2012 полн'!AM34+'2012 полн'!AN34+'2012 полн'!AO34+'2012 полн'!AP34+'2012 полн'!AQ34+'2012 полн'!AR34+'2012 полн'!AS34+'2012 полн'!AT34+'2012 полн'!AX34</f>
        <v>7283.142</v>
      </c>
      <c r="M40" s="15">
        <f>'2012 полн'!AU34+'2012 полн'!AV34+'2012 полн'!AW34</f>
        <v>0</v>
      </c>
      <c r="N40" s="16">
        <f>'2012 полн'!BD34</f>
        <v>1876.731</v>
      </c>
      <c r="O40" s="16">
        <f>'2012 полн'!BE34</f>
        <v>10631.913</v>
      </c>
      <c r="P40" s="16">
        <f>'2012 полн'!BF34</f>
        <v>11332.022</v>
      </c>
      <c r="Q40" s="16">
        <f>'2012 полн'!BG34</f>
        <v>1387.930000000004</v>
      </c>
      <c r="R40" s="1"/>
      <c r="S40" s="1"/>
    </row>
    <row r="41" spans="1:19" ht="12.75">
      <c r="A41" s="7" t="s">
        <v>39</v>
      </c>
      <c r="B41" s="214">
        <f>'2012 полн'!B35</f>
        <v>1226.7</v>
      </c>
      <c r="C41" s="215">
        <f>'2012 полн'!C35</f>
        <v>17235.135000000002</v>
      </c>
      <c r="D41" s="216">
        <f>'2012 полн'!D35</f>
        <v>0</v>
      </c>
      <c r="E41" s="14">
        <f>'2012 полн'!U35</f>
        <v>16718.699999999997</v>
      </c>
      <c r="F41" s="14">
        <f>'2012 полн'!V35</f>
        <v>0</v>
      </c>
      <c r="G41" s="32">
        <f>'2012 полн'!AF39</f>
        <v>0</v>
      </c>
      <c r="H41" s="32">
        <f>'2012 полн'!AG39</f>
        <v>0</v>
      </c>
      <c r="I41" s="32">
        <f>'2012 полн'!AJ35</f>
        <v>3857.305</v>
      </c>
      <c r="J41" s="32">
        <f>'2012 полн'!AK35</f>
        <v>1226.7</v>
      </c>
      <c r="K41" s="14">
        <f>'2012 полн'!AL35</f>
        <v>245.34000000000003</v>
      </c>
      <c r="L41" s="14">
        <f>'2012 полн'!AM35+'2012 полн'!AN35+'2012 полн'!AO35+'2012 полн'!AP35+'2012 полн'!AQ35+'2012 полн'!AR35+'2012 полн'!AS35+'2012 полн'!AT35+'2012 полн'!AX35</f>
        <v>13810.847</v>
      </c>
      <c r="M41" s="15">
        <f>'2012 полн'!AU35+'2012 полн'!AV35+'2012 полн'!AW35</f>
        <v>11756</v>
      </c>
      <c r="N41" s="16">
        <f>'2012 полн'!BD35</f>
        <v>1876.731</v>
      </c>
      <c r="O41" s="16">
        <f>'2012 полн'!BE35</f>
        <v>28915.618000000002</v>
      </c>
      <c r="P41" s="16">
        <f>'2012 полн'!BF35</f>
        <v>-9447.893000000004</v>
      </c>
      <c r="Q41" s="16">
        <f>'2012 полн'!BG35</f>
        <v>-1108.2799999999988</v>
      </c>
      <c r="R41" s="1"/>
      <c r="S41" s="1"/>
    </row>
    <row r="42" spans="1:19" ht="12.75">
      <c r="A42" s="7" t="s">
        <v>40</v>
      </c>
      <c r="B42" s="214">
        <f>'2012 полн'!B36</f>
        <v>1226.7</v>
      </c>
      <c r="C42" s="215">
        <f>'2012 полн'!C36</f>
        <v>17235.135000000002</v>
      </c>
      <c r="D42" s="216">
        <f>'2012 полн'!D36</f>
        <v>0</v>
      </c>
      <c r="E42" s="14">
        <f>'2012 полн'!U36</f>
        <v>16718.69</v>
      </c>
      <c r="F42" s="14">
        <f>'2012 полн'!V36</f>
        <v>0</v>
      </c>
      <c r="G42" s="32">
        <f>'2012 полн'!AF40</f>
        <v>558168.0099999999</v>
      </c>
      <c r="H42" s="32">
        <f>'2012 полн'!AG40</f>
        <v>616079.285</v>
      </c>
      <c r="I42" s="32">
        <f>'2012 полн'!AJ36</f>
        <v>3857.305</v>
      </c>
      <c r="J42" s="32">
        <f>'2012 полн'!AK36</f>
        <v>1226.7</v>
      </c>
      <c r="K42" s="14">
        <f>'2012 полн'!AL36</f>
        <v>245.34000000000003</v>
      </c>
      <c r="L42" s="14">
        <f>'2012 полн'!AM36+'2012 полн'!AN36+'2012 полн'!AO36+'2012 полн'!AP36+'2012 полн'!AQ36+'2012 полн'!AR36+'2012 полн'!AS36+'2012 полн'!AT36+'2012 полн'!AX36</f>
        <v>12535.847</v>
      </c>
      <c r="M42" s="15">
        <f>'2012 полн'!AU36+'2012 полн'!AV36+'2012 полн'!AW36</f>
        <v>10408</v>
      </c>
      <c r="N42" s="16">
        <f>'2012 полн'!BD36</f>
        <v>1876.731</v>
      </c>
      <c r="O42" s="16">
        <f>'2012 полн'!BE36</f>
        <v>26292.618000000002</v>
      </c>
      <c r="P42" s="16">
        <f>'2012 полн'!BF36</f>
        <v>1436.7369999999937</v>
      </c>
      <c r="Q42" s="16">
        <f>'2012 полн'!BG36</f>
        <v>7153.359999999997</v>
      </c>
      <c r="R42" s="1"/>
      <c r="S42" s="1"/>
    </row>
    <row r="43" spans="1:19" ht="13.5" thickBot="1">
      <c r="A43" s="7" t="s">
        <v>41</v>
      </c>
      <c r="B43" s="214">
        <f>'2012 полн'!B37</f>
        <v>1226.7</v>
      </c>
      <c r="C43" s="215">
        <f>'2012 полн'!C37</f>
        <v>17235.135000000002</v>
      </c>
      <c r="D43" s="216">
        <f>'2012 полн'!D37</f>
        <v>0</v>
      </c>
      <c r="E43" s="14">
        <f>'2012 полн'!U37</f>
        <v>16718.699999999997</v>
      </c>
      <c r="F43" s="14">
        <f>'2012 полн'!V37</f>
        <v>0</v>
      </c>
      <c r="G43" s="32">
        <f>'2012 полн'!AF41</f>
        <v>0</v>
      </c>
      <c r="H43" s="32">
        <f>'2012 полн'!AG41</f>
        <v>0</v>
      </c>
      <c r="I43" s="32">
        <f>'2012 полн'!AJ37</f>
        <v>3857.305</v>
      </c>
      <c r="J43" s="32">
        <f>'2012 полн'!AK37</f>
        <v>1226.7</v>
      </c>
      <c r="K43" s="14">
        <f>'2012 полн'!AL37</f>
        <v>245.34000000000003</v>
      </c>
      <c r="L43" s="14">
        <f>'2012 полн'!AM37+'2012 полн'!AN37+'2012 полн'!AO37+'2012 полн'!AP37+'2012 полн'!AQ37+'2012 полн'!AR37+'2012 полн'!AS37+'2012 полн'!AT37+'2012 полн'!AX37</f>
        <v>8720.847</v>
      </c>
      <c r="M43" s="15">
        <f>'2012 полн'!AU37+'2012 полн'!AV37+'2012 полн'!AW37</f>
        <v>0</v>
      </c>
      <c r="N43" s="16">
        <f>'2012 полн'!BD37</f>
        <v>1876.731</v>
      </c>
      <c r="O43" s="16">
        <f>'2012 полн'!BE37</f>
        <v>12069.618</v>
      </c>
      <c r="P43" s="16">
        <f>'2012 полн'!BF37</f>
        <v>14898.516999999998</v>
      </c>
      <c r="Q43" s="16">
        <f>'2012 полн'!BG37</f>
        <v>6392.130000000001</v>
      </c>
      <c r="R43" s="1"/>
      <c r="S43" s="1"/>
    </row>
    <row r="44" spans="1:19" s="17" customFormat="1" ht="13.5" thickBot="1">
      <c r="A44" s="35" t="s">
        <v>4</v>
      </c>
      <c r="B44" s="36"/>
      <c r="C44" s="41">
        <f aca="true" t="shared" si="2" ref="C44:P44">SUM(C32:C43)</f>
        <v>206821.62000000008</v>
      </c>
      <c r="D44" s="41">
        <f t="shared" si="2"/>
        <v>708.8294999999999</v>
      </c>
      <c r="E44" s="41">
        <f t="shared" si="2"/>
        <v>200593.98000000004</v>
      </c>
      <c r="F44" s="41">
        <f t="shared" si="2"/>
        <v>0</v>
      </c>
      <c r="G44" s="41">
        <f t="shared" si="2"/>
        <v>909908.7699999998</v>
      </c>
      <c r="H44" s="41">
        <f t="shared" si="2"/>
        <v>968851.328</v>
      </c>
      <c r="I44" s="41">
        <f t="shared" si="2"/>
        <v>46287.659999999996</v>
      </c>
      <c r="J44" s="41">
        <f t="shared" si="2"/>
        <v>14720.400000000003</v>
      </c>
      <c r="K44" s="41">
        <f t="shared" si="2"/>
        <v>2944.0800000000013</v>
      </c>
      <c r="L44" s="41">
        <f t="shared" si="2"/>
        <v>123751.14399999999</v>
      </c>
      <c r="M44" s="41">
        <f t="shared" si="2"/>
        <v>43218</v>
      </c>
      <c r="N44" s="41">
        <f t="shared" si="2"/>
        <v>22520.772</v>
      </c>
      <c r="O44" s="41">
        <f t="shared" si="2"/>
        <v>207154.39600000004</v>
      </c>
      <c r="P44" s="41">
        <f t="shared" si="2"/>
        <v>46032.25349999998</v>
      </c>
      <c r="Q44" s="41">
        <f>SUM(Q32:Q43)</f>
        <v>5596.180000000004</v>
      </c>
      <c r="R44" s="42"/>
      <c r="S44" s="42"/>
    </row>
    <row r="45" spans="1:18" ht="13.5" thickBot="1">
      <c r="A45" s="436" t="s">
        <v>66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7"/>
      <c r="Q45" s="209"/>
      <c r="R45" s="234"/>
    </row>
    <row r="46" spans="1:19" s="17" customFormat="1" ht="13.5" thickBot="1">
      <c r="A46" s="48" t="s">
        <v>52</v>
      </c>
      <c r="B46" s="49"/>
      <c r="C46" s="50">
        <f aca="true" t="shared" si="3" ref="C46:Q46">C44+C30</f>
        <v>627946.1600000001</v>
      </c>
      <c r="D46" s="50">
        <f t="shared" si="3"/>
        <v>24781.165000000005</v>
      </c>
      <c r="E46" s="50">
        <f t="shared" si="3"/>
        <v>564295.1000000001</v>
      </c>
      <c r="F46" s="50">
        <f t="shared" si="3"/>
        <v>33130.11</v>
      </c>
      <c r="G46" s="50">
        <f t="shared" si="3"/>
        <v>1729446.6699999997</v>
      </c>
      <c r="H46" s="50">
        <f t="shared" si="3"/>
        <v>1903566.871</v>
      </c>
      <c r="I46" s="50">
        <f t="shared" si="3"/>
        <v>157243.96511999998</v>
      </c>
      <c r="J46" s="50">
        <f t="shared" si="3"/>
        <v>44770.26000000001</v>
      </c>
      <c r="K46" s="50">
        <f t="shared" si="3"/>
        <v>11693.372104400005</v>
      </c>
      <c r="L46" s="50">
        <f t="shared" si="3"/>
        <v>374601.666371695</v>
      </c>
      <c r="M46" s="50">
        <f t="shared" si="3"/>
        <v>155579.67979999998</v>
      </c>
      <c r="N46" s="50">
        <f t="shared" si="3"/>
        <v>59808.66</v>
      </c>
      <c r="O46" s="50">
        <f t="shared" si="3"/>
        <v>646453.6305122868</v>
      </c>
      <c r="P46" s="50">
        <f>P44+P30</f>
        <v>126869.61960771319</v>
      </c>
      <c r="Q46" s="50">
        <f t="shared" si="3"/>
        <v>-6127.089999999986</v>
      </c>
      <c r="R46" s="188"/>
      <c r="S46" s="42"/>
    </row>
    <row r="47" ht="8.25" customHeight="1"/>
    <row r="48" spans="1:4" ht="12.75">
      <c r="A48" s="17" t="s">
        <v>67</v>
      </c>
      <c r="D48" s="217" t="s">
        <v>130</v>
      </c>
    </row>
    <row r="49" spans="1:4" ht="12.75">
      <c r="A49" s="21" t="s">
        <v>68</v>
      </c>
      <c r="B49" s="21" t="s">
        <v>69</v>
      </c>
      <c r="C49" s="315" t="s">
        <v>70</v>
      </c>
      <c r="D49" s="315"/>
    </row>
    <row r="50" spans="1:4" ht="12.75">
      <c r="A50" s="218">
        <v>134803.65</v>
      </c>
      <c r="B50" s="219">
        <v>0</v>
      </c>
      <c r="C50" s="454">
        <f>A50-B50</f>
        <v>134803.65</v>
      </c>
      <c r="D50" s="455"/>
    </row>
    <row r="51" ht="12.75">
      <c r="A51" s="54"/>
    </row>
    <row r="52" spans="1:7" ht="12.75">
      <c r="A52" s="2" t="s">
        <v>71</v>
      </c>
      <c r="G52" s="2" t="s">
        <v>72</v>
      </c>
    </row>
    <row r="53" ht="12.75">
      <c r="A53" s="1"/>
    </row>
    <row r="54" ht="12.75">
      <c r="A54" s="2" t="s">
        <v>119</v>
      </c>
    </row>
    <row r="55" ht="12.75">
      <c r="A55" s="2" t="s">
        <v>73</v>
      </c>
    </row>
  </sheetData>
  <sheetProtection/>
  <mergeCells count="29">
    <mergeCell ref="A45:O45"/>
    <mergeCell ref="C49:D49"/>
    <mergeCell ref="C50:D50"/>
    <mergeCell ref="B1:H1"/>
    <mergeCell ref="B2:H2"/>
    <mergeCell ref="A5:O5"/>
    <mergeCell ref="A6:G6"/>
    <mergeCell ref="A7:D7"/>
    <mergeCell ref="E7:F7"/>
    <mergeCell ref="A8:A11"/>
    <mergeCell ref="B8:B11"/>
    <mergeCell ref="A13:O13"/>
    <mergeCell ref="A29:O29"/>
    <mergeCell ref="G8:H9"/>
    <mergeCell ref="C8:C11"/>
    <mergeCell ref="D8:D11"/>
    <mergeCell ref="E8:F9"/>
    <mergeCell ref="E10:F10"/>
    <mergeCell ref="N10:N11"/>
    <mergeCell ref="H10:H11"/>
    <mergeCell ref="J10:J11"/>
    <mergeCell ref="I9:I11"/>
    <mergeCell ref="P8:P11"/>
    <mergeCell ref="Q8:Q11"/>
    <mergeCell ref="K10:K11"/>
    <mergeCell ref="L10:L11"/>
    <mergeCell ref="M10:M11"/>
    <mergeCell ref="O10:O11"/>
    <mergeCell ref="J8:O9"/>
  </mergeCells>
  <printOptions/>
  <pageMargins left="0.2362204724409449" right="0.15748031496062992" top="0.2755905511811024" bottom="0.4724409448818898" header="0.196850393700787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2012-05-21T05:44:52Z</cp:lastPrinted>
  <dcterms:created xsi:type="dcterms:W3CDTF">2010-04-03T04:08:20Z</dcterms:created>
  <dcterms:modified xsi:type="dcterms:W3CDTF">2013-04-22T07:25:19Z</dcterms:modified>
  <cp:category/>
  <cp:version/>
  <cp:contentType/>
  <cp:contentStatus/>
</cp:coreProperties>
</file>