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<sst xmlns="http://schemas.openxmlformats.org/spreadsheetml/2006/main" count="337" uniqueCount="130">
  <si>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</si>
  <si>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</si>
  <si>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</si>
  <si>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</si>
  <si>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</si>
  <si>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</si>
  <si>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</si>
  <si>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</si>
  <si>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</si>
  <si>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</si>
  <si>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</si>
  <si>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</si>
  <si>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</si>
  <si>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</si>
  <si>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</si>
  <si>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</si>
  <si>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</si>
  <si>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</si>
  <si>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</si>
  <si>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</si>
  <si>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</si>
  <si>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</si>
  <si>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</si>
  <si>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</si>
  <si>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</si>
  <si>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</si>
  <si>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</si>
  <si>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</si>
  <si>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</si>
  <si>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</si>
  <si>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</si>
  <si>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</si>
  <si>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</si>
  <si>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</si>
  <si>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</si>
  <si>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</si>
  <si>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</si>
  <si>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</si>
  <si>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</si>
  <si>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</si>
  <si>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</si>
  <si>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</si>
  <si>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</si>
  <si>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</si>
  <si>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</si>
  <si>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</si>
  <si>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</si>
  <si>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</si>
  <si>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</si>
  <si>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</si>
  <si>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</si>
  <si>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</si>
  <si>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</si>
  <si>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</si>
  <si>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</si>
  <si>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</si>
  <si>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</si>
  <si>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</si>
  <si>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</si>
  <si>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</si>
  <si>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</si>
  <si>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</si>
  <si>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</si>
  <si>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</si>
  <si>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</si>
  <si>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</si>
  <si>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</si>
  <si>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</si>
  <si>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</si>
  <si>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</si>
  <si>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</si>
  <si>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</si>
  <si>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</si>
  <si>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</si>
  <si>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</si>
  <si>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</si>
  <si>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</si>
  <si>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Ленина, д. 56</t>
  </si>
  <si>
    <t>Выписка по лицевому счету по адресу г. Таштагол, ул. Ленина, д. 56</t>
  </si>
  <si>
    <t>Долг(-)/ переплата(+)  жителей</t>
  </si>
  <si>
    <t>Адрес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</si>
  <si>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</si>
  <si>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</si>
  <si>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</si>
  <si>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</si>
  <si>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</si>
  <si>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</si>
  <si>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</si>
  <si>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</si>
  <si>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</si>
  <si>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</si>
  <si>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</si>
  <si>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</si>
  <si>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на 01.01.2011 г.</t>
  </si>
  <si>
    <t>2011 год</t>
  </si>
  <si>
    <t>Электроэнергия</t>
  </si>
  <si>
    <t>Доп. работы по содержанию и текущ. Ремонту</t>
  </si>
  <si>
    <t>Тек. ремонт строител. конструкций ИП Климчук</t>
  </si>
  <si>
    <t>Тек. Ремонт электросетей</t>
  </si>
  <si>
    <t>Тек. ремонт инженерн. сетей       ИП Быков</t>
  </si>
  <si>
    <t>Механизированная уборка ООО "ТУК"</t>
  </si>
  <si>
    <t>Содержание сетей тепло, водоснабжения и водоотведения</t>
  </si>
  <si>
    <t>Тех. Обслуживание электрооборудования ООО "ТУК"</t>
  </si>
  <si>
    <t>Тех. Обслуживание строительных конструкций ИП КЛИМЧУК</t>
  </si>
  <si>
    <t>Сан. Содержание ИП КЛИМЧУК</t>
  </si>
  <si>
    <t>Диспетчер. Осблуживние ООО "ТУК"</t>
  </si>
  <si>
    <t>Аварийное обслуживание ИП БЫКОВ</t>
  </si>
  <si>
    <t>Услуги начисления МП УКЖХ</t>
  </si>
  <si>
    <t>Услуга по управлению ООО ТУК</t>
  </si>
  <si>
    <t>Арендная  плата</t>
  </si>
  <si>
    <t>сод.жилья</t>
  </si>
  <si>
    <t>Арендная плата</t>
  </si>
  <si>
    <t xml:space="preserve">     Лифты</t>
  </si>
  <si>
    <t>Содержание жилья</t>
  </si>
  <si>
    <t>Начислено населению</t>
  </si>
  <si>
    <t>№ п/п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</si>
  <si>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</si>
  <si>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</si>
  <si>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</si>
  <si>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</si>
  <si>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</si>
  <si>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</si>
  <si>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</si>
  <si>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*по состоянию на 01.01.2012 г.</t>
  </si>
  <si>
    <t>Выписка по лицевому счету по адресу г. Таштагол ул. Ленина, д.56</t>
  </si>
  <si>
    <t>Лицевой счет по адресу г. Таштагол, ул. Ленина, д.56</t>
  </si>
  <si>
    <t>2012 год</t>
  </si>
  <si>
    <t>*по состоянию на 01.04.2013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</si>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</sst>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4" applyNumberFormat="1" applyFont="1" applyFill="1" applyBorder="1" applyAlignment="1">
      <alignment horizontal="right" vertical="center" wrapText="1"/>
      <protection/>
    </xf>
    <xf numFmtId="4" fontId="7" fillId="0" borderId="23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1" xfId="34" applyNumberFormat="1" applyFont="1" applyFill="1" applyBorder="1" applyAlignment="1">
      <alignment horizontal="right" vertical="center" wrapText="1"/>
      <protection/>
    </xf>
    <xf numFmtId="4" fontId="7" fillId="0" borderId="30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4" fontId="1" fillId="0" borderId="39" xfId="0" applyNumberFormat="1" applyFont="1" applyFill="1" applyBorder="1" applyAlignment="1">
      <alignment horizontal="right"/>
    </xf>
    <xf numFmtId="4" fontId="0" fillId="0" borderId="35" xfId="0" applyNumberFormat="1" applyFont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 wrapText="1"/>
    </xf>
    <xf numFmtId="4" fontId="1" fillId="33" borderId="2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4" fontId="7" fillId="33" borderId="22" xfId="34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0" fontId="1" fillId="33" borderId="37" xfId="0" applyFont="1" applyFill="1" applyBorder="1" applyAlignment="1">
      <alignment horizontal="left"/>
    </xf>
    <xf numFmtId="4" fontId="1" fillId="33" borderId="23" xfId="0" applyNumberFormat="1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33" borderId="40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3" borderId="42" xfId="0" applyNumberFormat="1" applyFont="1" applyFill="1" applyBorder="1" applyAlignment="1">
      <alignment horizontal="right"/>
    </xf>
    <xf numFmtId="4" fontId="7" fillId="33" borderId="23" xfId="34" applyNumberFormat="1" applyFont="1" applyFill="1" applyBorder="1" applyAlignment="1">
      <alignment horizontal="right" vertical="center" wrapText="1"/>
      <protection/>
    </xf>
    <xf numFmtId="0" fontId="1" fillId="33" borderId="38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7" fillId="0" borderId="24" xfId="34" applyNumberFormat="1" applyFont="1" applyFill="1" applyBorder="1" applyAlignment="1">
      <alignment horizontal="right" vertical="center" wrapText="1"/>
      <protection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4" fontId="0" fillId="0" borderId="4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4" fontId="2" fillId="0" borderId="44" xfId="34" applyNumberFormat="1" applyFont="1" applyFill="1" applyBorder="1" applyAlignment="1">
      <alignment horizontal="right" vertical="center" wrapText="1"/>
      <protection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center" textRotation="90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26" xfId="34" applyNumberFormat="1" applyFont="1" applyFill="1" applyBorder="1" applyAlignment="1">
      <alignment horizontal="right" vertical="center" wrapText="1"/>
      <protection/>
    </xf>
    <xf numFmtId="0" fontId="1" fillId="0" borderId="4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wrapText="1"/>
    </xf>
    <xf numFmtId="4" fontId="0" fillId="33" borderId="13" xfId="0" applyNumberFormat="1" applyFont="1" applyFill="1" applyBorder="1" applyAlignment="1">
      <alignment horizontal="right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36" borderId="34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1" xfId="0" applyNumberFormat="1" applyFont="1" applyFill="1" applyBorder="1" applyAlignment="1">
      <alignment wrapText="1"/>
    </xf>
    <xf numFmtId="4" fontId="1" fillId="33" borderId="21" xfId="0" applyNumberFormat="1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36" borderId="5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4" fontId="0" fillId="36" borderId="16" xfId="0" applyNumberFormat="1" applyFont="1" applyFill="1" applyBorder="1" applyAlignment="1">
      <alignment horizontal="right"/>
    </xf>
    <xf numFmtId="0" fontId="0" fillId="0" borderId="52" xfId="0" applyFont="1" applyFill="1" applyBorder="1" applyAlignment="1">
      <alignment/>
    </xf>
    <xf numFmtId="4" fontId="0" fillId="0" borderId="53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3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9" xfId="0" applyFont="1" applyFill="1" applyBorder="1" applyAlignment="1">
      <alignment/>
    </xf>
    <xf numFmtId="4" fontId="1" fillId="35" borderId="16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7" borderId="35" xfId="0" applyNumberFormat="1" applyFont="1" applyFill="1" applyBorder="1" applyAlignment="1">
      <alignment horizontal="center"/>
    </xf>
    <xf numFmtId="4" fontId="0" fillId="34" borderId="34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38" borderId="34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2" fillId="0" borderId="2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28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" fontId="1" fillId="0" borderId="57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/>
    </xf>
    <xf numFmtId="4" fontId="0" fillId="38" borderId="34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8" fillId="34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0" fillId="0" borderId="35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0" fontId="2" fillId="0" borderId="42" xfId="0" applyFont="1" applyBorder="1" applyAlignment="1">
      <alignment wrapText="1"/>
    </xf>
    <xf numFmtId="4" fontId="1" fillId="0" borderId="14" xfId="0" applyNumberFormat="1" applyFont="1" applyFill="1" applyBorder="1" applyAlignment="1">
      <alignment/>
    </xf>
    <xf numFmtId="43" fontId="0" fillId="38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37" borderId="28" xfId="0" applyFont="1" applyFill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7" borderId="28" xfId="0" applyNumberFormat="1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 wrapText="1"/>
    </xf>
    <xf numFmtId="4" fontId="0" fillId="37" borderId="35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3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4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/>
    </xf>
    <xf numFmtId="4" fontId="0" fillId="0" borderId="3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2" fontId="0" fillId="0" borderId="35" xfId="0" applyNumberFormat="1" applyBorder="1" applyAlignment="1">
      <alignment horizontal="center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" fontId="0" fillId="34" borderId="3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2" fillId="37" borderId="28" xfId="0" applyFont="1" applyFill="1" applyBorder="1" applyAlignment="1">
      <alignment/>
    </xf>
    <xf numFmtId="0" fontId="2" fillId="0" borderId="52" xfId="0" applyFont="1" applyBorder="1" applyAlignment="1">
      <alignment wrapText="1"/>
    </xf>
    <xf numFmtId="0" fontId="2" fillId="37" borderId="35" xfId="0" applyFont="1" applyFill="1" applyBorder="1" applyAlignment="1">
      <alignment/>
    </xf>
    <xf numFmtId="4" fontId="0" fillId="34" borderId="58" xfId="0" applyNumberFormat="1" applyFill="1" applyBorder="1" applyAlignment="1">
      <alignment horizontal="right" wrapText="1"/>
    </xf>
    <xf numFmtId="0" fontId="2" fillId="0" borderId="3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35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2" fillId="34" borderId="58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4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4" fontId="2" fillId="39" borderId="58" xfId="0" applyNumberFormat="1" applyFont="1" applyFill="1" applyBorder="1" applyAlignment="1">
      <alignment horizontal="right" wrapText="1"/>
    </xf>
    <xf numFmtId="4" fontId="11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5" borderId="33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7" xfId="0" applyNumberFormat="1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7" xfId="0" applyNumberFormat="1" applyFont="1" applyFill="1" applyBorder="1" applyAlignment="1">
      <alignment horizontal="center" vertical="center" wrapText="1"/>
    </xf>
    <xf numFmtId="2" fontId="9" fillId="34" borderId="48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textRotation="90"/>
    </xf>
    <xf numFmtId="0" fontId="1" fillId="0" borderId="47" xfId="0" applyFont="1" applyFill="1" applyBorder="1" applyAlignment="1">
      <alignment horizontal="center" textRotation="90"/>
    </xf>
    <xf numFmtId="0" fontId="1" fillId="37" borderId="45" xfId="0" applyFont="1" applyFill="1" applyBorder="1" applyAlignment="1">
      <alignment horizontal="center" textRotation="90"/>
    </xf>
    <xf numFmtId="0" fontId="1" fillId="37" borderId="47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4" xfId="61" applyFont="1" applyFill="1" applyBorder="1" applyAlignment="1">
      <alignment horizontal="center"/>
    </xf>
    <xf numFmtId="43" fontId="0" fillId="0" borderId="27" xfId="61" applyFont="1" applyFill="1" applyBorder="1" applyAlignment="1">
      <alignment horizontal="center"/>
    </xf>
    <xf numFmtId="2" fontId="1" fillId="33" borderId="45" xfId="0" applyNumberFormat="1" applyFont="1" applyFill="1" applyBorder="1" applyAlignment="1">
      <alignment horizontal="center" textRotation="90" wrapText="1"/>
    </xf>
    <xf numFmtId="2" fontId="1" fillId="33" borderId="47" xfId="0" applyNumberFormat="1" applyFont="1" applyFill="1" applyBorder="1" applyAlignment="1">
      <alignment horizontal="center" textRotation="90" wrapText="1"/>
    </xf>
    <xf numFmtId="2" fontId="1" fillId="33" borderId="48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2" fontId="1" fillId="33" borderId="44" xfId="0" applyNumberFormat="1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" fontId="1" fillId="0" borderId="78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" fontId="2" fillId="34" borderId="58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34" xfId="0" applyFont="1" applyBorder="1" applyAlignment="1">
      <alignment wrapText="1"/>
    </xf>
    <xf numFmtId="4" fontId="2" fillId="37" borderId="3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4" fontId="0" fillId="40" borderId="3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56%20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9">
          <cell r="I19">
            <v>7375.44486</v>
          </cell>
        </row>
      </sheetData>
      <sheetData sheetId="1">
        <row r="19">
          <cell r="I19">
            <v>7375.44486</v>
          </cell>
        </row>
      </sheetData>
      <sheetData sheetId="6">
        <row r="20">
          <cell r="I20">
            <v>7375.44486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20">
          <cell r="I20">
            <v>7375.45486</v>
          </cell>
          <cell r="M20">
            <v>2969.071</v>
          </cell>
        </row>
      </sheetData>
      <sheetData sheetId="5">
        <row r="20">
          <cell r="M20">
            <v>2969.071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7">
          <cell r="J7">
            <v>9111.585000000001</v>
          </cell>
          <cell r="S7">
            <v>4490.5070000000005</v>
          </cell>
        </row>
        <row r="180">
          <cell r="J180">
            <v>100</v>
          </cell>
          <cell r="S180">
            <v>25</v>
          </cell>
        </row>
      </sheetData>
      <sheetData sheetId="4">
        <row r="7">
          <cell r="J7">
            <v>9111.585000000001</v>
          </cell>
          <cell r="S7">
            <v>4490.5070000000005</v>
          </cell>
        </row>
        <row r="181">
          <cell r="J181">
            <v>100</v>
          </cell>
          <cell r="S181">
            <v>25</v>
          </cell>
        </row>
      </sheetData>
      <sheetData sheetId="5">
        <row r="7">
          <cell r="J7">
            <v>9111.585000000001</v>
          </cell>
          <cell r="S7">
            <v>4490.5070000000005</v>
          </cell>
        </row>
        <row r="212">
          <cell r="J212">
            <v>100</v>
          </cell>
          <cell r="S212">
            <v>25</v>
          </cell>
        </row>
      </sheetData>
      <sheetData sheetId="6">
        <row r="7">
          <cell r="J7">
            <v>9111.585000000001</v>
          </cell>
          <cell r="S7">
            <v>4490.5070000000005</v>
          </cell>
        </row>
        <row r="214">
          <cell r="J214">
            <v>100</v>
          </cell>
          <cell r="S214">
            <v>25</v>
          </cell>
        </row>
      </sheetData>
      <sheetData sheetId="7">
        <row r="7">
          <cell r="J7">
            <v>9111.585000000001</v>
          </cell>
          <cell r="S7">
            <v>4490.5070000000005</v>
          </cell>
        </row>
        <row r="214">
          <cell r="J214">
            <v>100</v>
          </cell>
          <cell r="S214">
            <v>25</v>
          </cell>
        </row>
      </sheetData>
      <sheetData sheetId="8">
        <row r="7">
          <cell r="J7">
            <v>9111.585000000001</v>
          </cell>
          <cell r="S7">
            <v>4490.5070000000005</v>
          </cell>
        </row>
        <row r="214">
          <cell r="J214">
            <v>100</v>
          </cell>
          <cell r="S214">
            <v>25</v>
          </cell>
        </row>
      </sheetData>
      <sheetData sheetId="9">
        <row r="7">
          <cell r="J7">
            <v>9111.585000000001</v>
          </cell>
          <cell r="S7">
            <v>4490.5070000000005</v>
          </cell>
        </row>
        <row r="213">
          <cell r="J213">
            <v>100</v>
          </cell>
          <cell r="S213">
            <v>25</v>
          </cell>
        </row>
      </sheetData>
      <sheetData sheetId="10">
        <row r="7">
          <cell r="J7">
            <v>9111.585000000001</v>
          </cell>
          <cell r="S7">
            <v>4490.5070000000005</v>
          </cell>
        </row>
        <row r="215">
          <cell r="J215">
            <v>100</v>
          </cell>
          <cell r="S215">
            <v>25</v>
          </cell>
        </row>
      </sheetData>
      <sheetData sheetId="11">
        <row r="7">
          <cell r="J7">
            <v>9111.585000000001</v>
          </cell>
          <cell r="S7">
            <v>4490.5070000000005</v>
          </cell>
        </row>
        <row r="218">
          <cell r="J218">
            <v>100</v>
          </cell>
          <cell r="S21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9">
          <cell r="O19">
            <v>2651.5076813400005</v>
          </cell>
        </row>
      </sheetData>
      <sheetData sheetId="1">
        <row r="19">
          <cell r="O19">
            <v>2655.49350304</v>
          </cell>
        </row>
      </sheetData>
      <sheetData sheetId="2">
        <row r="19">
          <cell r="O19">
            <v>2599.7958315700002</v>
          </cell>
        </row>
      </sheetData>
      <sheetData sheetId="3">
        <row r="19">
          <cell r="I19">
            <v>6236.63866</v>
          </cell>
          <cell r="O19">
            <v>2673.96895892</v>
          </cell>
        </row>
      </sheetData>
      <sheetData sheetId="4">
        <row r="19">
          <cell r="O19">
            <v>2984.9564236220003</v>
          </cell>
        </row>
      </sheetData>
      <sheetData sheetId="5">
        <row r="19">
          <cell r="I19">
            <v>9653.05726</v>
          </cell>
          <cell r="O19">
            <v>2825.83881398</v>
          </cell>
        </row>
      </sheetData>
      <sheetData sheetId="6">
        <row r="20">
          <cell r="O20">
            <v>2947.1819640200006</v>
          </cell>
        </row>
      </sheetData>
      <sheetData sheetId="7">
        <row r="20">
          <cell r="O20">
            <v>2945.8428619060005</v>
          </cell>
        </row>
      </sheetData>
      <sheetData sheetId="8">
        <row r="20">
          <cell r="O20">
            <v>2945.3973207274003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0">
          <cell r="I20">
            <v>7375.44486</v>
          </cell>
        </row>
      </sheetData>
      <sheetData sheetId="1">
        <row r="20">
          <cell r="I20">
            <v>7375.44486</v>
          </cell>
          <cell r="O20">
            <v>2972.5907400000006</v>
          </cell>
        </row>
      </sheetData>
      <sheetData sheetId="2">
        <row r="20">
          <cell r="I20">
            <v>7375.44486</v>
          </cell>
          <cell r="O20">
            <v>2972.5907400000006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0">
          <cell r="O20">
            <v>2968.4222420000006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20">
          <cell r="I20">
            <v>7375.45486</v>
          </cell>
        </row>
      </sheetData>
      <sheetData sheetId="2">
        <row r="20">
          <cell r="M20">
            <v>2969.071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20">
          <cell r="I20">
            <v>7375.45486</v>
          </cell>
        </row>
      </sheetData>
      <sheetData sheetId="6">
        <row r="19">
          <cell r="I19">
            <v>7375.45486</v>
          </cell>
        </row>
      </sheetData>
      <sheetData sheetId="9">
        <row r="19">
          <cell r="I19">
            <v>7375.45486</v>
          </cell>
          <cell r="M19">
            <v>2969.071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I42">
            <v>241624.74</v>
          </cell>
          <cell r="AD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9">
          <cell r="I19">
            <v>7368.746000000001</v>
          </cell>
          <cell r="R19">
            <v>4490.5070000000005</v>
          </cell>
        </row>
        <row r="148">
          <cell r="I148">
            <v>100</v>
          </cell>
          <cell r="R148">
            <v>25</v>
          </cell>
        </row>
      </sheetData>
      <sheetData sheetId="1">
        <row r="19">
          <cell r="J19">
            <v>7368.746000000001</v>
          </cell>
          <cell r="S19">
            <v>4490.5070000000005</v>
          </cell>
        </row>
        <row r="149">
          <cell r="S149">
            <v>25</v>
          </cell>
        </row>
        <row r="150">
          <cell r="J150">
            <v>100</v>
          </cell>
        </row>
      </sheetData>
      <sheetData sheetId="2">
        <row r="19">
          <cell r="J19">
            <v>7368.746000000001</v>
          </cell>
          <cell r="S19">
            <v>4490.5070000000005</v>
          </cell>
        </row>
        <row r="150">
          <cell r="J150">
            <v>100</v>
          </cell>
          <cell r="S150">
            <v>25</v>
          </cell>
        </row>
      </sheetData>
      <sheetData sheetId="3">
        <row r="19">
          <cell r="S19">
            <v>4490.5070000000005</v>
          </cell>
        </row>
        <row r="152">
          <cell r="S152">
            <v>25</v>
          </cell>
        </row>
      </sheetData>
      <sheetData sheetId="4">
        <row r="19">
          <cell r="J19">
            <v>7368.746000000001</v>
          </cell>
          <cell r="S19">
            <v>4490.5070000000005</v>
          </cell>
        </row>
        <row r="150">
          <cell r="J150">
            <v>100</v>
          </cell>
          <cell r="S150">
            <v>25</v>
          </cell>
        </row>
      </sheetData>
      <sheetData sheetId="5">
        <row r="19">
          <cell r="J19">
            <v>7368.746000000001</v>
          </cell>
          <cell r="S19">
            <v>4490.5070000000005</v>
          </cell>
        </row>
        <row r="150">
          <cell r="J150">
            <v>100</v>
          </cell>
          <cell r="S150">
            <v>25</v>
          </cell>
        </row>
      </sheetData>
      <sheetData sheetId="6">
        <row r="19">
          <cell r="J19">
            <v>7368.746000000001</v>
          </cell>
          <cell r="S19">
            <v>4490.5070000000005</v>
          </cell>
        </row>
        <row r="154">
          <cell r="J154">
            <v>100</v>
          </cell>
          <cell r="S154">
            <v>25</v>
          </cell>
        </row>
      </sheetData>
      <sheetData sheetId="7">
        <row r="19">
          <cell r="J19">
            <v>7368.746000000001</v>
          </cell>
          <cell r="S19">
            <v>4490.5070000000005</v>
          </cell>
        </row>
        <row r="158">
          <cell r="J158">
            <v>100</v>
          </cell>
          <cell r="S158">
            <v>25</v>
          </cell>
        </row>
      </sheetData>
      <sheetData sheetId="8">
        <row r="19">
          <cell r="J19">
            <v>7368.746000000001</v>
          </cell>
        </row>
        <row r="158">
          <cell r="J158">
            <v>100</v>
          </cell>
        </row>
      </sheetData>
      <sheetData sheetId="9">
        <row r="19">
          <cell r="J19">
            <v>7368.746000000001</v>
          </cell>
          <cell r="S19">
            <v>4490.5070000000005</v>
          </cell>
        </row>
        <row r="158">
          <cell r="J158">
            <v>100</v>
          </cell>
          <cell r="S158">
            <v>25</v>
          </cell>
        </row>
      </sheetData>
      <sheetData sheetId="10">
        <row r="19">
          <cell r="J19">
            <v>7368.746000000001</v>
          </cell>
          <cell r="S19">
            <v>4490.5070000000005</v>
          </cell>
        </row>
        <row r="158">
          <cell r="J158">
            <v>100</v>
          </cell>
          <cell r="S158">
            <v>25</v>
          </cell>
        </row>
      </sheetData>
      <sheetData sheetId="11">
        <row r="19">
          <cell r="J19">
            <v>7368.746000000001</v>
          </cell>
          <cell r="S19">
            <v>4490.5070000000005</v>
          </cell>
        </row>
        <row r="178">
          <cell r="J178">
            <v>100</v>
          </cell>
          <cell r="S178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9">
          <cell r="J19">
            <v>7368.746000000001</v>
          </cell>
        </row>
        <row r="152">
          <cell r="J15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6">
      <selection activeCell="AT41" sqref="AT4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0.375" style="2" customWidth="1"/>
    <col min="55" max="55" width="9.125" style="2" customWidth="1"/>
    <col min="56" max="56" width="10.00390625" style="2" customWidth="1"/>
    <col min="57" max="57" width="10.125" style="2" customWidth="1"/>
    <col min="58" max="16384" width="9.125" style="2" customWidth="1"/>
  </cols>
  <sheetData>
    <row r="1" spans="1:18" ht="12.75">
      <c r="A1" s="405" t="s">
        <v>77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68" t="s">
        <v>80</v>
      </c>
      <c r="B3" s="407" t="s">
        <v>0</v>
      </c>
      <c r="C3" s="409" t="s">
        <v>1</v>
      </c>
      <c r="D3" s="411" t="s">
        <v>2</v>
      </c>
      <c r="E3" s="368" t="s">
        <v>11</v>
      </c>
      <c r="F3" s="369"/>
      <c r="G3" s="368" t="s">
        <v>12</v>
      </c>
      <c r="H3" s="372"/>
      <c r="I3" s="368" t="s">
        <v>13</v>
      </c>
      <c r="J3" s="372"/>
      <c r="K3" s="368" t="s">
        <v>14</v>
      </c>
      <c r="L3" s="372"/>
      <c r="M3" s="395" t="s">
        <v>15</v>
      </c>
      <c r="N3" s="372"/>
      <c r="O3" s="368" t="s">
        <v>16</v>
      </c>
      <c r="P3" s="372"/>
      <c r="Q3" s="368" t="s">
        <v>17</v>
      </c>
      <c r="R3" s="372"/>
      <c r="S3" s="368" t="s">
        <v>3</v>
      </c>
      <c r="T3" s="395"/>
      <c r="U3" s="397" t="s">
        <v>4</v>
      </c>
      <c r="V3" s="398"/>
      <c r="W3" s="398"/>
      <c r="X3" s="398"/>
      <c r="Y3" s="398"/>
      <c r="Z3" s="398"/>
      <c r="AA3" s="398"/>
      <c r="AB3" s="398"/>
      <c r="AC3" s="413" t="s">
        <v>81</v>
      </c>
      <c r="AD3" s="385" t="s">
        <v>6</v>
      </c>
      <c r="AE3" s="385" t="s">
        <v>7</v>
      </c>
      <c r="AF3" s="388" t="s">
        <v>76</v>
      </c>
      <c r="AG3" s="346" t="s">
        <v>8</v>
      </c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8"/>
      <c r="BC3" s="352" t="s">
        <v>82</v>
      </c>
      <c r="BD3" s="353"/>
      <c r="BE3" s="354" t="s">
        <v>9</v>
      </c>
      <c r="BF3" s="354" t="s">
        <v>10</v>
      </c>
    </row>
    <row r="4" spans="1:58" ht="36" customHeight="1" thickBot="1">
      <c r="A4" s="406"/>
      <c r="B4" s="408"/>
      <c r="C4" s="410"/>
      <c r="D4" s="412"/>
      <c r="E4" s="370"/>
      <c r="F4" s="371"/>
      <c r="G4" s="373"/>
      <c r="H4" s="374"/>
      <c r="I4" s="373"/>
      <c r="J4" s="374"/>
      <c r="K4" s="373"/>
      <c r="L4" s="374"/>
      <c r="M4" s="403"/>
      <c r="N4" s="404"/>
      <c r="O4" s="373"/>
      <c r="P4" s="374"/>
      <c r="Q4" s="373"/>
      <c r="R4" s="374"/>
      <c r="S4" s="373"/>
      <c r="T4" s="396"/>
      <c r="U4" s="399"/>
      <c r="V4" s="400"/>
      <c r="W4" s="400"/>
      <c r="X4" s="400"/>
      <c r="Y4" s="400"/>
      <c r="Z4" s="400"/>
      <c r="AA4" s="400"/>
      <c r="AB4" s="400"/>
      <c r="AC4" s="414"/>
      <c r="AD4" s="386"/>
      <c r="AE4" s="386"/>
      <c r="AF4" s="389"/>
      <c r="AG4" s="349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1"/>
      <c r="BC4" s="377" t="s">
        <v>83</v>
      </c>
      <c r="BD4" s="367" t="s">
        <v>84</v>
      </c>
      <c r="BE4" s="355"/>
      <c r="BF4" s="355"/>
    </row>
    <row r="5" spans="1:58" ht="29.25" customHeight="1" thickBot="1">
      <c r="A5" s="406"/>
      <c r="B5" s="408"/>
      <c r="C5" s="410"/>
      <c r="D5" s="412"/>
      <c r="E5" s="401" t="s">
        <v>18</v>
      </c>
      <c r="F5" s="391" t="s">
        <v>19</v>
      </c>
      <c r="G5" s="391" t="s">
        <v>18</v>
      </c>
      <c r="H5" s="391" t="s">
        <v>19</v>
      </c>
      <c r="I5" s="391" t="s">
        <v>18</v>
      </c>
      <c r="J5" s="391" t="s">
        <v>19</v>
      </c>
      <c r="K5" s="391" t="s">
        <v>18</v>
      </c>
      <c r="L5" s="391" t="s">
        <v>19</v>
      </c>
      <c r="M5" s="391" t="s">
        <v>18</v>
      </c>
      <c r="N5" s="391" t="s">
        <v>19</v>
      </c>
      <c r="O5" s="391" t="s">
        <v>18</v>
      </c>
      <c r="P5" s="391" t="s">
        <v>19</v>
      </c>
      <c r="Q5" s="391" t="s">
        <v>18</v>
      </c>
      <c r="R5" s="391" t="s">
        <v>19</v>
      </c>
      <c r="S5" s="391" t="s">
        <v>18</v>
      </c>
      <c r="T5" s="393" t="s">
        <v>19</v>
      </c>
      <c r="U5" s="383" t="s">
        <v>20</v>
      </c>
      <c r="V5" s="383" t="s">
        <v>21</v>
      </c>
      <c r="W5" s="383" t="s">
        <v>22</v>
      </c>
      <c r="X5" s="383" t="s">
        <v>23</v>
      </c>
      <c r="Y5" s="383" t="s">
        <v>24</v>
      </c>
      <c r="Z5" s="383" t="s">
        <v>25</v>
      </c>
      <c r="AA5" s="383" t="s">
        <v>26</v>
      </c>
      <c r="AB5" s="416" t="s">
        <v>27</v>
      </c>
      <c r="AC5" s="414"/>
      <c r="AD5" s="386"/>
      <c r="AE5" s="386"/>
      <c r="AF5" s="389"/>
      <c r="AG5" s="357" t="s">
        <v>28</v>
      </c>
      <c r="AH5" s="375" t="s">
        <v>29</v>
      </c>
      <c r="AI5" s="375" t="s">
        <v>30</v>
      </c>
      <c r="AJ5" s="365" t="s">
        <v>31</v>
      </c>
      <c r="AK5" s="375" t="s">
        <v>32</v>
      </c>
      <c r="AL5" s="365" t="s">
        <v>31</v>
      </c>
      <c r="AM5" s="365" t="s">
        <v>33</v>
      </c>
      <c r="AN5" s="365" t="s">
        <v>31</v>
      </c>
      <c r="AO5" s="365" t="s">
        <v>34</v>
      </c>
      <c r="AP5" s="365" t="s">
        <v>31</v>
      </c>
      <c r="AQ5" s="359" t="s">
        <v>85</v>
      </c>
      <c r="AR5" s="361" t="s">
        <v>31</v>
      </c>
      <c r="AS5" s="363" t="s">
        <v>86</v>
      </c>
      <c r="AT5" s="363" t="s">
        <v>87</v>
      </c>
      <c r="AU5" s="143" t="s">
        <v>31</v>
      </c>
      <c r="AV5" s="352" t="s">
        <v>88</v>
      </c>
      <c r="AW5" s="380"/>
      <c r="AX5" s="353"/>
      <c r="AY5" s="381" t="s">
        <v>17</v>
      </c>
      <c r="AZ5" s="367" t="s">
        <v>36</v>
      </c>
      <c r="BA5" s="367" t="s">
        <v>31</v>
      </c>
      <c r="BB5" s="367" t="s">
        <v>37</v>
      </c>
      <c r="BC5" s="378"/>
      <c r="BD5" s="365"/>
      <c r="BE5" s="355"/>
      <c r="BF5" s="355"/>
    </row>
    <row r="6" spans="1:58" ht="54" customHeight="1" thickBot="1">
      <c r="A6" s="406"/>
      <c r="B6" s="408"/>
      <c r="C6" s="410"/>
      <c r="D6" s="412"/>
      <c r="E6" s="40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4"/>
      <c r="U6" s="384"/>
      <c r="V6" s="384"/>
      <c r="W6" s="384"/>
      <c r="X6" s="384"/>
      <c r="Y6" s="384"/>
      <c r="Z6" s="384"/>
      <c r="AA6" s="384"/>
      <c r="AB6" s="349"/>
      <c r="AC6" s="415"/>
      <c r="AD6" s="387"/>
      <c r="AE6" s="387"/>
      <c r="AF6" s="390"/>
      <c r="AG6" s="358"/>
      <c r="AH6" s="376"/>
      <c r="AI6" s="376"/>
      <c r="AJ6" s="366"/>
      <c r="AK6" s="376"/>
      <c r="AL6" s="366"/>
      <c r="AM6" s="366"/>
      <c r="AN6" s="366"/>
      <c r="AO6" s="366"/>
      <c r="AP6" s="366"/>
      <c r="AQ6" s="360"/>
      <c r="AR6" s="362"/>
      <c r="AS6" s="364"/>
      <c r="AT6" s="364"/>
      <c r="AU6" s="145"/>
      <c r="AV6" s="144" t="s">
        <v>89</v>
      </c>
      <c r="AW6" s="144" t="s">
        <v>90</v>
      </c>
      <c r="AX6" s="144" t="s">
        <v>91</v>
      </c>
      <c r="AY6" s="382"/>
      <c r="AZ6" s="366"/>
      <c r="BA6" s="366"/>
      <c r="BB6" s="366"/>
      <c r="BC6" s="379"/>
      <c r="BD6" s="366"/>
      <c r="BE6" s="356"/>
      <c r="BF6" s="356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46">
        <v>43</v>
      </c>
      <c r="AR7" s="147">
        <v>44</v>
      </c>
      <c r="AS7" s="148">
        <v>45</v>
      </c>
      <c r="AT7" s="10">
        <v>46</v>
      </c>
      <c r="AU7" s="14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49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50"/>
      <c r="AR8" s="150"/>
      <c r="AS8" s="6"/>
      <c r="AT8" s="6"/>
      <c r="AU8" s="6"/>
      <c r="AV8" s="7"/>
      <c r="AW8" s="7"/>
      <c r="AX8" s="7"/>
      <c r="AY8" s="7"/>
      <c r="AZ8" s="151"/>
      <c r="BA8" s="1"/>
      <c r="BB8" s="1"/>
      <c r="BC8" s="1"/>
      <c r="BD8" s="1"/>
      <c r="BE8" s="1"/>
      <c r="BF8" s="149"/>
    </row>
    <row r="9" spans="1:58" s="153" customFormat="1" ht="12.75">
      <c r="A9" s="152" t="s">
        <v>39</v>
      </c>
      <c r="B9" s="80">
        <v>1005.5</v>
      </c>
      <c r="C9" s="203">
        <f>B9*8.65</f>
        <v>8697.575</v>
      </c>
      <c r="D9" s="204">
        <f>C9*0.24088</f>
        <v>2095.071866</v>
      </c>
      <c r="E9" s="81">
        <v>715.02</v>
      </c>
      <c r="F9" s="81">
        <v>163.07</v>
      </c>
      <c r="G9" s="81">
        <v>965.31</v>
      </c>
      <c r="H9" s="81">
        <v>220.14</v>
      </c>
      <c r="I9" s="81">
        <v>2323.84</v>
      </c>
      <c r="J9" s="81">
        <v>529.97</v>
      </c>
      <c r="K9" s="81">
        <v>1608.82</v>
      </c>
      <c r="L9" s="81">
        <v>366.9</v>
      </c>
      <c r="M9" s="78">
        <v>572.03</v>
      </c>
      <c r="N9" s="78">
        <v>130.45</v>
      </c>
      <c r="O9" s="81">
        <v>0</v>
      </c>
      <c r="P9" s="81">
        <v>0</v>
      </c>
      <c r="Q9" s="81">
        <v>0</v>
      </c>
      <c r="R9" s="81">
        <v>0</v>
      </c>
      <c r="S9" s="81">
        <f>E9+G9+I9+K9+M9+O9+Q9</f>
        <v>6185.0199999999995</v>
      </c>
      <c r="T9" s="191">
        <f>P9+N9+L9+J9+H9+F9+R9</f>
        <v>1410.53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8">
        <v>0</v>
      </c>
      <c r="AA9" s="88">
        <v>0</v>
      </c>
      <c r="AB9" s="88">
        <f>SUM(U9:AA9)</f>
        <v>0</v>
      </c>
      <c r="AC9" s="205">
        <f>D9+T9+AB9</f>
        <v>3505.601866</v>
      </c>
      <c r="AD9" s="206">
        <f>P9+Z9</f>
        <v>0</v>
      </c>
      <c r="AE9" s="193">
        <f>R9+AA9</f>
        <v>0</v>
      </c>
      <c r="AF9" s="193"/>
      <c r="AG9" s="23">
        <f>0.6*B9</f>
        <v>603.3</v>
      </c>
      <c r="AH9" s="23">
        <f>B9*0.2*1.05826</f>
        <v>212.816086</v>
      </c>
      <c r="AI9" s="23">
        <f>0.8518*B9</f>
        <v>856.4849</v>
      </c>
      <c r="AJ9" s="23">
        <f>AI9*0.18</f>
        <v>154.167282</v>
      </c>
      <c r="AK9" s="23">
        <f>1.04*B9*0.9531</f>
        <v>996.6757319999999</v>
      </c>
      <c r="AL9" s="23">
        <f>AK9*0.18</f>
        <v>179.40163176</v>
      </c>
      <c r="AM9" s="23">
        <f>(1.91)*B9*0.9531</f>
        <v>1830.4333154999997</v>
      </c>
      <c r="AN9" s="23">
        <f>AM9*0.18</f>
        <v>329.47799678999996</v>
      </c>
      <c r="AO9" s="23"/>
      <c r="AP9" s="23">
        <f>AO9*0.18</f>
        <v>0</v>
      </c>
      <c r="AQ9" s="194"/>
      <c r="AR9" s="194"/>
      <c r="AS9" s="86">
        <v>2344.5</v>
      </c>
      <c r="AT9" s="86"/>
      <c r="AU9" s="86">
        <f>(AS9+AT9)*0.18</f>
        <v>422.01</v>
      </c>
      <c r="AV9" s="195"/>
      <c r="AW9" s="196"/>
      <c r="AX9" s="23">
        <f>AV9*AW9*1.12*1.18</f>
        <v>0</v>
      </c>
      <c r="AY9" s="197"/>
      <c r="AZ9" s="198"/>
      <c r="BA9" s="198">
        <f>AZ9*0.18</f>
        <v>0</v>
      </c>
      <c r="BB9" s="198">
        <f>SUM(AG9:BA9)-AV9-AW9</f>
        <v>7929.266944049999</v>
      </c>
      <c r="BC9" s="199"/>
      <c r="BD9" s="154">
        <f>BB9-(AF9-BC9)</f>
        <v>7929.266944049999</v>
      </c>
      <c r="BE9" s="155">
        <f>AC9-BB9</f>
        <v>-4423.6650780499995</v>
      </c>
      <c r="BF9" s="156">
        <f>AB9-S9</f>
        <v>-6185.0199999999995</v>
      </c>
    </row>
    <row r="10" spans="1:58" ht="12.75">
      <c r="A10" s="13" t="s">
        <v>40</v>
      </c>
      <c r="B10" s="80">
        <v>1005.5</v>
      </c>
      <c r="C10" s="203">
        <f>B10*8.65</f>
        <v>8697.575</v>
      </c>
      <c r="D10" s="204">
        <f>C10*0.24088</f>
        <v>2095.071866</v>
      </c>
      <c r="E10" s="81">
        <v>714.98</v>
      </c>
      <c r="F10" s="81">
        <v>163.07</v>
      </c>
      <c r="G10" s="81">
        <v>965.27</v>
      </c>
      <c r="H10" s="81">
        <v>220.14</v>
      </c>
      <c r="I10" s="81">
        <v>2323.73</v>
      </c>
      <c r="J10" s="81">
        <v>529.97</v>
      </c>
      <c r="K10" s="81">
        <v>1608.74</v>
      </c>
      <c r="L10" s="81">
        <v>366.9</v>
      </c>
      <c r="M10" s="78">
        <v>572.01</v>
      </c>
      <c r="N10" s="78">
        <v>130.45</v>
      </c>
      <c r="O10" s="81">
        <v>0</v>
      </c>
      <c r="P10" s="81">
        <v>0</v>
      </c>
      <c r="Q10" s="81">
        <v>0</v>
      </c>
      <c r="R10" s="81">
        <v>0</v>
      </c>
      <c r="S10" s="81">
        <f>E10+G10+I10+K10+M10+O10+Q10</f>
        <v>6184.7300000000005</v>
      </c>
      <c r="T10" s="191">
        <f>P10+N10+L10+J10+H10+F10+R10</f>
        <v>1410.53</v>
      </c>
      <c r="U10" s="81">
        <v>421.13</v>
      </c>
      <c r="V10" s="81">
        <v>568.57</v>
      </c>
      <c r="W10" s="81">
        <v>1661.45</v>
      </c>
      <c r="X10" s="81">
        <v>947.57</v>
      </c>
      <c r="Y10" s="81">
        <v>336.92</v>
      </c>
      <c r="Z10" s="81">
        <v>0</v>
      </c>
      <c r="AA10" s="88">
        <v>0</v>
      </c>
      <c r="AB10" s="207">
        <f>SUM(U10:AA10)</f>
        <v>3935.6400000000003</v>
      </c>
      <c r="AC10" s="192">
        <f>D10+T10+AB10</f>
        <v>7441.241866</v>
      </c>
      <c r="AD10" s="193">
        <f>P10+Z10</f>
        <v>0</v>
      </c>
      <c r="AE10" s="193">
        <f>R10+AA10</f>
        <v>0</v>
      </c>
      <c r="AF10" s="193"/>
      <c r="AG10" s="23">
        <f>0.6*B10</f>
        <v>603.3</v>
      </c>
      <c r="AH10" s="23">
        <f>B10*0.201</f>
        <v>202.1055</v>
      </c>
      <c r="AI10" s="23">
        <f>0.8518*B10</f>
        <v>856.4849</v>
      </c>
      <c r="AJ10" s="23">
        <f>AI10*0.18</f>
        <v>154.167282</v>
      </c>
      <c r="AK10" s="23">
        <f>1.04*B10*0.9531</f>
        <v>996.6757319999999</v>
      </c>
      <c r="AL10" s="23">
        <f>AK10*0.18</f>
        <v>179.40163176</v>
      </c>
      <c r="AM10" s="23">
        <f>(1.91)*B10*0.9531</f>
        <v>1830.4333154999997</v>
      </c>
      <c r="AN10" s="23">
        <f>AM10*0.18</f>
        <v>329.47799678999996</v>
      </c>
      <c r="AO10" s="23"/>
      <c r="AP10" s="23">
        <f>AO10*0.18</f>
        <v>0</v>
      </c>
      <c r="AQ10" s="194"/>
      <c r="AR10" s="194"/>
      <c r="AS10" s="86">
        <v>1410</v>
      </c>
      <c r="AT10" s="86"/>
      <c r="AU10" s="86">
        <f>(AS10+AT10)*0.18</f>
        <v>253.79999999999998</v>
      </c>
      <c r="AV10" s="195"/>
      <c r="AW10" s="196"/>
      <c r="AX10" s="23">
        <f>AV10*AW10*1.12*1.18</f>
        <v>0</v>
      </c>
      <c r="AY10" s="197"/>
      <c r="AZ10" s="198"/>
      <c r="BA10" s="198">
        <f>AZ10*0.18</f>
        <v>0</v>
      </c>
      <c r="BB10" s="198">
        <f>SUM(AG10:BA10)-AV10-AW10</f>
        <v>6815.84635805</v>
      </c>
      <c r="BC10" s="199"/>
      <c r="BD10" s="154">
        <f>BB10-(AF10-BC10)</f>
        <v>6815.84635805</v>
      </c>
      <c r="BE10" s="155">
        <f>AC10-BB10</f>
        <v>625.3955079500001</v>
      </c>
      <c r="BF10" s="155">
        <f>AB10-S10</f>
        <v>-2249.09</v>
      </c>
    </row>
    <row r="11" spans="1:58" ht="13.5" thickBot="1">
      <c r="A11" s="43" t="s">
        <v>41</v>
      </c>
      <c r="B11" s="80">
        <v>1005.5</v>
      </c>
      <c r="C11" s="203">
        <f>B11*8.65</f>
        <v>8697.575</v>
      </c>
      <c r="D11" s="204">
        <f>C11*0.24035</f>
        <v>2090.4621512500003</v>
      </c>
      <c r="E11" s="81">
        <v>715.02</v>
      </c>
      <c r="F11" s="81">
        <v>163.07</v>
      </c>
      <c r="G11" s="81">
        <v>965.31</v>
      </c>
      <c r="H11" s="81">
        <v>220.14</v>
      </c>
      <c r="I11" s="81">
        <v>2323.84</v>
      </c>
      <c r="J11" s="81">
        <v>529.97</v>
      </c>
      <c r="K11" s="81">
        <v>1608.82</v>
      </c>
      <c r="L11" s="81">
        <v>366.9</v>
      </c>
      <c r="M11" s="78">
        <v>572.03</v>
      </c>
      <c r="N11" s="82">
        <v>130.45</v>
      </c>
      <c r="O11" s="88">
        <v>0</v>
      </c>
      <c r="P11" s="88">
        <v>0</v>
      </c>
      <c r="Q11" s="88">
        <v>0</v>
      </c>
      <c r="R11" s="88">
        <v>0</v>
      </c>
      <c r="S11" s="81">
        <f>E11+G11+I11+K11+M11+O11+Q11</f>
        <v>6185.0199999999995</v>
      </c>
      <c r="T11" s="191">
        <f>P11+N11+L11+J11+H11+F11+R11</f>
        <v>1410.53</v>
      </c>
      <c r="U11" s="81">
        <v>900</v>
      </c>
      <c r="V11" s="81">
        <v>1215.05</v>
      </c>
      <c r="W11" s="81">
        <v>2632.46</v>
      </c>
      <c r="X11" s="81">
        <v>2025.05</v>
      </c>
      <c r="Y11" s="81">
        <v>720.03</v>
      </c>
      <c r="Z11" s="81">
        <v>0</v>
      </c>
      <c r="AA11" s="88">
        <v>0</v>
      </c>
      <c r="AB11" s="207">
        <f>SUM(U11:AA11)</f>
        <v>7492.59</v>
      </c>
      <c r="AC11" s="192">
        <f>D11+T11+AB11</f>
        <v>10993.58215125</v>
      </c>
      <c r="AD11" s="193">
        <f>P11+Z11</f>
        <v>0</v>
      </c>
      <c r="AE11" s="193">
        <f>R11+AA11</f>
        <v>0</v>
      </c>
      <c r="AF11" s="193"/>
      <c r="AG11" s="23">
        <f>0.6*B11</f>
        <v>603.3</v>
      </c>
      <c r="AH11" s="23">
        <f>B11*0.2*1.02524</f>
        <v>206.17576400000002</v>
      </c>
      <c r="AI11" s="23">
        <f>0.84932*B11</f>
        <v>853.99126</v>
      </c>
      <c r="AJ11" s="23">
        <f>AI11*0.18</f>
        <v>153.7184268</v>
      </c>
      <c r="AK11" s="23">
        <f>1.04*B11*0.95033</f>
        <v>993.7790876</v>
      </c>
      <c r="AL11" s="23">
        <f>AK11*0.18</f>
        <v>178.880235768</v>
      </c>
      <c r="AM11" s="23">
        <f>(1.91)*B11*0.95033</f>
        <v>1825.1135166499998</v>
      </c>
      <c r="AN11" s="23">
        <f>AM11*0.18</f>
        <v>328.52043299699994</v>
      </c>
      <c r="AO11" s="23"/>
      <c r="AP11" s="23">
        <f>AO11*0.18</f>
        <v>0</v>
      </c>
      <c r="AQ11" s="194"/>
      <c r="AR11" s="194"/>
      <c r="AS11" s="86">
        <v>1030</v>
      </c>
      <c r="AT11" s="86"/>
      <c r="AU11" s="86">
        <f>(AS11+AT11)*0.18</f>
        <v>185.4</v>
      </c>
      <c r="AV11" s="195"/>
      <c r="AW11" s="196"/>
      <c r="AX11" s="23">
        <f>AV11*AW11*1.12*1.18</f>
        <v>0</v>
      </c>
      <c r="AY11" s="197"/>
      <c r="AZ11" s="198"/>
      <c r="BA11" s="198">
        <f>AZ11*0.18</f>
        <v>0</v>
      </c>
      <c r="BB11" s="198">
        <f>SUM(AG11:BA11)-AV11-AW11</f>
        <v>6358.878723815</v>
      </c>
      <c r="BC11" s="199"/>
      <c r="BD11" s="154">
        <f>BB11-(AF11-BC11)</f>
        <v>6358.878723815</v>
      </c>
      <c r="BE11" s="155">
        <f>AC11-BB11</f>
        <v>4634.703427435001</v>
      </c>
      <c r="BF11" s="155">
        <f>AB11-S11</f>
        <v>1307.5700000000006</v>
      </c>
    </row>
    <row r="12" spans="1:58" s="22" customFormat="1" ht="15" customHeight="1" thickBot="1">
      <c r="A12" s="44" t="s">
        <v>3</v>
      </c>
      <c r="B12" s="70"/>
      <c r="C12" s="70">
        <f>SUM(C9:C11)</f>
        <v>26092.725000000002</v>
      </c>
      <c r="D12" s="70">
        <f aca="true" t="shared" si="0" ref="D12:BD12">SUM(D9:D11)</f>
        <v>6280.60588325</v>
      </c>
      <c r="E12" s="70">
        <f t="shared" si="0"/>
        <v>2145.02</v>
      </c>
      <c r="F12" s="70">
        <f t="shared" si="0"/>
        <v>489.21</v>
      </c>
      <c r="G12" s="70">
        <f t="shared" si="0"/>
        <v>2895.89</v>
      </c>
      <c r="H12" s="70">
        <f t="shared" si="0"/>
        <v>660.42</v>
      </c>
      <c r="I12" s="70">
        <f t="shared" si="0"/>
        <v>6971.41</v>
      </c>
      <c r="J12" s="70">
        <f t="shared" si="0"/>
        <v>1589.91</v>
      </c>
      <c r="K12" s="70">
        <f t="shared" si="0"/>
        <v>4826.38</v>
      </c>
      <c r="L12" s="70">
        <f t="shared" si="0"/>
        <v>1100.6999999999998</v>
      </c>
      <c r="M12" s="70">
        <f t="shared" si="0"/>
        <v>1716.07</v>
      </c>
      <c r="N12" s="70">
        <f t="shared" si="0"/>
        <v>391.34999999999997</v>
      </c>
      <c r="O12" s="70">
        <f t="shared" si="0"/>
        <v>0</v>
      </c>
      <c r="P12" s="70">
        <f t="shared" si="0"/>
        <v>0</v>
      </c>
      <c r="Q12" s="70">
        <f t="shared" si="0"/>
        <v>0</v>
      </c>
      <c r="R12" s="70">
        <f t="shared" si="0"/>
        <v>0</v>
      </c>
      <c r="S12" s="70">
        <f t="shared" si="0"/>
        <v>18554.77</v>
      </c>
      <c r="T12" s="70">
        <f t="shared" si="0"/>
        <v>4231.59</v>
      </c>
      <c r="U12" s="70">
        <f t="shared" si="0"/>
        <v>1321.13</v>
      </c>
      <c r="V12" s="70">
        <f t="shared" si="0"/>
        <v>1783.62</v>
      </c>
      <c r="W12" s="70">
        <f t="shared" si="0"/>
        <v>4293.91</v>
      </c>
      <c r="X12" s="70">
        <f t="shared" si="0"/>
        <v>2972.62</v>
      </c>
      <c r="Y12" s="70">
        <f t="shared" si="0"/>
        <v>1056.95</v>
      </c>
      <c r="Z12" s="70">
        <f t="shared" si="0"/>
        <v>0</v>
      </c>
      <c r="AA12" s="70">
        <f t="shared" si="0"/>
        <v>0</v>
      </c>
      <c r="AB12" s="70">
        <f t="shared" si="0"/>
        <v>11428.23</v>
      </c>
      <c r="AC12" s="70">
        <f t="shared" si="0"/>
        <v>21940.42588325</v>
      </c>
      <c r="AD12" s="70">
        <f t="shared" si="0"/>
        <v>0</v>
      </c>
      <c r="AE12" s="70">
        <f t="shared" si="0"/>
        <v>0</v>
      </c>
      <c r="AF12" s="70">
        <f t="shared" si="0"/>
        <v>0</v>
      </c>
      <c r="AG12" s="70">
        <f t="shared" si="0"/>
        <v>1809.8999999999999</v>
      </c>
      <c r="AH12" s="70">
        <f t="shared" si="0"/>
        <v>621.09735</v>
      </c>
      <c r="AI12" s="70">
        <f t="shared" si="0"/>
        <v>2566.96106</v>
      </c>
      <c r="AJ12" s="70">
        <f t="shared" si="0"/>
        <v>462.0529908</v>
      </c>
      <c r="AK12" s="70">
        <f t="shared" si="0"/>
        <v>2987.1305515999998</v>
      </c>
      <c r="AL12" s="70">
        <f t="shared" si="0"/>
        <v>537.683499288</v>
      </c>
      <c r="AM12" s="70">
        <f t="shared" si="0"/>
        <v>5485.98014765</v>
      </c>
      <c r="AN12" s="70">
        <f t="shared" si="0"/>
        <v>987.4764265769999</v>
      </c>
      <c r="AO12" s="70">
        <f t="shared" si="0"/>
        <v>0</v>
      </c>
      <c r="AP12" s="70">
        <f t="shared" si="0"/>
        <v>0</v>
      </c>
      <c r="AQ12" s="157">
        <f t="shared" si="0"/>
        <v>0</v>
      </c>
      <c r="AR12" s="157">
        <f t="shared" si="0"/>
        <v>0</v>
      </c>
      <c r="AS12" s="158">
        <f t="shared" si="0"/>
        <v>4784.5</v>
      </c>
      <c r="AT12" s="158">
        <f t="shared" si="0"/>
        <v>0</v>
      </c>
      <c r="AU12" s="158">
        <f t="shared" si="0"/>
        <v>861.2099999999999</v>
      </c>
      <c r="AV12" s="70">
        <f t="shared" si="0"/>
        <v>0</v>
      </c>
      <c r="AW12" s="70">
        <f t="shared" si="0"/>
        <v>0</v>
      </c>
      <c r="AX12" s="70">
        <f t="shared" si="0"/>
        <v>0</v>
      </c>
      <c r="AY12" s="70">
        <f t="shared" si="0"/>
        <v>0</v>
      </c>
      <c r="AZ12" s="70">
        <f t="shared" si="0"/>
        <v>0</v>
      </c>
      <c r="BA12" s="70">
        <f t="shared" si="0"/>
        <v>0</v>
      </c>
      <c r="BB12" s="70">
        <f t="shared" si="0"/>
        <v>21103.992025915</v>
      </c>
      <c r="BC12" s="70">
        <f t="shared" si="0"/>
        <v>0</v>
      </c>
      <c r="BD12" s="70">
        <f t="shared" si="0"/>
        <v>21103.992025915</v>
      </c>
      <c r="BE12" s="70">
        <f>SUM(BE9:BE11)</f>
        <v>836.4338573350014</v>
      </c>
      <c r="BF12" s="159">
        <f>SUM(BF9:BF11)</f>
        <v>-7126.54</v>
      </c>
    </row>
    <row r="13" spans="1:58" ht="15" customHeight="1">
      <c r="A13" s="8" t="s">
        <v>42</v>
      </c>
      <c r="B13" s="67"/>
      <c r="C13" s="160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63"/>
      <c r="Q13" s="164"/>
      <c r="R13" s="164"/>
      <c r="S13" s="164"/>
      <c r="T13" s="164"/>
      <c r="U13" s="165"/>
      <c r="V13" s="165"/>
      <c r="W13" s="165"/>
      <c r="X13" s="165"/>
      <c r="Y13" s="165"/>
      <c r="Z13" s="165"/>
      <c r="AA13" s="166"/>
      <c r="AB13" s="166"/>
      <c r="AC13" s="167"/>
      <c r="AD13" s="168"/>
      <c r="AE13" s="168"/>
      <c r="AF13" s="53"/>
      <c r="AG13" s="53"/>
      <c r="AH13" s="53"/>
      <c r="AI13" s="53"/>
      <c r="AJ13" s="53"/>
      <c r="AK13" s="53"/>
      <c r="AL13" s="53"/>
      <c r="AM13" s="53"/>
      <c r="AN13" s="68"/>
      <c r="AO13" s="68"/>
      <c r="AP13" s="68"/>
      <c r="AQ13" s="169"/>
      <c r="AR13" s="170"/>
      <c r="AS13" s="142"/>
      <c r="AT13" s="142"/>
      <c r="AU13" s="171"/>
      <c r="AV13" s="53"/>
      <c r="AW13" s="53"/>
      <c r="AX13" s="172"/>
      <c r="AY13" s="1"/>
      <c r="AZ13" s="1"/>
      <c r="BA13" s="1"/>
      <c r="BB13" s="1"/>
      <c r="BC13" s="1"/>
      <c r="BD13" s="1"/>
      <c r="BE13" s="1"/>
      <c r="BF13" s="149"/>
    </row>
    <row r="14" spans="1:58" ht="12.75">
      <c r="A14" s="13" t="s">
        <v>43</v>
      </c>
      <c r="B14" s="95">
        <v>1005.5</v>
      </c>
      <c r="C14" s="203">
        <f aca="true" t="shared" si="1" ref="C14:C25">B14*8.65</f>
        <v>8697.575</v>
      </c>
      <c r="D14" s="204">
        <f>C14*0.125</f>
        <v>1087.196875</v>
      </c>
      <c r="E14" s="81">
        <v>712.83</v>
      </c>
      <c r="F14" s="81">
        <v>164.51</v>
      </c>
      <c r="G14" s="81">
        <v>962.34</v>
      </c>
      <c r="H14" s="81">
        <v>222.09</v>
      </c>
      <c r="I14" s="81">
        <v>2316.7</v>
      </c>
      <c r="J14" s="81">
        <v>534.66</v>
      </c>
      <c r="K14" s="81">
        <v>1603.88</v>
      </c>
      <c r="L14" s="81">
        <v>370.15</v>
      </c>
      <c r="M14" s="78">
        <v>570.28</v>
      </c>
      <c r="N14" s="82">
        <v>131.61</v>
      </c>
      <c r="O14" s="88">
        <v>0</v>
      </c>
      <c r="P14" s="88">
        <v>0</v>
      </c>
      <c r="Q14" s="88">
        <v>0</v>
      </c>
      <c r="R14" s="88">
        <v>0</v>
      </c>
      <c r="S14" s="81">
        <f aca="true" t="shared" si="2" ref="S14:S25">E14+G14+I14+K14+M14+O14+Q14</f>
        <v>6166.03</v>
      </c>
      <c r="T14" s="191">
        <f aca="true" t="shared" si="3" ref="T14:T25">P14+N14+L14+J14+H14+F14+R14</f>
        <v>1423.02</v>
      </c>
      <c r="U14" s="81">
        <v>521.14</v>
      </c>
      <c r="V14" s="81">
        <v>703.58</v>
      </c>
      <c r="W14" s="81">
        <v>1693.59</v>
      </c>
      <c r="X14" s="81">
        <v>1172.59</v>
      </c>
      <c r="Y14" s="81">
        <v>416.92</v>
      </c>
      <c r="Z14" s="81">
        <v>0</v>
      </c>
      <c r="AA14" s="88">
        <v>0</v>
      </c>
      <c r="AB14" s="208">
        <f aca="true" t="shared" si="4" ref="AB14:AB22">SUM(U14:AA14)</f>
        <v>4507.82</v>
      </c>
      <c r="AC14" s="192">
        <f aca="true" t="shared" si="5" ref="AC14:AC22">D14+T14+AB14</f>
        <v>7018.036875</v>
      </c>
      <c r="AD14" s="193">
        <f aca="true" t="shared" si="6" ref="AD14:AD25">P14+Z14</f>
        <v>0</v>
      </c>
      <c r="AE14" s="193">
        <f aca="true" t="shared" si="7" ref="AE14:AE25">R14+AA14</f>
        <v>0</v>
      </c>
      <c r="AF14" s="193">
        <f>'[1]Т01-09'!$I$19</f>
        <v>7375.44486</v>
      </c>
      <c r="AG14" s="23">
        <f>0.6*B14*0.9</f>
        <v>542.97</v>
      </c>
      <c r="AH14" s="23">
        <f>B14*0.2*0.891</f>
        <v>179.1801</v>
      </c>
      <c r="AI14" s="23">
        <f>0.85*B14*0.867-0.02</f>
        <v>740.983225</v>
      </c>
      <c r="AJ14" s="23">
        <f aca="true" t="shared" si="8" ref="AJ14:AJ25">AI14*0.18</f>
        <v>133.37698049999997</v>
      </c>
      <c r="AK14" s="23">
        <f>0.83*B14*0.8685</f>
        <v>724.8197025</v>
      </c>
      <c r="AL14" s="23">
        <f aca="true" t="shared" si="9" ref="AL14:AL25">AK14*0.18</f>
        <v>130.46754645</v>
      </c>
      <c r="AM14" s="23">
        <f>1.91*B14*0.8686</f>
        <v>1668.150643</v>
      </c>
      <c r="AN14" s="23">
        <f aca="true" t="shared" si="10" ref="AN14:AN25">AM14*0.18</f>
        <v>300.26711573999995</v>
      </c>
      <c r="AO14" s="23"/>
      <c r="AP14" s="23">
        <f aca="true" t="shared" si="11" ref="AP14:AR25">AO14*0.18</f>
        <v>0</v>
      </c>
      <c r="AQ14" s="194"/>
      <c r="AR14" s="194">
        <f>AQ14*0.18</f>
        <v>0</v>
      </c>
      <c r="AS14" s="86">
        <v>5090</v>
      </c>
      <c r="AT14" s="209"/>
      <c r="AU14" s="86">
        <f>(AS14+AT14)*0.18+0.01</f>
        <v>916.2099999999999</v>
      </c>
      <c r="AV14" s="195">
        <v>508</v>
      </c>
      <c r="AW14" s="196">
        <v>0.45</v>
      </c>
      <c r="AX14" s="23">
        <v>0</v>
      </c>
      <c r="AY14" s="197"/>
      <c r="AZ14" s="198"/>
      <c r="BA14" s="198">
        <f>AZ14*0.18</f>
        <v>0</v>
      </c>
      <c r="BB14" s="198">
        <f>SUM(AG14:AU14)+AX14</f>
        <v>10426.425313189999</v>
      </c>
      <c r="BC14" s="199">
        <f>'[2]Т01-09'!$O$19</f>
        <v>2651.5076813400005</v>
      </c>
      <c r="BD14" s="173">
        <f>BB14-(AF14-BC14)</f>
        <v>5702.48813453</v>
      </c>
      <c r="BE14" s="155">
        <f aca="true" t="shared" si="12" ref="BE14:BE19">(AC14-BB14)+(AF14-BC14)</f>
        <v>1315.5487404699998</v>
      </c>
      <c r="BF14" s="155">
        <f>AB14-S14</f>
        <v>-1658.21</v>
      </c>
    </row>
    <row r="15" spans="1:58" ht="12.75">
      <c r="A15" s="13" t="s">
        <v>44</v>
      </c>
      <c r="B15" s="95">
        <v>1005.5</v>
      </c>
      <c r="C15" s="203">
        <f t="shared" si="1"/>
        <v>8697.575</v>
      </c>
      <c r="D15" s="204">
        <f>C15*0.125</f>
        <v>1087.196875</v>
      </c>
      <c r="E15" s="81">
        <v>669.84</v>
      </c>
      <c r="F15" s="81">
        <v>193.18</v>
      </c>
      <c r="G15" s="81">
        <v>904.29</v>
      </c>
      <c r="H15" s="81">
        <v>260.8</v>
      </c>
      <c r="I15" s="81">
        <v>2176.99</v>
      </c>
      <c r="J15" s="81">
        <v>627.84</v>
      </c>
      <c r="K15" s="81">
        <v>1507.15</v>
      </c>
      <c r="L15" s="81">
        <v>434.66</v>
      </c>
      <c r="M15" s="78">
        <v>535.89</v>
      </c>
      <c r="N15" s="82">
        <v>154.55</v>
      </c>
      <c r="O15" s="88">
        <v>0</v>
      </c>
      <c r="P15" s="88">
        <v>0</v>
      </c>
      <c r="Q15" s="88">
        <v>0</v>
      </c>
      <c r="R15" s="88">
        <v>0</v>
      </c>
      <c r="S15" s="81">
        <f t="shared" si="2"/>
        <v>5794.160000000001</v>
      </c>
      <c r="T15" s="191">
        <f t="shared" si="3"/>
        <v>1671.0300000000002</v>
      </c>
      <c r="U15" s="81">
        <v>896.98</v>
      </c>
      <c r="V15" s="81">
        <v>1210.92</v>
      </c>
      <c r="W15" s="81">
        <v>2915.17</v>
      </c>
      <c r="X15" s="81">
        <v>2018.22</v>
      </c>
      <c r="Y15" s="81">
        <v>717.58</v>
      </c>
      <c r="Z15" s="81">
        <v>0</v>
      </c>
      <c r="AA15" s="88">
        <v>0</v>
      </c>
      <c r="AB15" s="207">
        <f t="shared" si="4"/>
        <v>7758.87</v>
      </c>
      <c r="AC15" s="192">
        <f t="shared" si="5"/>
        <v>10517.096875</v>
      </c>
      <c r="AD15" s="193">
        <f t="shared" si="6"/>
        <v>0</v>
      </c>
      <c r="AE15" s="193">
        <f t="shared" si="7"/>
        <v>0</v>
      </c>
      <c r="AF15" s="193">
        <f>'[1]Т02-09'!$I$19</f>
        <v>7375.44486</v>
      </c>
      <c r="AG15" s="23">
        <f>0.6*B15*0.9</f>
        <v>542.97</v>
      </c>
      <c r="AH15" s="23">
        <f>B15*0.2*0.9153</f>
        <v>184.06683</v>
      </c>
      <c r="AI15" s="23">
        <f>0.85*B15*0.867</f>
        <v>741.0032249999999</v>
      </c>
      <c r="AJ15" s="23">
        <f t="shared" si="8"/>
        <v>133.38058049999998</v>
      </c>
      <c r="AK15" s="23">
        <f>0.83*B15*0.8684</f>
        <v>724.7362459999999</v>
      </c>
      <c r="AL15" s="23">
        <f t="shared" si="9"/>
        <v>130.45252427999998</v>
      </c>
      <c r="AM15" s="23">
        <f>(1.91)*B15*0.8684</f>
        <v>1667.7665419999998</v>
      </c>
      <c r="AN15" s="23">
        <f t="shared" si="10"/>
        <v>300.19797755999997</v>
      </c>
      <c r="AO15" s="23"/>
      <c r="AP15" s="23">
        <f t="shared" si="11"/>
        <v>0</v>
      </c>
      <c r="AQ15" s="194"/>
      <c r="AR15" s="194">
        <f>AQ15*0.18</f>
        <v>0</v>
      </c>
      <c r="AS15" s="86">
        <v>1798</v>
      </c>
      <c r="AT15" s="209">
        <f>756*2</f>
        <v>1512</v>
      </c>
      <c r="AU15" s="86">
        <f aca="true" t="shared" si="13" ref="AU15:AU22">(AS15+AT15)*0.18</f>
        <v>595.8</v>
      </c>
      <c r="AV15" s="195">
        <v>407</v>
      </c>
      <c r="AW15" s="196">
        <v>0.45</v>
      </c>
      <c r="AX15" s="23">
        <v>0</v>
      </c>
      <c r="AY15" s="197"/>
      <c r="AZ15" s="198"/>
      <c r="BA15" s="198">
        <f>AZ15*0.18</f>
        <v>0</v>
      </c>
      <c r="BB15" s="198">
        <f aca="true" t="shared" si="14" ref="BB15:BB25">SUM(AG15:AU15)+AX15</f>
        <v>8330.37392534</v>
      </c>
      <c r="BC15" s="210">
        <f>'[2]Т02-09'!$O$19</f>
        <v>2655.49350304</v>
      </c>
      <c r="BD15" s="173">
        <f>BB15-(AF15-BC15)</f>
        <v>3610.4225683800005</v>
      </c>
      <c r="BE15" s="155">
        <f t="shared" si="12"/>
        <v>6906.674306619999</v>
      </c>
      <c r="BF15" s="155">
        <f>AB15-S15</f>
        <v>1964.7099999999991</v>
      </c>
    </row>
    <row r="16" spans="1:58" ht="13.5" thickBot="1">
      <c r="A16" s="174" t="s">
        <v>45</v>
      </c>
      <c r="B16" s="211">
        <v>1005.5</v>
      </c>
      <c r="C16" s="203">
        <f t="shared" si="1"/>
        <v>8697.575</v>
      </c>
      <c r="D16" s="204">
        <f>C16*0.125</f>
        <v>1087.196875</v>
      </c>
      <c r="E16" s="81">
        <v>675.08</v>
      </c>
      <c r="F16" s="81">
        <v>187.63</v>
      </c>
      <c r="G16" s="81">
        <v>911.39</v>
      </c>
      <c r="H16" s="81">
        <v>253.3</v>
      </c>
      <c r="I16" s="81">
        <v>2194.05</v>
      </c>
      <c r="J16" s="81">
        <v>609.79</v>
      </c>
      <c r="K16" s="81">
        <v>1518.96</v>
      </c>
      <c r="L16" s="81">
        <v>422.16</v>
      </c>
      <c r="M16" s="78">
        <v>540.08</v>
      </c>
      <c r="N16" s="82">
        <v>150.1</v>
      </c>
      <c r="O16" s="88">
        <v>0</v>
      </c>
      <c r="P16" s="88">
        <v>0</v>
      </c>
      <c r="Q16" s="88">
        <v>0</v>
      </c>
      <c r="R16" s="88">
        <v>0</v>
      </c>
      <c r="S16" s="81">
        <f t="shared" si="2"/>
        <v>5839.56</v>
      </c>
      <c r="T16" s="191">
        <f t="shared" si="3"/>
        <v>1622.98</v>
      </c>
      <c r="U16" s="83">
        <v>614.88</v>
      </c>
      <c r="V16" s="83">
        <v>830.08</v>
      </c>
      <c r="W16" s="83">
        <v>1998.33</v>
      </c>
      <c r="X16" s="83">
        <v>1383.45</v>
      </c>
      <c r="Y16" s="83">
        <v>491.94</v>
      </c>
      <c r="Z16" s="83">
        <v>0</v>
      </c>
      <c r="AA16" s="202">
        <v>0</v>
      </c>
      <c r="AB16" s="208">
        <f t="shared" si="4"/>
        <v>5318.679999999999</v>
      </c>
      <c r="AC16" s="192">
        <f t="shared" si="5"/>
        <v>8028.8568749999995</v>
      </c>
      <c r="AD16" s="193">
        <f t="shared" si="6"/>
        <v>0</v>
      </c>
      <c r="AE16" s="193">
        <f t="shared" si="7"/>
        <v>0</v>
      </c>
      <c r="AF16" s="193">
        <f>'[1]Т02-09'!$I$19</f>
        <v>7375.44486</v>
      </c>
      <c r="AG16" s="23">
        <f>0.6*B16*0.9</f>
        <v>542.97</v>
      </c>
      <c r="AH16" s="212">
        <f>B16*0.2*0.9082</f>
        <v>182.63902000000002</v>
      </c>
      <c r="AI16" s="23">
        <f>0.85*B16*0.8675</f>
        <v>741.4305625</v>
      </c>
      <c r="AJ16" s="23">
        <f t="shared" si="8"/>
        <v>133.45750124999998</v>
      </c>
      <c r="AK16" s="212">
        <f>0.83*B16*0.838</f>
        <v>699.36547</v>
      </c>
      <c r="AL16" s="23">
        <f t="shared" si="9"/>
        <v>125.8857846</v>
      </c>
      <c r="AM16" s="23">
        <f>1.91*B16*0.8381</f>
        <v>1609.5752404999998</v>
      </c>
      <c r="AN16" s="23">
        <f t="shared" si="10"/>
        <v>289.72354328999995</v>
      </c>
      <c r="AO16" s="23"/>
      <c r="AP16" s="23">
        <f t="shared" si="11"/>
        <v>0</v>
      </c>
      <c r="AQ16" s="194"/>
      <c r="AR16" s="194">
        <f>AQ16*0.18</f>
        <v>0</v>
      </c>
      <c r="AS16" s="86">
        <v>5127</v>
      </c>
      <c r="AT16" s="209"/>
      <c r="AU16" s="86">
        <f t="shared" si="13"/>
        <v>922.86</v>
      </c>
      <c r="AV16" s="195">
        <v>383</v>
      </c>
      <c r="AW16" s="196">
        <v>0.45</v>
      </c>
      <c r="AX16" s="23">
        <v>0</v>
      </c>
      <c r="AY16" s="197"/>
      <c r="AZ16" s="198"/>
      <c r="BA16" s="198">
        <f>AZ16*0.18</f>
        <v>0</v>
      </c>
      <c r="BB16" s="198">
        <f t="shared" si="14"/>
        <v>10374.90712214</v>
      </c>
      <c r="BC16" s="210">
        <f>'[2]Т03-09'!$O$19</f>
        <v>2599.7958315700002</v>
      </c>
      <c r="BD16" s="175">
        <f>BB16-(AF16-BC16)</f>
        <v>5599.258093710001</v>
      </c>
      <c r="BE16" s="155">
        <f t="shared" si="12"/>
        <v>2429.5987812899984</v>
      </c>
      <c r="BF16" s="155">
        <f>AB16-S16</f>
        <v>-520.880000000001</v>
      </c>
    </row>
    <row r="17" spans="1:58" ht="12.75">
      <c r="A17" s="177" t="s">
        <v>46</v>
      </c>
      <c r="B17" s="213">
        <v>1005.5</v>
      </c>
      <c r="C17" s="203">
        <f t="shared" si="1"/>
        <v>8697.575</v>
      </c>
      <c r="D17" s="204">
        <f>C17*0.125</f>
        <v>1087.196875</v>
      </c>
      <c r="E17" s="83">
        <v>699.3</v>
      </c>
      <c r="F17" s="83">
        <v>165.55</v>
      </c>
      <c r="G17" s="83">
        <v>944.08</v>
      </c>
      <c r="H17" s="83">
        <v>223.49</v>
      </c>
      <c r="I17" s="83">
        <v>2272.75</v>
      </c>
      <c r="J17" s="83">
        <v>538.03</v>
      </c>
      <c r="K17" s="83">
        <v>1573.45</v>
      </c>
      <c r="L17" s="83">
        <v>372.48</v>
      </c>
      <c r="M17" s="84">
        <v>559.45</v>
      </c>
      <c r="N17" s="85">
        <v>132.44</v>
      </c>
      <c r="O17" s="202">
        <v>0</v>
      </c>
      <c r="P17" s="202">
        <v>0</v>
      </c>
      <c r="Q17" s="202">
        <v>0</v>
      </c>
      <c r="R17" s="202">
        <v>0</v>
      </c>
      <c r="S17" s="81">
        <f t="shared" si="2"/>
        <v>6049.03</v>
      </c>
      <c r="T17" s="191">
        <f t="shared" si="3"/>
        <v>1431.99</v>
      </c>
      <c r="U17" s="81">
        <v>727.67</v>
      </c>
      <c r="V17" s="81">
        <v>982.38</v>
      </c>
      <c r="W17" s="81">
        <v>2364.94</v>
      </c>
      <c r="X17" s="81">
        <v>1637.3</v>
      </c>
      <c r="Y17" s="81">
        <v>582.13</v>
      </c>
      <c r="Z17" s="81">
        <v>0</v>
      </c>
      <c r="AA17" s="81">
        <v>0</v>
      </c>
      <c r="AB17" s="208">
        <f t="shared" si="4"/>
        <v>6294.42</v>
      </c>
      <c r="AC17" s="192">
        <f t="shared" si="5"/>
        <v>8813.606875000001</v>
      </c>
      <c r="AD17" s="193">
        <f t="shared" si="6"/>
        <v>0</v>
      </c>
      <c r="AE17" s="193">
        <f t="shared" si="7"/>
        <v>0</v>
      </c>
      <c r="AF17" s="193">
        <f>'[2]Т04-09'!$I$19</f>
        <v>6236.63866</v>
      </c>
      <c r="AG17" s="23">
        <f>0.6*B17*0.9</f>
        <v>542.97</v>
      </c>
      <c r="AH17" s="212">
        <f>B17*0.2*0.9234</f>
        <v>185.69574000000003</v>
      </c>
      <c r="AI17" s="23">
        <f>0.85*B17*0.8934</f>
        <v>763.5666449999999</v>
      </c>
      <c r="AJ17" s="23">
        <f t="shared" si="8"/>
        <v>137.44199609999998</v>
      </c>
      <c r="AK17" s="23">
        <f>0.83*B17*0.8498</f>
        <v>709.2133369999999</v>
      </c>
      <c r="AL17" s="23">
        <f t="shared" si="9"/>
        <v>127.65840065999998</v>
      </c>
      <c r="AM17" s="23">
        <f>(1.91)*B17*0.8498</f>
        <v>1632.0451489999998</v>
      </c>
      <c r="AN17" s="23">
        <f t="shared" si="10"/>
        <v>293.76812681999996</v>
      </c>
      <c r="AO17" s="23"/>
      <c r="AP17" s="23">
        <f t="shared" si="11"/>
        <v>0</v>
      </c>
      <c r="AQ17" s="194"/>
      <c r="AR17" s="194">
        <f t="shared" si="11"/>
        <v>0</v>
      </c>
      <c r="AS17" s="86">
        <v>310</v>
      </c>
      <c r="AT17" s="86"/>
      <c r="AU17" s="86">
        <f t="shared" si="13"/>
        <v>55.8</v>
      </c>
      <c r="AV17" s="195">
        <v>307</v>
      </c>
      <c r="AW17" s="196">
        <v>0.45</v>
      </c>
      <c r="AX17" s="23">
        <v>954.53</v>
      </c>
      <c r="AY17" s="197"/>
      <c r="AZ17" s="198"/>
      <c r="BA17" s="198">
        <f>AZ17*0.18</f>
        <v>0</v>
      </c>
      <c r="BB17" s="198">
        <f t="shared" si="14"/>
        <v>5712.68939458</v>
      </c>
      <c r="BC17" s="210">
        <f>'[2]Т04-09'!$O$19</f>
        <v>2673.96895892</v>
      </c>
      <c r="BD17" s="178">
        <f>(AC17-BA17)+(AF17-BB17)</f>
        <v>9337.556140420002</v>
      </c>
      <c r="BE17" s="155">
        <f t="shared" si="12"/>
        <v>6663.587181500001</v>
      </c>
      <c r="BF17" s="155">
        <f>AB17-S17</f>
        <v>245.39000000000033</v>
      </c>
    </row>
    <row r="18" spans="1:58" ht="12.75">
      <c r="A18" s="13" t="s">
        <v>47</v>
      </c>
      <c r="B18" s="211">
        <v>1005.5</v>
      </c>
      <c r="C18" s="203">
        <f t="shared" si="1"/>
        <v>8697.575</v>
      </c>
      <c r="D18" s="190">
        <f aca="true" t="shared" si="15" ref="D18:D25">C18-E18-F18-G18-H18-I18-J18-K18-L18-M18-N18</f>
        <v>593.5150000000008</v>
      </c>
      <c r="E18" s="83">
        <v>751.64</v>
      </c>
      <c r="F18" s="83">
        <v>184.03</v>
      </c>
      <c r="G18" s="83">
        <v>1017.22</v>
      </c>
      <c r="H18" s="83">
        <v>249.44</v>
      </c>
      <c r="I18" s="83">
        <v>2445.35</v>
      </c>
      <c r="J18" s="83">
        <v>599.09</v>
      </c>
      <c r="K18" s="83">
        <v>1693.7</v>
      </c>
      <c r="L18" s="83">
        <v>415.07</v>
      </c>
      <c r="M18" s="84">
        <v>601.3</v>
      </c>
      <c r="N18" s="84">
        <v>147.22</v>
      </c>
      <c r="O18" s="202">
        <v>0</v>
      </c>
      <c r="P18" s="202">
        <v>0</v>
      </c>
      <c r="Q18" s="202">
        <v>0</v>
      </c>
      <c r="R18" s="202">
        <v>0</v>
      </c>
      <c r="S18" s="81">
        <f t="shared" si="2"/>
        <v>6509.21</v>
      </c>
      <c r="T18" s="191">
        <f t="shared" si="3"/>
        <v>1594.8500000000001</v>
      </c>
      <c r="U18" s="83">
        <v>529.74</v>
      </c>
      <c r="V18" s="83">
        <v>715.18</v>
      </c>
      <c r="W18" s="83">
        <v>1721.71</v>
      </c>
      <c r="X18" s="83">
        <v>1191.93</v>
      </c>
      <c r="Y18" s="83">
        <v>423.79</v>
      </c>
      <c r="Z18" s="83">
        <v>0</v>
      </c>
      <c r="AA18" s="202">
        <v>0</v>
      </c>
      <c r="AB18" s="208">
        <f t="shared" si="4"/>
        <v>4582.35</v>
      </c>
      <c r="AC18" s="192">
        <f t="shared" si="5"/>
        <v>6770.715000000001</v>
      </c>
      <c r="AD18" s="193">
        <f t="shared" si="6"/>
        <v>0</v>
      </c>
      <c r="AE18" s="193">
        <f t="shared" si="7"/>
        <v>0</v>
      </c>
      <c r="AF18" s="193">
        <f>'[2]Т04-09'!$I$19</f>
        <v>6236.63866</v>
      </c>
      <c r="AG18" s="23">
        <f aca="true" t="shared" si="16" ref="AG18:AG25">0.6*B18</f>
        <v>603.3</v>
      </c>
      <c r="AH18" s="23">
        <f>B18*0.2*1.01</f>
        <v>203.11100000000002</v>
      </c>
      <c r="AI18" s="23">
        <f>0.85*B18</f>
        <v>854.675</v>
      </c>
      <c r="AJ18" s="23">
        <f t="shared" si="8"/>
        <v>153.8415</v>
      </c>
      <c r="AK18" s="23">
        <f>0.83*B18</f>
        <v>834.5649999999999</v>
      </c>
      <c r="AL18" s="23">
        <f t="shared" si="9"/>
        <v>150.22169999999997</v>
      </c>
      <c r="AM18" s="23">
        <f>(1.91)*B18</f>
        <v>1920.5049999999999</v>
      </c>
      <c r="AN18" s="23">
        <f t="shared" si="10"/>
        <v>345.69089999999994</v>
      </c>
      <c r="AO18" s="23"/>
      <c r="AP18" s="23">
        <f t="shared" si="11"/>
        <v>0</v>
      </c>
      <c r="AQ18" s="194">
        <v>1059.32</v>
      </c>
      <c r="AR18" s="194">
        <f t="shared" si="11"/>
        <v>190.67759999999998</v>
      </c>
      <c r="AS18" s="209">
        <f>132.34</f>
        <v>132.34</v>
      </c>
      <c r="AT18" s="209">
        <f>200</f>
        <v>200</v>
      </c>
      <c r="AU18" s="86">
        <f t="shared" si="13"/>
        <v>59.821200000000005</v>
      </c>
      <c r="AV18" s="195">
        <v>263</v>
      </c>
      <c r="AW18" s="196">
        <v>0.45</v>
      </c>
      <c r="AX18" s="23">
        <f aca="true" t="shared" si="17" ref="AX18:AX25">AV18*AW18*1.12*1.18</f>
        <v>156.41136000000003</v>
      </c>
      <c r="AY18" s="197"/>
      <c r="AZ18" s="198"/>
      <c r="BA18" s="198">
        <f aca="true" t="shared" si="18" ref="BA18:BA25">AZ18*0.18</f>
        <v>0</v>
      </c>
      <c r="BB18" s="198">
        <f t="shared" si="14"/>
        <v>6864.480259999999</v>
      </c>
      <c r="BC18" s="210">
        <f>'[2]Т05-09'!$O$19</f>
        <v>2984.9564236220003</v>
      </c>
      <c r="BD18" s="154">
        <f aca="true" t="shared" si="19" ref="BD18:BD25">BB18-(AF18-BC18)</f>
        <v>3612.798023622</v>
      </c>
      <c r="BE18" s="155">
        <f t="shared" si="12"/>
        <v>3157.916976378001</v>
      </c>
      <c r="BF18" s="155">
        <f>AB18-S18</f>
        <v>-1926.8599999999997</v>
      </c>
    </row>
    <row r="19" spans="1:58" ht="13.5" thickBot="1">
      <c r="A19" s="174" t="s">
        <v>48</v>
      </c>
      <c r="B19" s="211">
        <v>1005.5</v>
      </c>
      <c r="C19" s="203">
        <f t="shared" si="1"/>
        <v>8697.575</v>
      </c>
      <c r="D19" s="190">
        <f t="shared" si="15"/>
        <v>590.0550000000015</v>
      </c>
      <c r="E19" s="83">
        <v>753.87</v>
      </c>
      <c r="F19" s="83">
        <v>182.2</v>
      </c>
      <c r="G19" s="83">
        <v>1020.23</v>
      </c>
      <c r="H19" s="83">
        <v>246.96</v>
      </c>
      <c r="I19" s="83">
        <v>2452.6</v>
      </c>
      <c r="J19" s="83">
        <v>593.14</v>
      </c>
      <c r="K19" s="83">
        <v>1698.72</v>
      </c>
      <c r="L19" s="83">
        <v>410.95</v>
      </c>
      <c r="M19" s="84">
        <v>603.09</v>
      </c>
      <c r="N19" s="85">
        <v>145.76</v>
      </c>
      <c r="O19" s="202">
        <v>0</v>
      </c>
      <c r="P19" s="202">
        <v>0</v>
      </c>
      <c r="Q19" s="202">
        <v>0</v>
      </c>
      <c r="R19" s="202">
        <v>0</v>
      </c>
      <c r="S19" s="81">
        <f t="shared" si="2"/>
        <v>6528.51</v>
      </c>
      <c r="T19" s="191">
        <f t="shared" si="3"/>
        <v>1579.01</v>
      </c>
      <c r="U19" s="83">
        <v>644.63</v>
      </c>
      <c r="V19" s="83">
        <v>872.47</v>
      </c>
      <c r="W19" s="83">
        <v>2097.35</v>
      </c>
      <c r="X19" s="83">
        <v>1452.64</v>
      </c>
      <c r="Y19" s="83">
        <v>515.74</v>
      </c>
      <c r="Z19" s="83">
        <v>0</v>
      </c>
      <c r="AA19" s="202">
        <v>0</v>
      </c>
      <c r="AB19" s="208">
        <f t="shared" si="4"/>
        <v>5582.83</v>
      </c>
      <c r="AC19" s="192">
        <f t="shared" si="5"/>
        <v>7751.895000000001</v>
      </c>
      <c r="AD19" s="193">
        <f t="shared" si="6"/>
        <v>0</v>
      </c>
      <c r="AE19" s="193">
        <f t="shared" si="7"/>
        <v>0</v>
      </c>
      <c r="AF19" s="193">
        <f>'[2]Т06-09'!$I$19</f>
        <v>9653.05726</v>
      </c>
      <c r="AG19" s="23">
        <f t="shared" si="16"/>
        <v>603.3</v>
      </c>
      <c r="AH19" s="23">
        <f>B19*0.2*1.01045</f>
        <v>203.20149500000005</v>
      </c>
      <c r="AI19" s="23">
        <f>0.85*B19</f>
        <v>854.675</v>
      </c>
      <c r="AJ19" s="23">
        <f t="shared" si="8"/>
        <v>153.8415</v>
      </c>
      <c r="AK19" s="23">
        <f>0.83*B19</f>
        <v>834.5649999999999</v>
      </c>
      <c r="AL19" s="23">
        <f t="shared" si="9"/>
        <v>150.22169999999997</v>
      </c>
      <c r="AM19" s="23">
        <f>(1.91)*B19</f>
        <v>1920.5049999999999</v>
      </c>
      <c r="AN19" s="23">
        <f t="shared" si="10"/>
        <v>345.69089999999994</v>
      </c>
      <c r="AO19" s="23"/>
      <c r="AP19" s="23">
        <f t="shared" si="11"/>
        <v>0</v>
      </c>
      <c r="AQ19" s="194"/>
      <c r="AR19" s="194">
        <f t="shared" si="11"/>
        <v>0</v>
      </c>
      <c r="AS19" s="86"/>
      <c r="AT19" s="86"/>
      <c r="AU19" s="86">
        <f t="shared" si="13"/>
        <v>0</v>
      </c>
      <c r="AV19" s="195">
        <v>233</v>
      </c>
      <c r="AW19" s="196">
        <v>0.45</v>
      </c>
      <c r="AX19" s="23">
        <f t="shared" si="17"/>
        <v>138.56976</v>
      </c>
      <c r="AY19" s="197"/>
      <c r="AZ19" s="198"/>
      <c r="BA19" s="198">
        <f t="shared" si="18"/>
        <v>0</v>
      </c>
      <c r="BB19" s="198">
        <f t="shared" si="14"/>
        <v>5204.570355</v>
      </c>
      <c r="BC19" s="210">
        <f>'[2]Т06-09'!$O$19</f>
        <v>2825.83881398</v>
      </c>
      <c r="BD19" s="179">
        <f t="shared" si="19"/>
        <v>-1622.6480910199998</v>
      </c>
      <c r="BE19" s="155">
        <f t="shared" si="12"/>
        <v>9374.543091020001</v>
      </c>
      <c r="BF19" s="180">
        <f aca="true" t="shared" si="20" ref="BF19:BF24">AB19-S19</f>
        <v>-945.6800000000003</v>
      </c>
    </row>
    <row r="20" spans="1:58" ht="12.75">
      <c r="A20" s="177" t="s">
        <v>49</v>
      </c>
      <c r="B20" s="95">
        <v>1005.5</v>
      </c>
      <c r="C20" s="203">
        <f t="shared" si="1"/>
        <v>8697.575</v>
      </c>
      <c r="D20" s="190">
        <f t="shared" si="15"/>
        <v>590.0550000000015</v>
      </c>
      <c r="E20" s="83">
        <v>753.87</v>
      </c>
      <c r="F20" s="83">
        <v>182.2</v>
      </c>
      <c r="G20" s="83">
        <v>1020.23</v>
      </c>
      <c r="H20" s="83">
        <v>246.96</v>
      </c>
      <c r="I20" s="83">
        <v>2452.6</v>
      </c>
      <c r="J20" s="83">
        <v>593.14</v>
      </c>
      <c r="K20" s="83">
        <v>1698.72</v>
      </c>
      <c r="L20" s="83">
        <v>410.95</v>
      </c>
      <c r="M20" s="84">
        <v>603.09</v>
      </c>
      <c r="N20" s="85">
        <v>145.76</v>
      </c>
      <c r="O20" s="202">
        <v>0</v>
      </c>
      <c r="P20" s="202">
        <v>0</v>
      </c>
      <c r="Q20" s="202">
        <v>0</v>
      </c>
      <c r="R20" s="202">
        <v>0</v>
      </c>
      <c r="S20" s="81">
        <f t="shared" si="2"/>
        <v>6528.51</v>
      </c>
      <c r="T20" s="191">
        <f t="shared" si="3"/>
        <v>1579.01</v>
      </c>
      <c r="U20" s="83">
        <v>1084</v>
      </c>
      <c r="V20" s="83">
        <v>1465.96</v>
      </c>
      <c r="W20" s="83">
        <v>3525.54</v>
      </c>
      <c r="X20" s="83">
        <v>2441.52</v>
      </c>
      <c r="Y20" s="83">
        <v>867.2</v>
      </c>
      <c r="Z20" s="83">
        <v>0</v>
      </c>
      <c r="AA20" s="202">
        <v>0</v>
      </c>
      <c r="AB20" s="208">
        <f t="shared" si="4"/>
        <v>9384.220000000001</v>
      </c>
      <c r="AC20" s="192">
        <f t="shared" si="5"/>
        <v>11553.285000000003</v>
      </c>
      <c r="AD20" s="193">
        <f t="shared" si="6"/>
        <v>0</v>
      </c>
      <c r="AE20" s="193">
        <f t="shared" si="7"/>
        <v>0</v>
      </c>
      <c r="AF20" s="193">
        <f>'[1]Т07-09'!$I$20</f>
        <v>7375.44486</v>
      </c>
      <c r="AG20" s="23">
        <f t="shared" si="16"/>
        <v>603.3</v>
      </c>
      <c r="AH20" s="23">
        <f>B20*0.2*0.99426</f>
        <v>199.94568600000002</v>
      </c>
      <c r="AI20" s="23">
        <f>0.85*B20*0.9857</f>
        <v>842.4531475</v>
      </c>
      <c r="AJ20" s="23">
        <f t="shared" si="8"/>
        <v>151.64156655</v>
      </c>
      <c r="AK20" s="23">
        <f>0.83*B20*0.9905</f>
        <v>826.6366325</v>
      </c>
      <c r="AL20" s="23">
        <f t="shared" si="9"/>
        <v>148.79459384999998</v>
      </c>
      <c r="AM20" s="23">
        <f>(1.91)*B20*0.9905</f>
        <v>1902.2602024999999</v>
      </c>
      <c r="AN20" s="23">
        <f t="shared" si="10"/>
        <v>342.40683644999996</v>
      </c>
      <c r="AO20" s="23"/>
      <c r="AP20" s="23">
        <f t="shared" si="11"/>
        <v>0</v>
      </c>
      <c r="AQ20" s="194"/>
      <c r="AR20" s="194">
        <f t="shared" si="11"/>
        <v>0</v>
      </c>
      <c r="AS20" s="86">
        <v>545</v>
      </c>
      <c r="AT20" s="86"/>
      <c r="AU20" s="86">
        <f t="shared" si="13"/>
        <v>98.1</v>
      </c>
      <c r="AV20" s="195">
        <v>248</v>
      </c>
      <c r="AW20" s="196">
        <v>0.45</v>
      </c>
      <c r="AX20" s="23">
        <f t="shared" si="17"/>
        <v>147.49056000000002</v>
      </c>
      <c r="AY20" s="197"/>
      <c r="AZ20" s="198"/>
      <c r="BA20" s="198">
        <f t="shared" si="18"/>
        <v>0</v>
      </c>
      <c r="BB20" s="198">
        <f t="shared" si="14"/>
        <v>5808.02922535</v>
      </c>
      <c r="BC20" s="210">
        <f>'[2]Т07-09'!$O$20</f>
        <v>2947.1819640200006</v>
      </c>
      <c r="BD20" s="154">
        <f t="shared" si="19"/>
        <v>1379.7663293700016</v>
      </c>
      <c r="BE20" s="155">
        <f aca="true" t="shared" si="21" ref="BE20:BE25">(AC20-BB20)+(AF20-BC20)</f>
        <v>10173.518670630001</v>
      </c>
      <c r="BF20" s="156">
        <f t="shared" si="20"/>
        <v>2855.710000000001</v>
      </c>
    </row>
    <row r="21" spans="1:58" ht="12.75">
      <c r="A21" s="13" t="s">
        <v>50</v>
      </c>
      <c r="B21" s="95">
        <v>1005.5</v>
      </c>
      <c r="C21" s="203">
        <f t="shared" si="1"/>
        <v>8697.575</v>
      </c>
      <c r="D21" s="190">
        <f t="shared" si="15"/>
        <v>590.0550000000015</v>
      </c>
      <c r="E21" s="83">
        <v>753.87</v>
      </c>
      <c r="F21" s="83">
        <v>182.2</v>
      </c>
      <c r="G21" s="83">
        <v>1020.23</v>
      </c>
      <c r="H21" s="83">
        <v>246.96</v>
      </c>
      <c r="I21" s="83">
        <v>2452.6</v>
      </c>
      <c r="J21" s="83">
        <v>593.14</v>
      </c>
      <c r="K21" s="83">
        <v>1698.72</v>
      </c>
      <c r="L21" s="83">
        <v>410.95</v>
      </c>
      <c r="M21" s="84">
        <v>603.09</v>
      </c>
      <c r="N21" s="85">
        <v>145.76</v>
      </c>
      <c r="O21" s="202">
        <v>0</v>
      </c>
      <c r="P21" s="202">
        <v>0</v>
      </c>
      <c r="Q21" s="83">
        <v>0</v>
      </c>
      <c r="R21" s="83">
        <v>0</v>
      </c>
      <c r="S21" s="81">
        <f t="shared" si="2"/>
        <v>6528.51</v>
      </c>
      <c r="T21" s="191">
        <f t="shared" si="3"/>
        <v>1579.01</v>
      </c>
      <c r="U21" s="83">
        <v>501.72</v>
      </c>
      <c r="V21" s="83">
        <v>679.32</v>
      </c>
      <c r="W21" s="83">
        <v>1632.61</v>
      </c>
      <c r="X21" s="83">
        <v>1130.91</v>
      </c>
      <c r="Y21" s="83">
        <v>401.35</v>
      </c>
      <c r="Z21" s="83">
        <v>0</v>
      </c>
      <c r="AA21" s="202">
        <v>0</v>
      </c>
      <c r="AB21" s="208">
        <f t="shared" si="4"/>
        <v>4345.91</v>
      </c>
      <c r="AC21" s="192">
        <f t="shared" si="5"/>
        <v>6514.975000000001</v>
      </c>
      <c r="AD21" s="193">
        <f t="shared" si="6"/>
        <v>0</v>
      </c>
      <c r="AE21" s="193">
        <f t="shared" si="7"/>
        <v>0</v>
      </c>
      <c r="AF21" s="193">
        <f>'[1]Т07-09'!$I$20</f>
        <v>7375.44486</v>
      </c>
      <c r="AG21" s="23">
        <f t="shared" si="16"/>
        <v>603.3</v>
      </c>
      <c r="AH21" s="23">
        <f>B21*0.2*0.99875</f>
        <v>200.84862500000003</v>
      </c>
      <c r="AI21" s="23">
        <f>0.85*B21*0.98526</f>
        <v>842.0770904999999</v>
      </c>
      <c r="AJ21" s="23">
        <f t="shared" si="8"/>
        <v>151.57387629</v>
      </c>
      <c r="AK21" s="23">
        <f>0.83*B21*0.99</f>
        <v>826.21935</v>
      </c>
      <c r="AL21" s="23">
        <f t="shared" si="9"/>
        <v>148.719483</v>
      </c>
      <c r="AM21" s="23">
        <f>(1.91)*B21*0.99</f>
        <v>1901.2999499999999</v>
      </c>
      <c r="AN21" s="23">
        <f t="shared" si="10"/>
        <v>342.23399099999995</v>
      </c>
      <c r="AO21" s="23"/>
      <c r="AP21" s="23">
        <f t="shared" si="11"/>
        <v>0</v>
      </c>
      <c r="AQ21" s="194"/>
      <c r="AR21" s="194">
        <f t="shared" si="11"/>
        <v>0</v>
      </c>
      <c r="AS21" s="86"/>
      <c r="AT21" s="86"/>
      <c r="AU21" s="86">
        <f t="shared" si="13"/>
        <v>0</v>
      </c>
      <c r="AV21" s="195">
        <v>293</v>
      </c>
      <c r="AW21" s="196">
        <v>0.45</v>
      </c>
      <c r="AX21" s="23">
        <f t="shared" si="17"/>
        <v>174.25295999999997</v>
      </c>
      <c r="AY21" s="197"/>
      <c r="AZ21" s="198"/>
      <c r="BA21" s="198">
        <f t="shared" si="18"/>
        <v>0</v>
      </c>
      <c r="BB21" s="198">
        <f t="shared" si="14"/>
        <v>5190.525325789999</v>
      </c>
      <c r="BC21" s="210">
        <f>'[2]Т08-09'!$O$20</f>
        <v>2945.8428619060005</v>
      </c>
      <c r="BD21" s="154">
        <f t="shared" si="19"/>
        <v>760.9233276960003</v>
      </c>
      <c r="BE21" s="155">
        <f t="shared" si="21"/>
        <v>5754.051672304001</v>
      </c>
      <c r="BF21" s="156">
        <f t="shared" si="20"/>
        <v>-2182.6000000000004</v>
      </c>
    </row>
    <row r="22" spans="1:58" ht="13.5" thickBot="1">
      <c r="A22" s="174" t="s">
        <v>51</v>
      </c>
      <c r="B22" s="80">
        <v>1005.5</v>
      </c>
      <c r="C22" s="203">
        <f t="shared" si="1"/>
        <v>8697.575</v>
      </c>
      <c r="D22" s="190">
        <f t="shared" si="15"/>
        <v>594.1150000000009</v>
      </c>
      <c r="E22" s="81">
        <v>751.24</v>
      </c>
      <c r="F22" s="81">
        <v>184.35</v>
      </c>
      <c r="G22" s="81">
        <v>1016.7</v>
      </c>
      <c r="H22" s="81">
        <v>249.87</v>
      </c>
      <c r="I22" s="81">
        <v>2444.08</v>
      </c>
      <c r="J22" s="81">
        <v>600.13</v>
      </c>
      <c r="K22" s="81">
        <v>1692.83</v>
      </c>
      <c r="L22" s="81">
        <v>415.79</v>
      </c>
      <c r="M22" s="78">
        <v>600.99</v>
      </c>
      <c r="N22" s="82">
        <v>147.48</v>
      </c>
      <c r="O22" s="88">
        <v>0</v>
      </c>
      <c r="P22" s="88">
        <v>0</v>
      </c>
      <c r="Q22" s="88">
        <v>0</v>
      </c>
      <c r="R22" s="88">
        <v>0</v>
      </c>
      <c r="S22" s="81">
        <f t="shared" si="2"/>
        <v>6505.84</v>
      </c>
      <c r="T22" s="191">
        <f t="shared" si="3"/>
        <v>1597.62</v>
      </c>
      <c r="U22" s="81">
        <v>804.23</v>
      </c>
      <c r="V22" s="81">
        <v>1088.68</v>
      </c>
      <c r="W22" s="81">
        <v>2616.74</v>
      </c>
      <c r="X22" s="81">
        <v>1812.5</v>
      </c>
      <c r="Y22" s="81">
        <v>643.38</v>
      </c>
      <c r="Z22" s="81">
        <v>0</v>
      </c>
      <c r="AA22" s="88">
        <v>0</v>
      </c>
      <c r="AB22" s="208">
        <f t="shared" si="4"/>
        <v>6965.53</v>
      </c>
      <c r="AC22" s="192">
        <f t="shared" si="5"/>
        <v>9157.265</v>
      </c>
      <c r="AD22" s="193">
        <f t="shared" si="6"/>
        <v>0</v>
      </c>
      <c r="AE22" s="193">
        <f t="shared" si="7"/>
        <v>0</v>
      </c>
      <c r="AF22" s="193">
        <f>'[1]Т07-09'!$I$20</f>
        <v>7375.44486</v>
      </c>
      <c r="AG22" s="23">
        <f t="shared" si="16"/>
        <v>603.3</v>
      </c>
      <c r="AH22" s="23">
        <f>B22*0.2*0.9997</f>
        <v>201.03967000000003</v>
      </c>
      <c r="AI22" s="23">
        <f>0.85*B22*0.98509</f>
        <v>841.93179575</v>
      </c>
      <c r="AJ22" s="23">
        <f t="shared" si="8"/>
        <v>151.547723235</v>
      </c>
      <c r="AK22" s="23">
        <f>0.83*B22*0.98981</f>
        <v>826.06078265</v>
      </c>
      <c r="AL22" s="23">
        <f t="shared" si="9"/>
        <v>148.69094087699997</v>
      </c>
      <c r="AM22" s="23">
        <f>(1.91)*B22*0.9898</f>
        <v>1900.915849</v>
      </c>
      <c r="AN22" s="23">
        <f t="shared" si="10"/>
        <v>342.16485281999996</v>
      </c>
      <c r="AO22" s="23"/>
      <c r="AP22" s="23">
        <f t="shared" si="11"/>
        <v>0</v>
      </c>
      <c r="AQ22" s="194"/>
      <c r="AR22" s="194">
        <f t="shared" si="11"/>
        <v>0</v>
      </c>
      <c r="AS22" s="86"/>
      <c r="AT22" s="86"/>
      <c r="AU22" s="86">
        <f t="shared" si="13"/>
        <v>0</v>
      </c>
      <c r="AV22" s="195">
        <v>349</v>
      </c>
      <c r="AW22" s="196">
        <v>0.45</v>
      </c>
      <c r="AX22" s="23">
        <f t="shared" si="17"/>
        <v>207.55728000000005</v>
      </c>
      <c r="AY22" s="197"/>
      <c r="AZ22" s="198"/>
      <c r="BA22" s="198">
        <f t="shared" si="18"/>
        <v>0</v>
      </c>
      <c r="BB22" s="198">
        <f t="shared" si="14"/>
        <v>5223.208894332</v>
      </c>
      <c r="BC22" s="210">
        <f>'[2]Т09-09'!$O$20</f>
        <v>2945.3973207274003</v>
      </c>
      <c r="BD22" s="179">
        <f t="shared" si="19"/>
        <v>793.1613550594011</v>
      </c>
      <c r="BE22" s="176">
        <f t="shared" si="21"/>
        <v>8364.103644940598</v>
      </c>
      <c r="BF22" s="180">
        <f t="shared" si="20"/>
        <v>459.6899999999996</v>
      </c>
    </row>
    <row r="23" spans="1:58" ht="12.75">
      <c r="A23" s="181" t="s">
        <v>39</v>
      </c>
      <c r="B23" s="80">
        <v>1005.5</v>
      </c>
      <c r="C23" s="189">
        <f t="shared" si="1"/>
        <v>8697.575</v>
      </c>
      <c r="D23" s="190">
        <f t="shared" si="15"/>
        <v>594.1150000000009</v>
      </c>
      <c r="E23" s="87">
        <v>751.24</v>
      </c>
      <c r="F23" s="81">
        <v>184.35</v>
      </c>
      <c r="G23" s="81">
        <v>1016.7</v>
      </c>
      <c r="H23" s="81">
        <v>249.87</v>
      </c>
      <c r="I23" s="81">
        <v>2444.08</v>
      </c>
      <c r="J23" s="81">
        <v>600.13</v>
      </c>
      <c r="K23" s="81">
        <v>1692.83</v>
      </c>
      <c r="L23" s="81">
        <v>415.79</v>
      </c>
      <c r="M23" s="81">
        <v>600.99</v>
      </c>
      <c r="N23" s="88">
        <v>147.48</v>
      </c>
      <c r="O23" s="88">
        <v>0</v>
      </c>
      <c r="P23" s="88">
        <v>0</v>
      </c>
      <c r="Q23" s="81">
        <v>0</v>
      </c>
      <c r="R23" s="81">
        <v>0</v>
      </c>
      <c r="S23" s="81">
        <f t="shared" si="2"/>
        <v>6505.84</v>
      </c>
      <c r="T23" s="191">
        <f t="shared" si="3"/>
        <v>1597.62</v>
      </c>
      <c r="U23" s="89">
        <v>817.9</v>
      </c>
      <c r="V23" s="81">
        <v>1106.51</v>
      </c>
      <c r="W23" s="81">
        <v>2660.49</v>
      </c>
      <c r="X23" s="81">
        <v>1842.58</v>
      </c>
      <c r="Y23" s="81">
        <v>654.31</v>
      </c>
      <c r="Z23" s="88">
        <v>0</v>
      </c>
      <c r="AA23" s="88">
        <v>0</v>
      </c>
      <c r="AB23" s="88">
        <f>SUM(U23:AA23)</f>
        <v>7081.789999999999</v>
      </c>
      <c r="AC23" s="192">
        <f>AB23+T23+D23</f>
        <v>9273.525000000001</v>
      </c>
      <c r="AD23" s="193">
        <f t="shared" si="6"/>
        <v>0</v>
      </c>
      <c r="AE23" s="193">
        <f t="shared" si="7"/>
        <v>0</v>
      </c>
      <c r="AF23" s="193">
        <f>'[3]Т10'!$I$20</f>
        <v>7375.44486</v>
      </c>
      <c r="AG23" s="23">
        <f t="shared" si="16"/>
        <v>603.3</v>
      </c>
      <c r="AH23" s="23">
        <f>B23*0.2</f>
        <v>201.10000000000002</v>
      </c>
      <c r="AI23" s="23">
        <f>0.847*B23</f>
        <v>851.6585</v>
      </c>
      <c r="AJ23" s="23">
        <f t="shared" si="8"/>
        <v>153.29853</v>
      </c>
      <c r="AK23" s="23">
        <f>0.83*B23</f>
        <v>834.5649999999999</v>
      </c>
      <c r="AL23" s="23">
        <f t="shared" si="9"/>
        <v>150.22169999999997</v>
      </c>
      <c r="AM23" s="23">
        <f>(2.25/1.18)*B23</f>
        <v>1917.2669491525423</v>
      </c>
      <c r="AN23" s="23">
        <f t="shared" si="10"/>
        <v>345.1080508474576</v>
      </c>
      <c r="AO23" s="23"/>
      <c r="AP23" s="23">
        <f t="shared" si="11"/>
        <v>0</v>
      </c>
      <c r="AQ23" s="194"/>
      <c r="AR23" s="194">
        <f t="shared" si="11"/>
        <v>0</v>
      </c>
      <c r="AS23" s="86">
        <v>0</v>
      </c>
      <c r="AT23" s="86">
        <v>350</v>
      </c>
      <c r="AU23" s="86">
        <f>(AS23+AT23)*0.18</f>
        <v>63</v>
      </c>
      <c r="AV23" s="195">
        <v>425</v>
      </c>
      <c r="AW23" s="196">
        <v>0.45</v>
      </c>
      <c r="AX23" s="23">
        <f t="shared" si="17"/>
        <v>252.756</v>
      </c>
      <c r="AY23" s="197"/>
      <c r="AZ23" s="214"/>
      <c r="BA23" s="198">
        <f t="shared" si="18"/>
        <v>0</v>
      </c>
      <c r="BB23" s="198">
        <f t="shared" si="14"/>
        <v>5722.274730000001</v>
      </c>
      <c r="BC23" s="210">
        <f>'[4]Т10'!$O$20</f>
        <v>2968.4222420000006</v>
      </c>
      <c r="BD23" s="182">
        <f t="shared" si="19"/>
        <v>1315.252112000002</v>
      </c>
      <c r="BE23" s="155">
        <f>(AC23-BB23)+(AF23-BC23)</f>
        <v>7958.2728879999995</v>
      </c>
      <c r="BF23" s="155">
        <f t="shared" si="20"/>
        <v>575.9499999999989</v>
      </c>
    </row>
    <row r="24" spans="1:58" ht="12.75">
      <c r="A24" s="13" t="s">
        <v>40</v>
      </c>
      <c r="B24" s="95">
        <v>1005.5</v>
      </c>
      <c r="C24" s="189">
        <f t="shared" si="1"/>
        <v>8697.575</v>
      </c>
      <c r="D24" s="190">
        <f t="shared" si="15"/>
        <v>594.1150000000009</v>
      </c>
      <c r="E24" s="81">
        <v>751.24</v>
      </c>
      <c r="F24" s="81">
        <v>184.35</v>
      </c>
      <c r="G24" s="81">
        <v>1016.7</v>
      </c>
      <c r="H24" s="81">
        <v>249.87</v>
      </c>
      <c r="I24" s="81">
        <v>2444.08</v>
      </c>
      <c r="J24" s="81">
        <v>600.13</v>
      </c>
      <c r="K24" s="81">
        <v>1692.83</v>
      </c>
      <c r="L24" s="81">
        <v>415.79</v>
      </c>
      <c r="M24" s="78">
        <v>600.99</v>
      </c>
      <c r="N24" s="82">
        <v>147.48</v>
      </c>
      <c r="O24" s="88">
        <v>0</v>
      </c>
      <c r="P24" s="88">
        <v>0</v>
      </c>
      <c r="Q24" s="88">
        <v>0</v>
      </c>
      <c r="R24" s="88">
        <v>0</v>
      </c>
      <c r="S24" s="81">
        <f t="shared" si="2"/>
        <v>6505.84</v>
      </c>
      <c r="T24" s="191">
        <f t="shared" si="3"/>
        <v>1597.62</v>
      </c>
      <c r="U24" s="81">
        <v>944.75</v>
      </c>
      <c r="V24" s="81">
        <v>1278.25</v>
      </c>
      <c r="W24" s="81">
        <v>3073.32</v>
      </c>
      <c r="X24" s="81">
        <v>2128.56</v>
      </c>
      <c r="Y24" s="81">
        <v>755.8</v>
      </c>
      <c r="Z24" s="81">
        <v>0</v>
      </c>
      <c r="AA24" s="88">
        <v>0</v>
      </c>
      <c r="AB24" s="88">
        <f>SUM(U24:AA24)</f>
        <v>8180.679999999999</v>
      </c>
      <c r="AC24" s="192">
        <f>D24+T24+AB24</f>
        <v>10372.415</v>
      </c>
      <c r="AD24" s="193">
        <f t="shared" si="6"/>
        <v>0</v>
      </c>
      <c r="AE24" s="193">
        <f t="shared" si="7"/>
        <v>0</v>
      </c>
      <c r="AF24" s="193">
        <f>'[3]Т11'!$I$20</f>
        <v>7375.44486</v>
      </c>
      <c r="AG24" s="23">
        <f t="shared" si="16"/>
        <v>603.3</v>
      </c>
      <c r="AH24" s="23">
        <f>B24*0.2</f>
        <v>201.10000000000002</v>
      </c>
      <c r="AI24" s="23">
        <f>0.85*B24</f>
        <v>854.675</v>
      </c>
      <c r="AJ24" s="23">
        <f t="shared" si="8"/>
        <v>153.8415</v>
      </c>
      <c r="AK24" s="23">
        <f>0.83*B24</f>
        <v>834.5649999999999</v>
      </c>
      <c r="AL24" s="23">
        <f t="shared" si="9"/>
        <v>150.22169999999997</v>
      </c>
      <c r="AM24" s="23">
        <f>(1.91)*B24</f>
        <v>1920.5049999999999</v>
      </c>
      <c r="AN24" s="23">
        <f t="shared" si="10"/>
        <v>345.69089999999994</v>
      </c>
      <c r="AO24" s="23"/>
      <c r="AP24" s="23">
        <f t="shared" si="11"/>
        <v>0</v>
      </c>
      <c r="AQ24" s="194"/>
      <c r="AR24" s="194">
        <f t="shared" si="11"/>
        <v>0</v>
      </c>
      <c r="AS24" s="86">
        <v>1719</v>
      </c>
      <c r="AT24" s="209"/>
      <c r="AU24" s="86">
        <f>(AS24+AT24)*0.18</f>
        <v>309.42</v>
      </c>
      <c r="AV24" s="195">
        <v>470</v>
      </c>
      <c r="AW24" s="196">
        <v>0.45</v>
      </c>
      <c r="AX24" s="23">
        <f t="shared" si="17"/>
        <v>279.5184</v>
      </c>
      <c r="AY24" s="197"/>
      <c r="AZ24" s="198"/>
      <c r="BA24" s="198">
        <f t="shared" si="18"/>
        <v>0</v>
      </c>
      <c r="BB24" s="198">
        <f t="shared" si="14"/>
        <v>7371.8375</v>
      </c>
      <c r="BC24" s="199">
        <f>'[3]Т11'!$O$20</f>
        <v>2972.5907400000006</v>
      </c>
      <c r="BD24" s="172">
        <f t="shared" si="19"/>
        <v>2968.9833800000006</v>
      </c>
      <c r="BE24" s="155">
        <f t="shared" si="21"/>
        <v>7403.43162</v>
      </c>
      <c r="BF24" s="155">
        <f t="shared" si="20"/>
        <v>1674.8399999999992</v>
      </c>
    </row>
    <row r="25" spans="1:58" s="153" customFormat="1" ht="12.75">
      <c r="A25" s="152" t="s">
        <v>41</v>
      </c>
      <c r="B25" s="80">
        <v>1005.5</v>
      </c>
      <c r="C25" s="189">
        <f t="shared" si="1"/>
        <v>8697.575</v>
      </c>
      <c r="D25" s="190">
        <f t="shared" si="15"/>
        <v>594.1150000000009</v>
      </c>
      <c r="E25" s="81">
        <v>751.24</v>
      </c>
      <c r="F25" s="81">
        <v>184.35</v>
      </c>
      <c r="G25" s="81">
        <v>1016.7</v>
      </c>
      <c r="H25" s="81">
        <v>249.87</v>
      </c>
      <c r="I25" s="81">
        <v>2444.08</v>
      </c>
      <c r="J25" s="81">
        <v>600.13</v>
      </c>
      <c r="K25" s="81">
        <v>1692.83</v>
      </c>
      <c r="L25" s="81">
        <v>415.79</v>
      </c>
      <c r="M25" s="78">
        <v>600.99</v>
      </c>
      <c r="N25" s="82">
        <v>147.48</v>
      </c>
      <c r="O25" s="88">
        <v>0</v>
      </c>
      <c r="P25" s="88">
        <v>0</v>
      </c>
      <c r="Q25" s="88"/>
      <c r="R25" s="88"/>
      <c r="S25" s="81">
        <f t="shared" si="2"/>
        <v>6505.84</v>
      </c>
      <c r="T25" s="191">
        <f t="shared" si="3"/>
        <v>1597.62</v>
      </c>
      <c r="U25" s="81">
        <v>808.04</v>
      </c>
      <c r="V25" s="81">
        <v>1094.11</v>
      </c>
      <c r="W25" s="81">
        <v>2629.39</v>
      </c>
      <c r="X25" s="81">
        <v>1821.32</v>
      </c>
      <c r="Y25" s="81">
        <v>646.42</v>
      </c>
      <c r="Z25" s="81">
        <v>0</v>
      </c>
      <c r="AA25" s="88">
        <v>0</v>
      </c>
      <c r="AB25" s="88">
        <f>SUM(U25:AA25)</f>
        <v>6999.28</v>
      </c>
      <c r="AC25" s="192">
        <f>D25+T25+AB25</f>
        <v>9191.015</v>
      </c>
      <c r="AD25" s="193">
        <f t="shared" si="6"/>
        <v>0</v>
      </c>
      <c r="AE25" s="193">
        <f t="shared" si="7"/>
        <v>0</v>
      </c>
      <c r="AF25" s="193">
        <f>'[3]Т12'!$I$20</f>
        <v>7375.44486</v>
      </c>
      <c r="AG25" s="23">
        <f t="shared" si="16"/>
        <v>603.3</v>
      </c>
      <c r="AH25" s="23">
        <f>B25*0.2</f>
        <v>201.10000000000002</v>
      </c>
      <c r="AI25" s="23">
        <f>0.85*B25</f>
        <v>854.675</v>
      </c>
      <c r="AJ25" s="23">
        <f t="shared" si="8"/>
        <v>153.8415</v>
      </c>
      <c r="AK25" s="23">
        <f>0.83*B25</f>
        <v>834.5649999999999</v>
      </c>
      <c r="AL25" s="23">
        <f t="shared" si="9"/>
        <v>150.22169999999997</v>
      </c>
      <c r="AM25" s="23">
        <f>(1.91)*B25</f>
        <v>1920.5049999999999</v>
      </c>
      <c r="AN25" s="23">
        <f t="shared" si="10"/>
        <v>345.69089999999994</v>
      </c>
      <c r="AO25" s="23"/>
      <c r="AP25" s="23">
        <f t="shared" si="11"/>
        <v>0</v>
      </c>
      <c r="AQ25" s="194"/>
      <c r="AR25" s="194">
        <f t="shared" si="11"/>
        <v>0</v>
      </c>
      <c r="AS25" s="86">
        <v>13687</v>
      </c>
      <c r="AT25" s="209">
        <f>18418</f>
        <v>18418</v>
      </c>
      <c r="AU25" s="86">
        <f>(AS25+AT25)*0.18</f>
        <v>5778.9</v>
      </c>
      <c r="AV25" s="195">
        <v>514</v>
      </c>
      <c r="AW25" s="196">
        <v>0.45</v>
      </c>
      <c r="AX25" s="23">
        <f t="shared" si="17"/>
        <v>305.68608</v>
      </c>
      <c r="AY25" s="197"/>
      <c r="AZ25" s="198"/>
      <c r="BA25" s="198">
        <f t="shared" si="18"/>
        <v>0</v>
      </c>
      <c r="BB25" s="198">
        <f t="shared" si="14"/>
        <v>43253.485179999996</v>
      </c>
      <c r="BC25" s="199">
        <f>'[3]Т12'!$O$20</f>
        <v>2972.5907400000006</v>
      </c>
      <c r="BD25" s="79">
        <f t="shared" si="19"/>
        <v>38850.63106</v>
      </c>
      <c r="BE25" s="155">
        <f t="shared" si="21"/>
        <v>-29659.616059999997</v>
      </c>
      <c r="BF25" s="155">
        <f>AB25-S25</f>
        <v>493.4399999999996</v>
      </c>
    </row>
    <row r="26" spans="1:58" s="22" customFormat="1" ht="12.75">
      <c r="A26" s="17" t="s">
        <v>3</v>
      </c>
      <c r="B26" s="18"/>
      <c r="C26" s="18">
        <f>SUM(C14:C25)</f>
        <v>104370.89999999998</v>
      </c>
      <c r="D26" s="18">
        <f aca="true" t="shared" si="22" ref="D26:BF26">SUM(D14:D25)</f>
        <v>9088.927500000009</v>
      </c>
      <c r="E26" s="18">
        <f t="shared" si="22"/>
        <v>8775.26</v>
      </c>
      <c r="F26" s="18">
        <f t="shared" si="22"/>
        <v>2178.8999999999996</v>
      </c>
      <c r="G26" s="18">
        <f t="shared" si="22"/>
        <v>11866.810000000001</v>
      </c>
      <c r="H26" s="18">
        <f t="shared" si="22"/>
        <v>2949.48</v>
      </c>
      <c r="I26" s="18">
        <f t="shared" si="22"/>
        <v>28539.960000000006</v>
      </c>
      <c r="J26" s="18">
        <f t="shared" si="22"/>
        <v>7089.35</v>
      </c>
      <c r="K26" s="18">
        <f t="shared" si="22"/>
        <v>19764.619999999995</v>
      </c>
      <c r="L26" s="18">
        <f t="shared" si="22"/>
        <v>4910.53</v>
      </c>
      <c r="M26" s="18">
        <f t="shared" si="22"/>
        <v>7020.23</v>
      </c>
      <c r="N26" s="18">
        <f t="shared" si="22"/>
        <v>1743.1200000000001</v>
      </c>
      <c r="O26" s="18">
        <f t="shared" si="22"/>
        <v>0</v>
      </c>
      <c r="P26" s="18">
        <f t="shared" si="22"/>
        <v>0</v>
      </c>
      <c r="Q26" s="18">
        <f t="shared" si="22"/>
        <v>0</v>
      </c>
      <c r="R26" s="18">
        <f t="shared" si="22"/>
        <v>0</v>
      </c>
      <c r="S26" s="18">
        <f t="shared" si="22"/>
        <v>75966.87999999999</v>
      </c>
      <c r="T26" s="18">
        <f t="shared" si="22"/>
        <v>18871.379999999997</v>
      </c>
      <c r="U26" s="18">
        <f t="shared" si="22"/>
        <v>8895.68</v>
      </c>
      <c r="V26" s="18">
        <f t="shared" si="22"/>
        <v>12027.44</v>
      </c>
      <c r="W26" s="18">
        <f t="shared" si="22"/>
        <v>28929.18</v>
      </c>
      <c r="X26" s="18">
        <f t="shared" si="22"/>
        <v>20033.52</v>
      </c>
      <c r="Y26" s="18">
        <f t="shared" si="22"/>
        <v>7116.56</v>
      </c>
      <c r="Z26" s="18">
        <f t="shared" si="22"/>
        <v>0</v>
      </c>
      <c r="AA26" s="18">
        <f t="shared" si="22"/>
        <v>0</v>
      </c>
      <c r="AB26" s="18">
        <f t="shared" si="22"/>
        <v>77002.38</v>
      </c>
      <c r="AC26" s="18">
        <f t="shared" si="22"/>
        <v>104962.68750000001</v>
      </c>
      <c r="AD26" s="18">
        <f t="shared" si="22"/>
        <v>0</v>
      </c>
      <c r="AE26" s="18">
        <f t="shared" si="22"/>
        <v>0</v>
      </c>
      <c r="AF26" s="18">
        <f t="shared" si="22"/>
        <v>88505.33832000001</v>
      </c>
      <c r="AG26" s="18">
        <f t="shared" si="22"/>
        <v>6998.280000000002</v>
      </c>
      <c r="AH26" s="18">
        <f t="shared" si="22"/>
        <v>2343.028166</v>
      </c>
      <c r="AI26" s="18">
        <f t="shared" si="22"/>
        <v>9783.80419125</v>
      </c>
      <c r="AJ26" s="18">
        <f t="shared" si="22"/>
        <v>1761.0847544249998</v>
      </c>
      <c r="AK26" s="18">
        <f t="shared" si="22"/>
        <v>9509.876520650001</v>
      </c>
      <c r="AL26" s="18">
        <f t="shared" si="22"/>
        <v>1711.777773717</v>
      </c>
      <c r="AM26" s="18">
        <f t="shared" si="22"/>
        <v>21881.300525152543</v>
      </c>
      <c r="AN26" s="18">
        <f t="shared" si="22"/>
        <v>3938.6340945274574</v>
      </c>
      <c r="AO26" s="18">
        <f t="shared" si="22"/>
        <v>0</v>
      </c>
      <c r="AP26" s="18">
        <f t="shared" si="22"/>
        <v>0</v>
      </c>
      <c r="AQ26" s="183">
        <f t="shared" si="22"/>
        <v>1059.32</v>
      </c>
      <c r="AR26" s="183">
        <f t="shared" si="22"/>
        <v>190.67759999999998</v>
      </c>
      <c r="AS26" s="19">
        <f t="shared" si="22"/>
        <v>28408.34</v>
      </c>
      <c r="AT26" s="19">
        <f t="shared" si="22"/>
        <v>20480</v>
      </c>
      <c r="AU26" s="19">
        <f t="shared" si="22"/>
        <v>8799.911199999999</v>
      </c>
      <c r="AV26" s="18">
        <f t="shared" si="22"/>
        <v>4400</v>
      </c>
      <c r="AW26" s="18">
        <f t="shared" si="22"/>
        <v>5.400000000000001</v>
      </c>
      <c r="AX26" s="18">
        <f t="shared" si="22"/>
        <v>2616.7724000000003</v>
      </c>
      <c r="AY26" s="18">
        <f t="shared" si="22"/>
        <v>0</v>
      </c>
      <c r="AZ26" s="18">
        <f t="shared" si="22"/>
        <v>0</v>
      </c>
      <c r="BA26" s="18">
        <f t="shared" si="22"/>
        <v>0</v>
      </c>
      <c r="BB26" s="18">
        <f t="shared" si="22"/>
        <v>119482.80722572198</v>
      </c>
      <c r="BC26" s="18">
        <f t="shared" si="22"/>
        <v>34143.587081125406</v>
      </c>
      <c r="BD26" s="18">
        <f t="shared" si="22"/>
        <v>72308.59243376741</v>
      </c>
      <c r="BE26" s="18">
        <f t="shared" si="22"/>
        <v>39841.63151315259</v>
      </c>
      <c r="BF26" s="184">
        <f t="shared" si="22"/>
        <v>1035.4999999999964</v>
      </c>
    </row>
    <row r="27" spans="1:58" s="22" customFormat="1" ht="12.75">
      <c r="A27" s="17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141"/>
      <c r="AE27" s="14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74"/>
      <c r="AQ27" s="185"/>
      <c r="AR27" s="185"/>
      <c r="AS27" s="74"/>
      <c r="AT27" s="74"/>
      <c r="AU27" s="74"/>
      <c r="AV27" s="21"/>
      <c r="AW27" s="21"/>
      <c r="AX27" s="90"/>
      <c r="AY27" s="52"/>
      <c r="AZ27" s="52"/>
      <c r="BA27" s="52"/>
      <c r="BB27" s="52"/>
      <c r="BC27" s="52"/>
      <c r="BD27" s="52"/>
      <c r="BE27" s="52"/>
      <c r="BF27" s="186"/>
    </row>
    <row r="28" spans="1:58" s="22" customFormat="1" ht="13.5" thickBot="1">
      <c r="A28" s="25" t="s">
        <v>52</v>
      </c>
      <c r="B28" s="26"/>
      <c r="C28" s="26">
        <f>C12+C26</f>
        <v>130463.62499999999</v>
      </c>
      <c r="D28" s="26">
        <f aca="true" t="shared" si="23" ref="D28:BF28">D12+D26</f>
        <v>15369.53338325001</v>
      </c>
      <c r="E28" s="26">
        <f t="shared" si="23"/>
        <v>10920.28</v>
      </c>
      <c r="F28" s="26">
        <f t="shared" si="23"/>
        <v>2668.1099999999997</v>
      </c>
      <c r="G28" s="26">
        <f t="shared" si="23"/>
        <v>14762.7</v>
      </c>
      <c r="H28" s="26">
        <f t="shared" si="23"/>
        <v>3609.9</v>
      </c>
      <c r="I28" s="26">
        <f t="shared" si="23"/>
        <v>35511.37000000001</v>
      </c>
      <c r="J28" s="26">
        <f t="shared" si="23"/>
        <v>8679.26</v>
      </c>
      <c r="K28" s="26">
        <f t="shared" si="23"/>
        <v>24590.999999999996</v>
      </c>
      <c r="L28" s="26">
        <f t="shared" si="23"/>
        <v>6011.23</v>
      </c>
      <c r="M28" s="26">
        <f t="shared" si="23"/>
        <v>8736.3</v>
      </c>
      <c r="N28" s="26">
        <f t="shared" si="23"/>
        <v>2134.4700000000003</v>
      </c>
      <c r="O28" s="26">
        <f t="shared" si="23"/>
        <v>0</v>
      </c>
      <c r="P28" s="26">
        <f t="shared" si="23"/>
        <v>0</v>
      </c>
      <c r="Q28" s="26">
        <f t="shared" si="23"/>
        <v>0</v>
      </c>
      <c r="R28" s="26">
        <f t="shared" si="23"/>
        <v>0</v>
      </c>
      <c r="S28" s="26">
        <f t="shared" si="23"/>
        <v>94521.65</v>
      </c>
      <c r="T28" s="26">
        <f t="shared" si="23"/>
        <v>23102.969999999998</v>
      </c>
      <c r="U28" s="26">
        <f t="shared" si="23"/>
        <v>10216.810000000001</v>
      </c>
      <c r="V28" s="26">
        <f t="shared" si="23"/>
        <v>13811.060000000001</v>
      </c>
      <c r="W28" s="26">
        <f t="shared" si="23"/>
        <v>33223.09</v>
      </c>
      <c r="X28" s="26">
        <f t="shared" si="23"/>
        <v>23006.14</v>
      </c>
      <c r="Y28" s="26">
        <f t="shared" si="23"/>
        <v>8173.51</v>
      </c>
      <c r="Z28" s="26">
        <f t="shared" si="23"/>
        <v>0</v>
      </c>
      <c r="AA28" s="26">
        <f t="shared" si="23"/>
        <v>0</v>
      </c>
      <c r="AB28" s="26">
        <f t="shared" si="23"/>
        <v>88430.61</v>
      </c>
      <c r="AC28" s="26">
        <f t="shared" si="23"/>
        <v>126903.11338325002</v>
      </c>
      <c r="AD28" s="26">
        <f t="shared" si="23"/>
        <v>0</v>
      </c>
      <c r="AE28" s="26">
        <f t="shared" si="23"/>
        <v>0</v>
      </c>
      <c r="AF28" s="26">
        <f t="shared" si="23"/>
        <v>88505.33832000001</v>
      </c>
      <c r="AG28" s="26">
        <f t="shared" si="23"/>
        <v>8808.180000000002</v>
      </c>
      <c r="AH28" s="26">
        <f t="shared" si="23"/>
        <v>2964.125516</v>
      </c>
      <c r="AI28" s="26">
        <f t="shared" si="23"/>
        <v>12350.765251249999</v>
      </c>
      <c r="AJ28" s="26">
        <f>AJ12+AJ26</f>
        <v>2223.137745225</v>
      </c>
      <c r="AK28" s="26">
        <f t="shared" si="23"/>
        <v>12497.00707225</v>
      </c>
      <c r="AL28" s="26">
        <f t="shared" si="23"/>
        <v>2249.461273005</v>
      </c>
      <c r="AM28" s="26">
        <f t="shared" si="23"/>
        <v>27367.280672802543</v>
      </c>
      <c r="AN28" s="26">
        <f t="shared" si="23"/>
        <v>4926.110521104457</v>
      </c>
      <c r="AO28" s="26">
        <f t="shared" si="23"/>
        <v>0</v>
      </c>
      <c r="AP28" s="26">
        <f t="shared" si="23"/>
        <v>0</v>
      </c>
      <c r="AQ28" s="187">
        <f t="shared" si="23"/>
        <v>1059.32</v>
      </c>
      <c r="AR28" s="187">
        <f t="shared" si="23"/>
        <v>190.67759999999998</v>
      </c>
      <c r="AS28" s="188">
        <f t="shared" si="23"/>
        <v>33192.84</v>
      </c>
      <c r="AT28" s="188">
        <f t="shared" si="23"/>
        <v>20480</v>
      </c>
      <c r="AU28" s="188">
        <f t="shared" si="23"/>
        <v>9661.121199999998</v>
      </c>
      <c r="AV28" s="26">
        <f t="shared" si="23"/>
        <v>4400</v>
      </c>
      <c r="AW28" s="26">
        <f t="shared" si="23"/>
        <v>5.400000000000001</v>
      </c>
      <c r="AX28" s="26">
        <f t="shared" si="23"/>
        <v>2616.7724000000003</v>
      </c>
      <c r="AY28" s="26">
        <f t="shared" si="23"/>
        <v>0</v>
      </c>
      <c r="AZ28" s="26">
        <f t="shared" si="23"/>
        <v>0</v>
      </c>
      <c r="BA28" s="26">
        <f t="shared" si="23"/>
        <v>0</v>
      </c>
      <c r="BB28" s="26">
        <f t="shared" si="23"/>
        <v>140586.79925163698</v>
      </c>
      <c r="BC28" s="26">
        <f t="shared" si="23"/>
        <v>34143.587081125406</v>
      </c>
      <c r="BD28" s="26">
        <f t="shared" si="23"/>
        <v>93412.5844596824</v>
      </c>
      <c r="BE28" s="26">
        <f t="shared" si="23"/>
        <v>40678.065370487595</v>
      </c>
      <c r="BF28" s="26">
        <f t="shared" si="23"/>
        <v>-6091.040000000004</v>
      </c>
    </row>
    <row r="29" spans="1:58" ht="15" customHeight="1">
      <c r="A29" s="8" t="s">
        <v>92</v>
      </c>
      <c r="B29" s="67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163"/>
      <c r="Q29" s="164"/>
      <c r="R29" s="164"/>
      <c r="S29" s="164"/>
      <c r="T29" s="164"/>
      <c r="U29" s="165"/>
      <c r="V29" s="165"/>
      <c r="W29" s="165"/>
      <c r="X29" s="165"/>
      <c r="Y29" s="165"/>
      <c r="Z29" s="165"/>
      <c r="AA29" s="166"/>
      <c r="AB29" s="166"/>
      <c r="AC29" s="167"/>
      <c r="AD29" s="168"/>
      <c r="AE29" s="168"/>
      <c r="AF29" s="53"/>
      <c r="AG29" s="53"/>
      <c r="AH29" s="53"/>
      <c r="AI29" s="53"/>
      <c r="AJ29" s="53"/>
      <c r="AK29" s="53"/>
      <c r="AL29" s="53"/>
      <c r="AM29" s="53"/>
      <c r="AN29" s="68"/>
      <c r="AO29" s="68"/>
      <c r="AP29" s="68"/>
      <c r="AQ29" s="169"/>
      <c r="AR29" s="170"/>
      <c r="AS29" s="142"/>
      <c r="AT29" s="142"/>
      <c r="AU29" s="171"/>
      <c r="AV29" s="53"/>
      <c r="AW29" s="53"/>
      <c r="AX29" s="172"/>
      <c r="AY29" s="1"/>
      <c r="AZ29" s="1"/>
      <c r="BA29" s="1"/>
      <c r="BB29" s="1"/>
      <c r="BC29" s="1"/>
      <c r="BD29" s="1"/>
      <c r="BE29" s="1"/>
      <c r="BF29" s="149"/>
    </row>
    <row r="30" spans="1:58" ht="12.75">
      <c r="A30" s="13" t="s">
        <v>43</v>
      </c>
      <c r="B30" s="80">
        <v>1005.5</v>
      </c>
      <c r="C30" s="189">
        <f aca="true" t="shared" si="24" ref="C30:C41">B30*8.65</f>
        <v>8697.575</v>
      </c>
      <c r="D30" s="190">
        <f aca="true" t="shared" si="25" ref="D30:D41">C30-E30-F30-G30-H30-I30-J30-K30-L30-M30-N30</f>
        <v>594.1150000000009</v>
      </c>
      <c r="E30" s="81">
        <v>751.24</v>
      </c>
      <c r="F30" s="81">
        <v>184.35</v>
      </c>
      <c r="G30" s="81">
        <v>1016.7</v>
      </c>
      <c r="H30" s="81">
        <v>249.87</v>
      </c>
      <c r="I30" s="81">
        <v>2444.08</v>
      </c>
      <c r="J30" s="81">
        <v>600.13</v>
      </c>
      <c r="K30" s="81">
        <v>1692.83</v>
      </c>
      <c r="L30" s="81">
        <v>415.79</v>
      </c>
      <c r="M30" s="78">
        <v>600.99</v>
      </c>
      <c r="N30" s="82">
        <v>147.48</v>
      </c>
      <c r="O30" s="88">
        <v>0</v>
      </c>
      <c r="P30" s="88">
        <v>0</v>
      </c>
      <c r="Q30" s="88"/>
      <c r="R30" s="88"/>
      <c r="S30" s="81">
        <f aca="true" t="shared" si="26" ref="S30:S41">E30+G30+I30+K30+M30+O30+Q30</f>
        <v>6505.84</v>
      </c>
      <c r="T30" s="191">
        <f aca="true" t="shared" si="27" ref="T30:T41">P30+N30+L30+J30+H30+F30+R30</f>
        <v>1597.62</v>
      </c>
      <c r="U30" s="81">
        <v>630.45</v>
      </c>
      <c r="V30" s="81">
        <v>852.86</v>
      </c>
      <c r="W30" s="81">
        <v>2050.74</v>
      </c>
      <c r="X30" s="81">
        <v>1420.3</v>
      </c>
      <c r="Y30" s="81">
        <v>504.38</v>
      </c>
      <c r="Z30" s="81">
        <v>0</v>
      </c>
      <c r="AA30" s="88">
        <v>0</v>
      </c>
      <c r="AB30" s="88">
        <f>SUM(U30:AA30)</f>
        <v>5458.73</v>
      </c>
      <c r="AC30" s="192">
        <f aca="true" t="shared" si="28" ref="AC30:AC41">D30+T30+AB30</f>
        <v>7650.465</v>
      </c>
      <c r="AD30" s="193">
        <f aca="true" t="shared" si="29" ref="AD30:AD41">P30+Z30</f>
        <v>0</v>
      </c>
      <c r="AE30" s="193">
        <f aca="true" t="shared" si="30" ref="AE30:AE41">R30+AA30</f>
        <v>0</v>
      </c>
      <c r="AF30" s="193">
        <f>'[5]Т01-10'!$I$20</f>
        <v>7375.45486</v>
      </c>
      <c r="AG30" s="23">
        <f aca="true" t="shared" si="31" ref="AG30:AG41">0.6*B30</f>
        <v>603.3</v>
      </c>
      <c r="AH30" s="23">
        <f aca="true" t="shared" si="32" ref="AH30:AH41">B30*0.2</f>
        <v>201.10000000000002</v>
      </c>
      <c r="AI30" s="23">
        <f aca="true" t="shared" si="33" ref="AI30:AI41">1*B30</f>
        <v>1005.5</v>
      </c>
      <c r="AJ30" s="23">
        <v>0</v>
      </c>
      <c r="AK30" s="23">
        <f aca="true" t="shared" si="34" ref="AK30:AK41">0.98*B30</f>
        <v>985.39</v>
      </c>
      <c r="AL30" s="23">
        <v>0</v>
      </c>
      <c r="AM30" s="23">
        <f aca="true" t="shared" si="35" ref="AM30:AM41">2.25*B30</f>
        <v>2262.375</v>
      </c>
      <c r="AN30" s="23">
        <v>0</v>
      </c>
      <c r="AO30" s="23"/>
      <c r="AP30" s="23">
        <v>0</v>
      </c>
      <c r="AQ30" s="194"/>
      <c r="AR30" s="194"/>
      <c r="AS30" s="86">
        <v>0</v>
      </c>
      <c r="AT30" s="86"/>
      <c r="AU30" s="86">
        <f>AT30*0.18</f>
        <v>0</v>
      </c>
      <c r="AV30" s="195">
        <v>508</v>
      </c>
      <c r="AW30" s="196">
        <v>0.45</v>
      </c>
      <c r="AX30" s="23">
        <f aca="true" t="shared" si="36" ref="AX30:AX41">AV30*AW30*1.4</f>
        <v>320.03999999999996</v>
      </c>
      <c r="AY30" s="197"/>
      <c r="AZ30" s="198"/>
      <c r="BA30" s="198">
        <f aca="true" t="shared" si="37" ref="BA30:BA38">AZ30*0.18</f>
        <v>0</v>
      </c>
      <c r="BB30" s="198">
        <f aca="true" t="shared" si="38" ref="BB30:BB41">SUM(AG30:BA30)-AV30-AW30</f>
        <v>5377.705</v>
      </c>
      <c r="BC30" s="199">
        <f>'[5]Т03-10'!$M$20</f>
        <v>2969.071</v>
      </c>
      <c r="BD30" s="79">
        <f aca="true" t="shared" si="39" ref="BD30:BD41">BB30-(AF30-BC30)</f>
        <v>971.32114</v>
      </c>
      <c r="BE30" s="155">
        <f>(AC30-BB30)+(AF30-BC30)</f>
        <v>6679.14386</v>
      </c>
      <c r="BF30" s="155">
        <f>AB30-S30</f>
        <v>-1047.1100000000006</v>
      </c>
    </row>
    <row r="31" spans="1:58" ht="12.75">
      <c r="A31" s="13" t="s">
        <v>44</v>
      </c>
      <c r="B31" s="95">
        <v>1005.5</v>
      </c>
      <c r="C31" s="189">
        <f t="shared" si="24"/>
        <v>8697.575</v>
      </c>
      <c r="D31" s="190">
        <f t="shared" si="25"/>
        <v>594.1150000000009</v>
      </c>
      <c r="E31" s="87">
        <v>751.24</v>
      </c>
      <c r="F31" s="81">
        <v>184.35</v>
      </c>
      <c r="G31" s="81">
        <v>1016.7</v>
      </c>
      <c r="H31" s="81">
        <v>249.87</v>
      </c>
      <c r="I31" s="81">
        <v>2444.08</v>
      </c>
      <c r="J31" s="81">
        <v>600.13</v>
      </c>
      <c r="K31" s="81">
        <v>1692.83</v>
      </c>
      <c r="L31" s="81">
        <v>415.79</v>
      </c>
      <c r="M31" s="78">
        <v>600.99</v>
      </c>
      <c r="N31" s="82">
        <v>147.48</v>
      </c>
      <c r="O31" s="88">
        <v>0</v>
      </c>
      <c r="P31" s="88">
        <v>0</v>
      </c>
      <c r="Q31" s="81">
        <v>0</v>
      </c>
      <c r="R31" s="88">
        <v>0</v>
      </c>
      <c r="S31" s="81">
        <f t="shared" si="26"/>
        <v>6505.84</v>
      </c>
      <c r="T31" s="191">
        <f t="shared" si="27"/>
        <v>1597.62</v>
      </c>
      <c r="U31" s="81">
        <v>725.94</v>
      </c>
      <c r="V31" s="81">
        <v>982.75</v>
      </c>
      <c r="W31" s="81">
        <v>2362.07</v>
      </c>
      <c r="X31" s="81">
        <v>1636.11</v>
      </c>
      <c r="Y31" s="81">
        <v>580.76</v>
      </c>
      <c r="Z31" s="81">
        <v>0</v>
      </c>
      <c r="AA31" s="88">
        <v>0</v>
      </c>
      <c r="AB31" s="88">
        <f>SUM(U31:AA31)</f>
        <v>6287.63</v>
      </c>
      <c r="AC31" s="192">
        <f t="shared" si="28"/>
        <v>8479.365000000002</v>
      </c>
      <c r="AD31" s="193">
        <f t="shared" si="29"/>
        <v>0</v>
      </c>
      <c r="AE31" s="193">
        <f t="shared" si="30"/>
        <v>0</v>
      </c>
      <c r="AF31" s="193">
        <f>'[5]Т01-10'!$I$20</f>
        <v>7375.45486</v>
      </c>
      <c r="AG31" s="23">
        <f t="shared" si="31"/>
        <v>603.3</v>
      </c>
      <c r="AH31" s="23">
        <f t="shared" si="32"/>
        <v>201.10000000000002</v>
      </c>
      <c r="AI31" s="23">
        <f t="shared" si="33"/>
        <v>1005.5</v>
      </c>
      <c r="AJ31" s="23">
        <v>0</v>
      </c>
      <c r="AK31" s="23">
        <f t="shared" si="34"/>
        <v>985.39</v>
      </c>
      <c r="AL31" s="23">
        <v>0</v>
      </c>
      <c r="AM31" s="23">
        <f t="shared" si="35"/>
        <v>2262.375</v>
      </c>
      <c r="AN31" s="23">
        <v>0</v>
      </c>
      <c r="AO31" s="23">
        <f>366.2*5.4</f>
        <v>1977.48</v>
      </c>
      <c r="AP31" s="23"/>
      <c r="AQ31" s="194"/>
      <c r="AR31" s="194"/>
      <c r="AS31" s="86">
        <v>2384</v>
      </c>
      <c r="AT31" s="86"/>
      <c r="AU31" s="86">
        <f>AT31*0.18</f>
        <v>0</v>
      </c>
      <c r="AV31" s="195">
        <v>407</v>
      </c>
      <c r="AW31" s="196">
        <v>0.45</v>
      </c>
      <c r="AX31" s="23">
        <f t="shared" si="36"/>
        <v>256.40999999999997</v>
      </c>
      <c r="AY31" s="197"/>
      <c r="AZ31" s="198"/>
      <c r="BA31" s="198">
        <f t="shared" si="37"/>
        <v>0</v>
      </c>
      <c r="BB31" s="198">
        <f t="shared" si="38"/>
        <v>9675.555</v>
      </c>
      <c r="BC31" s="199">
        <f>'[5]Т03-10'!$M$20</f>
        <v>2969.071</v>
      </c>
      <c r="BD31" s="79">
        <f t="shared" si="39"/>
        <v>5269.17114</v>
      </c>
      <c r="BE31" s="155">
        <f aca="true" t="shared" si="40" ref="BE31:BE41">(AC31-BB31)+(AF31-BC31)</f>
        <v>3210.193860000001</v>
      </c>
      <c r="BF31" s="155">
        <f aca="true" t="shared" si="41" ref="BF31:BF41">AB31-S31</f>
        <v>-218.21000000000004</v>
      </c>
    </row>
    <row r="32" spans="1:58" ht="13.5" thickBot="1">
      <c r="A32" s="174" t="s">
        <v>45</v>
      </c>
      <c r="B32" s="80">
        <v>1005.5</v>
      </c>
      <c r="C32" s="189">
        <f t="shared" si="24"/>
        <v>8697.575</v>
      </c>
      <c r="D32" s="190">
        <f t="shared" si="25"/>
        <v>594.1150000000009</v>
      </c>
      <c r="E32" s="81">
        <v>751.24</v>
      </c>
      <c r="F32" s="81">
        <v>184.35</v>
      </c>
      <c r="G32" s="81">
        <v>1016.7</v>
      </c>
      <c r="H32" s="81">
        <v>249.87</v>
      </c>
      <c r="I32" s="81">
        <v>2444.08</v>
      </c>
      <c r="J32" s="81">
        <v>600.13</v>
      </c>
      <c r="K32" s="81">
        <v>1692.83</v>
      </c>
      <c r="L32" s="81">
        <v>415.79</v>
      </c>
      <c r="M32" s="78">
        <v>600.99</v>
      </c>
      <c r="N32" s="82">
        <v>147.48</v>
      </c>
      <c r="O32" s="88">
        <v>0</v>
      </c>
      <c r="P32" s="88">
        <v>0</v>
      </c>
      <c r="Q32" s="88">
        <v>0</v>
      </c>
      <c r="R32" s="88">
        <v>0</v>
      </c>
      <c r="S32" s="81">
        <f t="shared" si="26"/>
        <v>6505.84</v>
      </c>
      <c r="T32" s="191">
        <f t="shared" si="27"/>
        <v>1597.62</v>
      </c>
      <c r="U32" s="81">
        <v>877.48</v>
      </c>
      <c r="V32" s="81">
        <v>1187.68</v>
      </c>
      <c r="W32" s="81">
        <v>2854.88</v>
      </c>
      <c r="X32" s="81">
        <v>1977.39</v>
      </c>
      <c r="Y32" s="81">
        <v>701.95</v>
      </c>
      <c r="Z32" s="81">
        <v>0</v>
      </c>
      <c r="AA32" s="88">
        <v>0</v>
      </c>
      <c r="AB32" s="88">
        <f>SUM(U32:AA32)</f>
        <v>7599.38</v>
      </c>
      <c r="AC32" s="192">
        <f t="shared" si="28"/>
        <v>9791.115000000002</v>
      </c>
      <c r="AD32" s="193">
        <f t="shared" si="29"/>
        <v>0</v>
      </c>
      <c r="AE32" s="193">
        <f t="shared" si="30"/>
        <v>0</v>
      </c>
      <c r="AF32" s="193">
        <f>'[5]Т01-10'!$I$20</f>
        <v>7375.45486</v>
      </c>
      <c r="AG32" s="23">
        <f t="shared" si="31"/>
        <v>603.3</v>
      </c>
      <c r="AH32" s="23">
        <f t="shared" si="32"/>
        <v>201.10000000000002</v>
      </c>
      <c r="AI32" s="23">
        <f t="shared" si="33"/>
        <v>1005.5</v>
      </c>
      <c r="AJ32" s="23">
        <v>0</v>
      </c>
      <c r="AK32" s="23">
        <f t="shared" si="34"/>
        <v>985.39</v>
      </c>
      <c r="AL32" s="23">
        <v>0</v>
      </c>
      <c r="AM32" s="23">
        <f t="shared" si="35"/>
        <v>2262.375</v>
      </c>
      <c r="AN32" s="23">
        <v>0</v>
      </c>
      <c r="AO32" s="23"/>
      <c r="AP32" s="23"/>
      <c r="AQ32" s="194">
        <v>6984</v>
      </c>
      <c r="AR32" s="194"/>
      <c r="AS32" s="86">
        <v>275</v>
      </c>
      <c r="AT32" s="86"/>
      <c r="AU32" s="86">
        <f>AT32*0.18</f>
        <v>0</v>
      </c>
      <c r="AV32" s="195">
        <v>383</v>
      </c>
      <c r="AW32" s="196">
        <v>0.45</v>
      </c>
      <c r="AX32" s="23">
        <f t="shared" si="36"/>
        <v>241.28999999999996</v>
      </c>
      <c r="AY32" s="197"/>
      <c r="AZ32" s="198"/>
      <c r="BA32" s="198">
        <f t="shared" si="37"/>
        <v>0</v>
      </c>
      <c r="BB32" s="198">
        <f t="shared" si="38"/>
        <v>12557.955000000002</v>
      </c>
      <c r="BC32" s="199">
        <f>'[5]Т03-10'!$M$20</f>
        <v>2969.071</v>
      </c>
      <c r="BD32" s="79">
        <f t="shared" si="39"/>
        <v>8151.571140000002</v>
      </c>
      <c r="BE32" s="155">
        <f t="shared" si="40"/>
        <v>1639.5438599999998</v>
      </c>
      <c r="BF32" s="155">
        <f t="shared" si="41"/>
        <v>1093.54</v>
      </c>
    </row>
    <row r="33" spans="1:58" ht="12.75">
      <c r="A33" s="177" t="s">
        <v>46</v>
      </c>
      <c r="B33" s="235">
        <v>1005.5</v>
      </c>
      <c r="C33" s="189">
        <f t="shared" si="24"/>
        <v>8697.575</v>
      </c>
      <c r="D33" s="190">
        <f t="shared" si="25"/>
        <v>594.1150000000009</v>
      </c>
      <c r="E33" s="258">
        <v>751.24</v>
      </c>
      <c r="F33" s="258">
        <v>184.35</v>
      </c>
      <c r="G33" s="258">
        <v>1016.7</v>
      </c>
      <c r="H33" s="258">
        <v>249.87</v>
      </c>
      <c r="I33" s="258">
        <v>2444.08</v>
      </c>
      <c r="J33" s="258">
        <v>600.13</v>
      </c>
      <c r="K33" s="258">
        <v>1692.83</v>
      </c>
      <c r="L33" s="258">
        <v>415.79</v>
      </c>
      <c r="M33" s="263">
        <v>600.99</v>
      </c>
      <c r="N33" s="262">
        <v>147.48</v>
      </c>
      <c r="O33" s="257">
        <v>0</v>
      </c>
      <c r="P33" s="257">
        <v>0</v>
      </c>
      <c r="Q33" s="257"/>
      <c r="R33" s="257"/>
      <c r="S33" s="258">
        <f t="shared" si="26"/>
        <v>6505.84</v>
      </c>
      <c r="T33" s="266">
        <f t="shared" si="27"/>
        <v>1597.62</v>
      </c>
      <c r="U33" s="258">
        <v>727.67</v>
      </c>
      <c r="V33" s="258">
        <v>982.38</v>
      </c>
      <c r="W33" s="258">
        <v>2364.94</v>
      </c>
      <c r="X33" s="258">
        <v>1637.3</v>
      </c>
      <c r="Y33" s="258">
        <v>582.13</v>
      </c>
      <c r="Z33" s="258">
        <v>0</v>
      </c>
      <c r="AA33" s="257">
        <v>0</v>
      </c>
      <c r="AB33" s="257">
        <f>SUM(U33:AA33)</f>
        <v>6294.42</v>
      </c>
      <c r="AC33" s="322">
        <f t="shared" si="28"/>
        <v>8486.155</v>
      </c>
      <c r="AD33" s="275">
        <f t="shared" si="29"/>
        <v>0</v>
      </c>
      <c r="AE33" s="275">
        <f t="shared" si="30"/>
        <v>0</v>
      </c>
      <c r="AF33" s="275">
        <f>'[12]Т04-10'!$I$20</f>
        <v>7375.45486</v>
      </c>
      <c r="AG33" s="229">
        <f t="shared" si="31"/>
        <v>603.3</v>
      </c>
      <c r="AH33" s="229">
        <f t="shared" si="32"/>
        <v>201.10000000000002</v>
      </c>
      <c r="AI33" s="229">
        <f t="shared" si="33"/>
        <v>1005.5</v>
      </c>
      <c r="AJ33" s="229">
        <v>0</v>
      </c>
      <c r="AK33" s="229">
        <f t="shared" si="34"/>
        <v>985.39</v>
      </c>
      <c r="AL33" s="229">
        <v>0</v>
      </c>
      <c r="AM33" s="229">
        <f t="shared" si="35"/>
        <v>2262.375</v>
      </c>
      <c r="AN33" s="229">
        <v>0</v>
      </c>
      <c r="AO33" s="229"/>
      <c r="AP33" s="229"/>
      <c r="AQ33" s="279"/>
      <c r="AR33" s="279"/>
      <c r="AS33" s="273">
        <v>195</v>
      </c>
      <c r="AT33" s="273"/>
      <c r="AU33" s="273">
        <f>AT33*0</f>
        <v>0</v>
      </c>
      <c r="AV33" s="323">
        <v>307</v>
      </c>
      <c r="AW33" s="324">
        <v>0.45</v>
      </c>
      <c r="AX33" s="229">
        <f t="shared" si="36"/>
        <v>193.41</v>
      </c>
      <c r="AY33" s="197"/>
      <c r="AZ33" s="226"/>
      <c r="BA33" s="226">
        <f t="shared" si="37"/>
        <v>0</v>
      </c>
      <c r="BB33" s="226">
        <f t="shared" si="38"/>
        <v>5446.075</v>
      </c>
      <c r="BC33" s="227">
        <f>'[12]Т04-10'!$M$20</f>
        <v>2969.071</v>
      </c>
      <c r="BD33" s="79">
        <f t="shared" si="39"/>
        <v>1039.69114</v>
      </c>
      <c r="BE33" s="155">
        <f t="shared" si="40"/>
        <v>7446.463860000001</v>
      </c>
      <c r="BF33" s="155">
        <f t="shared" si="41"/>
        <v>-211.42000000000007</v>
      </c>
    </row>
    <row r="34" spans="1:58" ht="12.75">
      <c r="A34" s="13" t="s">
        <v>47</v>
      </c>
      <c r="B34" s="235">
        <v>1005</v>
      </c>
      <c r="C34" s="189">
        <f t="shared" si="24"/>
        <v>8693.25</v>
      </c>
      <c r="D34" s="190">
        <f t="shared" si="25"/>
        <v>594.1399999999998</v>
      </c>
      <c r="E34" s="258">
        <v>750.74</v>
      </c>
      <c r="F34" s="258">
        <v>184.35</v>
      </c>
      <c r="G34" s="258">
        <v>1016.01</v>
      </c>
      <c r="H34" s="258">
        <v>249.87</v>
      </c>
      <c r="I34" s="258">
        <v>2442.45</v>
      </c>
      <c r="J34" s="258">
        <v>600.13</v>
      </c>
      <c r="K34" s="258">
        <v>1691.7</v>
      </c>
      <c r="L34" s="258">
        <v>415.79</v>
      </c>
      <c r="M34" s="263">
        <v>600.59</v>
      </c>
      <c r="N34" s="262">
        <v>147.48</v>
      </c>
      <c r="O34" s="257">
        <v>0</v>
      </c>
      <c r="P34" s="257">
        <v>0</v>
      </c>
      <c r="Q34" s="257"/>
      <c r="R34" s="257"/>
      <c r="S34" s="258">
        <f t="shared" si="26"/>
        <v>6501.49</v>
      </c>
      <c r="T34" s="266">
        <f t="shared" si="27"/>
        <v>1597.62</v>
      </c>
      <c r="U34" s="200">
        <v>803.13</v>
      </c>
      <c r="V34" s="200">
        <v>1086.83</v>
      </c>
      <c r="W34" s="200">
        <v>2612.79</v>
      </c>
      <c r="X34" s="200">
        <v>1809.66</v>
      </c>
      <c r="Y34" s="200">
        <v>642.49</v>
      </c>
      <c r="Z34" s="200">
        <v>0</v>
      </c>
      <c r="AA34" s="201">
        <v>0</v>
      </c>
      <c r="AB34" s="257">
        <f>SUM(U34:AA34)</f>
        <v>6954.9</v>
      </c>
      <c r="AC34" s="322">
        <f t="shared" si="28"/>
        <v>9146.66</v>
      </c>
      <c r="AD34" s="275">
        <f t="shared" si="29"/>
        <v>0</v>
      </c>
      <c r="AE34" s="275">
        <f t="shared" si="30"/>
        <v>0</v>
      </c>
      <c r="AF34" s="275">
        <f>'[12]Т04-10'!$I$20</f>
        <v>7375.45486</v>
      </c>
      <c r="AG34" s="229">
        <f t="shared" si="31"/>
        <v>603</v>
      </c>
      <c r="AH34" s="229">
        <f t="shared" si="32"/>
        <v>201</v>
      </c>
      <c r="AI34" s="229">
        <f t="shared" si="33"/>
        <v>1005</v>
      </c>
      <c r="AJ34" s="229">
        <v>0</v>
      </c>
      <c r="AK34" s="229">
        <f t="shared" si="34"/>
        <v>984.9</v>
      </c>
      <c r="AL34" s="229">
        <v>0</v>
      </c>
      <c r="AM34" s="229">
        <f t="shared" si="35"/>
        <v>2261.25</v>
      </c>
      <c r="AN34" s="229">
        <v>0</v>
      </c>
      <c r="AO34" s="229"/>
      <c r="AP34" s="229"/>
      <c r="AQ34" s="279"/>
      <c r="AR34" s="279"/>
      <c r="AS34" s="273">
        <v>960</v>
      </c>
      <c r="AT34" s="273">
        <v>766.27</v>
      </c>
      <c r="AU34" s="273">
        <f>385*0</f>
        <v>0</v>
      </c>
      <c r="AV34" s="323">
        <v>263</v>
      </c>
      <c r="AW34" s="324">
        <v>0.45</v>
      </c>
      <c r="AX34" s="229">
        <f t="shared" si="36"/>
        <v>165.69</v>
      </c>
      <c r="AY34" s="197"/>
      <c r="AZ34" s="226"/>
      <c r="BA34" s="226">
        <f t="shared" si="37"/>
        <v>0</v>
      </c>
      <c r="BB34" s="226">
        <f t="shared" si="38"/>
        <v>6947.11</v>
      </c>
      <c r="BC34" s="227">
        <f>'[12]Т04-10'!$M$20</f>
        <v>2969.071</v>
      </c>
      <c r="BD34" s="79">
        <f t="shared" si="39"/>
        <v>2540.7261399999998</v>
      </c>
      <c r="BE34" s="155">
        <f t="shared" si="40"/>
        <v>6605.93386</v>
      </c>
      <c r="BF34" s="155">
        <f t="shared" si="41"/>
        <v>453.40999999999985</v>
      </c>
    </row>
    <row r="35" spans="1:58" ht="13.5" thickBot="1">
      <c r="A35" s="174" t="s">
        <v>48</v>
      </c>
      <c r="B35" s="235">
        <v>1005</v>
      </c>
      <c r="C35" s="189">
        <f t="shared" si="24"/>
        <v>8693.25</v>
      </c>
      <c r="D35" s="190">
        <f t="shared" si="25"/>
        <v>594.1399999999998</v>
      </c>
      <c r="E35" s="258">
        <v>750.74</v>
      </c>
      <c r="F35" s="258">
        <v>184.35</v>
      </c>
      <c r="G35" s="258">
        <v>1016.01</v>
      </c>
      <c r="H35" s="258">
        <v>249.87</v>
      </c>
      <c r="I35" s="258">
        <v>2442.45</v>
      </c>
      <c r="J35" s="258">
        <v>600.13</v>
      </c>
      <c r="K35" s="258">
        <v>1691.7</v>
      </c>
      <c r="L35" s="258">
        <v>415.79</v>
      </c>
      <c r="M35" s="263">
        <v>600.59</v>
      </c>
      <c r="N35" s="262">
        <v>147.48</v>
      </c>
      <c r="O35" s="257">
        <v>0</v>
      </c>
      <c r="P35" s="257">
        <v>0</v>
      </c>
      <c r="Q35" s="257">
        <v>0</v>
      </c>
      <c r="R35" s="257">
        <v>0</v>
      </c>
      <c r="S35" s="258">
        <f t="shared" si="26"/>
        <v>6501.49</v>
      </c>
      <c r="T35" s="266">
        <f t="shared" si="27"/>
        <v>1597.62</v>
      </c>
      <c r="U35" s="258">
        <v>820.15</v>
      </c>
      <c r="V35" s="258">
        <v>1109.79</v>
      </c>
      <c r="W35" s="258">
        <v>2668.14</v>
      </c>
      <c r="X35" s="258">
        <v>1848.01</v>
      </c>
      <c r="Y35" s="258">
        <v>656.09</v>
      </c>
      <c r="Z35" s="258">
        <v>0</v>
      </c>
      <c r="AA35" s="257">
        <v>0</v>
      </c>
      <c r="AB35" s="257">
        <f aca="true" t="shared" si="42" ref="AB35:AB41">SUM(U35:AA35)</f>
        <v>7102.18</v>
      </c>
      <c r="AC35" s="322">
        <f t="shared" si="28"/>
        <v>9293.94</v>
      </c>
      <c r="AD35" s="275">
        <f t="shared" si="29"/>
        <v>0</v>
      </c>
      <c r="AE35" s="275">
        <f t="shared" si="30"/>
        <v>0</v>
      </c>
      <c r="AF35" s="275">
        <f>'[6]Т06-10'!$I$20</f>
        <v>7375.45486</v>
      </c>
      <c r="AG35" s="229">
        <f t="shared" si="31"/>
        <v>603</v>
      </c>
      <c r="AH35" s="229">
        <f t="shared" si="32"/>
        <v>201</v>
      </c>
      <c r="AI35" s="229">
        <f t="shared" si="33"/>
        <v>1005</v>
      </c>
      <c r="AJ35" s="229">
        <v>0</v>
      </c>
      <c r="AK35" s="229">
        <f t="shared" si="34"/>
        <v>984.9</v>
      </c>
      <c r="AL35" s="229">
        <v>0</v>
      </c>
      <c r="AM35" s="229">
        <f t="shared" si="35"/>
        <v>2261.25</v>
      </c>
      <c r="AN35" s="229">
        <v>0</v>
      </c>
      <c r="AO35" s="229"/>
      <c r="AP35" s="229"/>
      <c r="AQ35" s="279"/>
      <c r="AR35" s="279"/>
      <c r="AS35" s="273"/>
      <c r="AT35" s="273"/>
      <c r="AU35" s="273">
        <f>AT35*0</f>
        <v>0</v>
      </c>
      <c r="AV35" s="323">
        <v>233</v>
      </c>
      <c r="AW35" s="324">
        <v>0.45</v>
      </c>
      <c r="AX35" s="229">
        <f t="shared" si="36"/>
        <v>146.79</v>
      </c>
      <c r="AY35" s="197"/>
      <c r="AZ35" s="226"/>
      <c r="BA35" s="226">
        <f t="shared" si="37"/>
        <v>0</v>
      </c>
      <c r="BB35" s="226">
        <f t="shared" si="38"/>
        <v>5201.94</v>
      </c>
      <c r="BC35" s="227">
        <f>'[12]Т06-10'!$M$20</f>
        <v>2969.071</v>
      </c>
      <c r="BD35" s="79">
        <f t="shared" si="39"/>
        <v>795.5561399999997</v>
      </c>
      <c r="BE35" s="155">
        <f t="shared" si="40"/>
        <v>8498.383860000002</v>
      </c>
      <c r="BF35" s="155">
        <f t="shared" si="41"/>
        <v>600.6900000000005</v>
      </c>
    </row>
    <row r="36" spans="1:58" ht="12.75">
      <c r="A36" s="177" t="s">
        <v>49</v>
      </c>
      <c r="B36" s="235">
        <v>1005</v>
      </c>
      <c r="C36" s="189">
        <f t="shared" si="24"/>
        <v>8693.25</v>
      </c>
      <c r="D36" s="190">
        <f t="shared" si="25"/>
        <v>543.7999999999994</v>
      </c>
      <c r="E36" s="272">
        <v>941.02</v>
      </c>
      <c r="F36" s="258">
        <v>0</v>
      </c>
      <c r="G36" s="258">
        <v>1273.58</v>
      </c>
      <c r="H36" s="258">
        <v>0</v>
      </c>
      <c r="I36" s="258">
        <v>3061.53</v>
      </c>
      <c r="J36" s="258">
        <v>0</v>
      </c>
      <c r="K36" s="258">
        <v>2120.5</v>
      </c>
      <c r="L36" s="258">
        <v>0</v>
      </c>
      <c r="M36" s="263">
        <v>752.82</v>
      </c>
      <c r="N36" s="262">
        <v>0</v>
      </c>
      <c r="O36" s="257">
        <v>0</v>
      </c>
      <c r="P36" s="257">
        <v>0</v>
      </c>
      <c r="Q36" s="257"/>
      <c r="R36" s="257"/>
      <c r="S36" s="258">
        <f t="shared" si="26"/>
        <v>8149.45</v>
      </c>
      <c r="T36" s="266">
        <f t="shared" si="27"/>
        <v>0</v>
      </c>
      <c r="U36" s="272">
        <v>694.02</v>
      </c>
      <c r="V36" s="258">
        <v>939.33</v>
      </c>
      <c r="W36" s="258">
        <v>2258</v>
      </c>
      <c r="X36" s="258">
        <v>1563.98</v>
      </c>
      <c r="Y36" s="258">
        <v>555.24</v>
      </c>
      <c r="Z36" s="258">
        <v>0</v>
      </c>
      <c r="AA36" s="257">
        <v>0</v>
      </c>
      <c r="AB36" s="257">
        <f t="shared" si="42"/>
        <v>6010.57</v>
      </c>
      <c r="AC36" s="322">
        <f t="shared" si="28"/>
        <v>6554.369999999999</v>
      </c>
      <c r="AD36" s="275">
        <f t="shared" si="29"/>
        <v>0</v>
      </c>
      <c r="AE36" s="275">
        <f t="shared" si="30"/>
        <v>0</v>
      </c>
      <c r="AF36" s="275">
        <f>'[6]Т07-10'!$I$19</f>
        <v>7375.45486</v>
      </c>
      <c r="AG36" s="229">
        <f t="shared" si="31"/>
        <v>603</v>
      </c>
      <c r="AH36" s="229">
        <f t="shared" si="32"/>
        <v>201</v>
      </c>
      <c r="AI36" s="229">
        <f t="shared" si="33"/>
        <v>1005</v>
      </c>
      <c r="AJ36" s="229">
        <v>0</v>
      </c>
      <c r="AK36" s="229">
        <f t="shared" si="34"/>
        <v>984.9</v>
      </c>
      <c r="AL36" s="229">
        <v>0</v>
      </c>
      <c r="AM36" s="229">
        <f t="shared" si="35"/>
        <v>2261.25</v>
      </c>
      <c r="AN36" s="229">
        <v>0</v>
      </c>
      <c r="AO36" s="229"/>
      <c r="AP36" s="229"/>
      <c r="AQ36" s="279"/>
      <c r="AR36" s="279"/>
      <c r="AS36" s="273"/>
      <c r="AT36" s="273">
        <f>2.95+27.99</f>
        <v>30.939999999999998</v>
      </c>
      <c r="AU36" s="273">
        <f>(27.99)*0.18-0.03</f>
        <v>5.0081999999999995</v>
      </c>
      <c r="AV36" s="323">
        <v>248</v>
      </c>
      <c r="AW36" s="324">
        <v>0.45</v>
      </c>
      <c r="AX36" s="229">
        <f t="shared" si="36"/>
        <v>156.24</v>
      </c>
      <c r="AY36" s="197"/>
      <c r="AZ36" s="226"/>
      <c r="BA36" s="226">
        <f t="shared" si="37"/>
        <v>0</v>
      </c>
      <c r="BB36" s="226">
        <f t="shared" si="38"/>
        <v>5247.338199999999</v>
      </c>
      <c r="BC36" s="227">
        <f>'[12]Т06-10'!$M$20</f>
        <v>2969.071</v>
      </c>
      <c r="BD36" s="79">
        <f t="shared" si="39"/>
        <v>840.9543399999993</v>
      </c>
      <c r="BE36" s="155">
        <f t="shared" si="40"/>
        <v>5713.41566</v>
      </c>
      <c r="BF36" s="155">
        <f t="shared" si="41"/>
        <v>-2138.88</v>
      </c>
    </row>
    <row r="37" spans="1:58" ht="12.75">
      <c r="A37" s="13" t="s">
        <v>50</v>
      </c>
      <c r="B37" s="235">
        <v>1005</v>
      </c>
      <c r="C37" s="189">
        <f t="shared" si="24"/>
        <v>8693.25</v>
      </c>
      <c r="D37" s="190">
        <f t="shared" si="25"/>
        <v>543.7999999999994</v>
      </c>
      <c r="E37" s="272">
        <v>941.02</v>
      </c>
      <c r="F37" s="258">
        <v>0</v>
      </c>
      <c r="G37" s="258">
        <v>1273.58</v>
      </c>
      <c r="H37" s="258">
        <v>0</v>
      </c>
      <c r="I37" s="258">
        <v>3061.53</v>
      </c>
      <c r="J37" s="258">
        <v>0</v>
      </c>
      <c r="K37" s="258">
        <v>2120.5</v>
      </c>
      <c r="L37" s="258">
        <v>0</v>
      </c>
      <c r="M37" s="263">
        <v>752.82</v>
      </c>
      <c r="N37" s="262">
        <v>0</v>
      </c>
      <c r="O37" s="257">
        <v>0</v>
      </c>
      <c r="P37" s="257">
        <v>0</v>
      </c>
      <c r="Q37" s="257"/>
      <c r="R37" s="257"/>
      <c r="S37" s="258">
        <f t="shared" si="26"/>
        <v>8149.45</v>
      </c>
      <c r="T37" s="266">
        <f t="shared" si="27"/>
        <v>0</v>
      </c>
      <c r="U37" s="200">
        <v>987.86</v>
      </c>
      <c r="V37" s="200">
        <v>1336.86</v>
      </c>
      <c r="W37" s="200">
        <v>3213.82</v>
      </c>
      <c r="X37" s="200">
        <v>2225.94</v>
      </c>
      <c r="Y37" s="200">
        <v>790.3</v>
      </c>
      <c r="Z37" s="200">
        <v>0</v>
      </c>
      <c r="AA37" s="201">
        <v>0</v>
      </c>
      <c r="AB37" s="257">
        <f t="shared" si="42"/>
        <v>8554.779999999999</v>
      </c>
      <c r="AC37" s="322">
        <f t="shared" si="28"/>
        <v>9098.579999999998</v>
      </c>
      <c r="AD37" s="275">
        <f t="shared" si="29"/>
        <v>0</v>
      </c>
      <c r="AE37" s="275">
        <f t="shared" si="30"/>
        <v>0</v>
      </c>
      <c r="AF37" s="275">
        <f>'[6]Т07-10'!$I$19</f>
        <v>7375.45486</v>
      </c>
      <c r="AG37" s="229">
        <f t="shared" si="31"/>
        <v>603</v>
      </c>
      <c r="AH37" s="229">
        <f t="shared" si="32"/>
        <v>201</v>
      </c>
      <c r="AI37" s="229">
        <f t="shared" si="33"/>
        <v>1005</v>
      </c>
      <c r="AJ37" s="229">
        <v>0</v>
      </c>
      <c r="AK37" s="229">
        <f t="shared" si="34"/>
        <v>984.9</v>
      </c>
      <c r="AL37" s="229">
        <v>0</v>
      </c>
      <c r="AM37" s="229">
        <f t="shared" si="35"/>
        <v>2261.25</v>
      </c>
      <c r="AN37" s="229">
        <v>0</v>
      </c>
      <c r="AO37" s="229"/>
      <c r="AP37" s="229"/>
      <c r="AQ37" s="279"/>
      <c r="AR37" s="279"/>
      <c r="AS37" s="273"/>
      <c r="AT37" s="273">
        <f>47.8+168</f>
        <v>215.8</v>
      </c>
      <c r="AU37" s="273">
        <f>0*0.18</f>
        <v>0</v>
      </c>
      <c r="AV37" s="323">
        <v>293</v>
      </c>
      <c r="AW37" s="324">
        <v>0.45</v>
      </c>
      <c r="AX37" s="229">
        <f t="shared" si="36"/>
        <v>184.58999999999997</v>
      </c>
      <c r="AY37" s="197"/>
      <c r="AZ37" s="226"/>
      <c r="BA37" s="226">
        <f t="shared" si="37"/>
        <v>0</v>
      </c>
      <c r="BB37" s="226">
        <f>SUM(AG37:BA37)-AV37-AW37</f>
        <v>5455.54</v>
      </c>
      <c r="BC37" s="227">
        <f>'[12]Т06-10'!$M$20</f>
        <v>2969.071</v>
      </c>
      <c r="BD37" s="79">
        <f t="shared" si="39"/>
        <v>1049.15614</v>
      </c>
      <c r="BE37" s="155">
        <f t="shared" si="40"/>
        <v>8049.423859999998</v>
      </c>
      <c r="BF37" s="155">
        <f t="shared" si="41"/>
        <v>405.329999999999</v>
      </c>
    </row>
    <row r="38" spans="1:58" ht="13.5" thickBot="1">
      <c r="A38" s="174" t="s">
        <v>51</v>
      </c>
      <c r="B38" s="235">
        <v>1005</v>
      </c>
      <c r="C38" s="189">
        <f t="shared" si="24"/>
        <v>8693.25</v>
      </c>
      <c r="D38" s="190">
        <f t="shared" si="25"/>
        <v>543.7999999999994</v>
      </c>
      <c r="E38" s="258">
        <v>941.02</v>
      </c>
      <c r="F38" s="258">
        <v>0</v>
      </c>
      <c r="G38" s="258">
        <v>1273.58</v>
      </c>
      <c r="H38" s="258">
        <v>0</v>
      </c>
      <c r="I38" s="258">
        <v>3061.53</v>
      </c>
      <c r="J38" s="258">
        <v>0</v>
      </c>
      <c r="K38" s="258">
        <v>2120.5</v>
      </c>
      <c r="L38" s="258">
        <v>0</v>
      </c>
      <c r="M38" s="263">
        <v>752.82</v>
      </c>
      <c r="N38" s="262">
        <v>0</v>
      </c>
      <c r="O38" s="257">
        <v>0</v>
      </c>
      <c r="P38" s="257">
        <v>0</v>
      </c>
      <c r="Q38" s="257"/>
      <c r="R38" s="257"/>
      <c r="S38" s="258">
        <f t="shared" si="26"/>
        <v>8149.45</v>
      </c>
      <c r="T38" s="266">
        <f t="shared" si="27"/>
        <v>0</v>
      </c>
      <c r="U38" s="258">
        <v>893.12</v>
      </c>
      <c r="V38" s="258">
        <v>1208.77</v>
      </c>
      <c r="W38" s="258">
        <v>2905.73</v>
      </c>
      <c r="X38" s="258">
        <v>2012.59</v>
      </c>
      <c r="Y38" s="258">
        <v>714.52</v>
      </c>
      <c r="Z38" s="258">
        <v>0</v>
      </c>
      <c r="AA38" s="257">
        <v>0</v>
      </c>
      <c r="AB38" s="257">
        <f t="shared" si="42"/>
        <v>7734.73</v>
      </c>
      <c r="AC38" s="322">
        <f t="shared" si="28"/>
        <v>8278.529999999999</v>
      </c>
      <c r="AD38" s="275">
        <f t="shared" si="29"/>
        <v>0</v>
      </c>
      <c r="AE38" s="275">
        <f t="shared" si="30"/>
        <v>0</v>
      </c>
      <c r="AF38" s="275">
        <f>'[6]Т07-10'!$I$19</f>
        <v>7375.45486</v>
      </c>
      <c r="AG38" s="229">
        <f t="shared" si="31"/>
        <v>603</v>
      </c>
      <c r="AH38" s="229">
        <f t="shared" si="32"/>
        <v>201</v>
      </c>
      <c r="AI38" s="229">
        <f t="shared" si="33"/>
        <v>1005</v>
      </c>
      <c r="AJ38" s="229">
        <v>0</v>
      </c>
      <c r="AK38" s="229">
        <f t="shared" si="34"/>
        <v>984.9</v>
      </c>
      <c r="AL38" s="229">
        <v>0</v>
      </c>
      <c r="AM38" s="229">
        <f t="shared" si="35"/>
        <v>2261.25</v>
      </c>
      <c r="AN38" s="229">
        <v>0</v>
      </c>
      <c r="AO38" s="229"/>
      <c r="AP38" s="229"/>
      <c r="AQ38" s="279"/>
      <c r="AR38" s="279"/>
      <c r="AS38" s="273">
        <v>8448</v>
      </c>
      <c r="AT38" s="273"/>
      <c r="AU38" s="325">
        <f>0*0.18</f>
        <v>0</v>
      </c>
      <c r="AV38" s="323">
        <v>349</v>
      </c>
      <c r="AW38" s="324">
        <v>0.45</v>
      </c>
      <c r="AX38" s="229">
        <f t="shared" si="36"/>
        <v>219.87</v>
      </c>
      <c r="AY38" s="197"/>
      <c r="AZ38" s="226"/>
      <c r="BA38" s="226">
        <f t="shared" si="37"/>
        <v>0</v>
      </c>
      <c r="BB38" s="226">
        <f t="shared" si="38"/>
        <v>13723.02</v>
      </c>
      <c r="BC38" s="227">
        <f>'[12]Т06-10'!$M$20</f>
        <v>2969.071</v>
      </c>
      <c r="BD38" s="79">
        <f t="shared" si="39"/>
        <v>9316.63614</v>
      </c>
      <c r="BE38" s="155">
        <f t="shared" si="40"/>
        <v>-1038.1061400000017</v>
      </c>
      <c r="BF38" s="155">
        <f t="shared" si="41"/>
        <v>-414.72000000000025</v>
      </c>
    </row>
    <row r="39" spans="1:58" ht="12.75">
      <c r="A39" s="181" t="s">
        <v>39</v>
      </c>
      <c r="B39" s="235">
        <v>1005</v>
      </c>
      <c r="C39" s="189">
        <f t="shared" si="24"/>
        <v>8693.25</v>
      </c>
      <c r="D39" s="190">
        <f t="shared" si="25"/>
        <v>543.7999999999994</v>
      </c>
      <c r="E39" s="83">
        <v>941.02</v>
      </c>
      <c r="F39" s="83">
        <v>0</v>
      </c>
      <c r="G39" s="83">
        <v>1273.58</v>
      </c>
      <c r="H39" s="83">
        <v>0</v>
      </c>
      <c r="I39" s="83">
        <v>3061.53</v>
      </c>
      <c r="J39" s="83">
        <v>0</v>
      </c>
      <c r="K39" s="83">
        <v>2120.5</v>
      </c>
      <c r="L39" s="83">
        <v>0</v>
      </c>
      <c r="M39" s="84">
        <v>752.82</v>
      </c>
      <c r="N39" s="85">
        <v>0</v>
      </c>
      <c r="O39" s="202">
        <v>0</v>
      </c>
      <c r="P39" s="202">
        <v>0</v>
      </c>
      <c r="Q39" s="202"/>
      <c r="R39" s="202"/>
      <c r="S39" s="258">
        <f t="shared" si="26"/>
        <v>8149.45</v>
      </c>
      <c r="T39" s="266">
        <f t="shared" si="27"/>
        <v>0</v>
      </c>
      <c r="U39" s="258">
        <v>847.87</v>
      </c>
      <c r="V39" s="258">
        <v>1147.8</v>
      </c>
      <c r="W39" s="258">
        <v>2758.69</v>
      </c>
      <c r="X39" s="258">
        <v>1910.86</v>
      </c>
      <c r="Y39" s="258">
        <v>678.27</v>
      </c>
      <c r="Z39" s="258">
        <v>0</v>
      </c>
      <c r="AA39" s="257">
        <v>0</v>
      </c>
      <c r="AB39" s="257">
        <f t="shared" si="42"/>
        <v>7343.49</v>
      </c>
      <c r="AC39" s="322">
        <f t="shared" si="28"/>
        <v>7887.289999999999</v>
      </c>
      <c r="AD39" s="275">
        <f t="shared" si="29"/>
        <v>0</v>
      </c>
      <c r="AE39" s="275">
        <f t="shared" si="30"/>
        <v>0</v>
      </c>
      <c r="AF39" s="275">
        <f>'[6]Т10-10'!$I$19+100</f>
        <v>7475.45486</v>
      </c>
      <c r="AG39" s="229">
        <f t="shared" si="31"/>
        <v>603</v>
      </c>
      <c r="AH39" s="229">
        <f t="shared" si="32"/>
        <v>201</v>
      </c>
      <c r="AI39" s="229">
        <f t="shared" si="33"/>
        <v>1005</v>
      </c>
      <c r="AJ39" s="229">
        <v>0</v>
      </c>
      <c r="AK39" s="229">
        <f t="shared" si="34"/>
        <v>984.9</v>
      </c>
      <c r="AL39" s="229">
        <v>0</v>
      </c>
      <c r="AM39" s="229">
        <f t="shared" si="35"/>
        <v>2261.25</v>
      </c>
      <c r="AN39" s="229">
        <v>0</v>
      </c>
      <c r="AO39" s="229"/>
      <c r="AP39" s="229"/>
      <c r="AQ39" s="279"/>
      <c r="AR39" s="279"/>
      <c r="AS39" s="273">
        <v>2887</v>
      </c>
      <c r="AT39" s="273"/>
      <c r="AU39" s="273">
        <f>0*0.18</f>
        <v>0</v>
      </c>
      <c r="AV39" s="323">
        <v>425</v>
      </c>
      <c r="AW39" s="324">
        <v>0.45</v>
      </c>
      <c r="AX39" s="229">
        <f t="shared" si="36"/>
        <v>267.75</v>
      </c>
      <c r="AY39" s="197"/>
      <c r="AZ39" s="226"/>
      <c r="BA39" s="226">
        <f>0</f>
        <v>0</v>
      </c>
      <c r="BB39" s="226">
        <f>SUM(AG39:BA39)-AV39-AW39</f>
        <v>8209.9</v>
      </c>
      <c r="BC39" s="227">
        <f>'[6]Т10-10'!$M$19+25</f>
        <v>2994.071</v>
      </c>
      <c r="BD39" s="79">
        <f t="shared" si="39"/>
        <v>3728.5161399999997</v>
      </c>
      <c r="BE39" s="155">
        <f t="shared" si="40"/>
        <v>4158.773859999999</v>
      </c>
      <c r="BF39" s="155">
        <f t="shared" si="41"/>
        <v>-805.96</v>
      </c>
    </row>
    <row r="40" spans="1:58" ht="12.75">
      <c r="A40" s="13" t="s">
        <v>40</v>
      </c>
      <c r="B40" s="235">
        <v>1005</v>
      </c>
      <c r="C40" s="189">
        <f t="shared" si="24"/>
        <v>8693.25</v>
      </c>
      <c r="D40" s="190">
        <f t="shared" si="25"/>
        <v>543.7999999999994</v>
      </c>
      <c r="E40" s="258">
        <v>941.02</v>
      </c>
      <c r="F40" s="258">
        <v>0</v>
      </c>
      <c r="G40" s="258">
        <v>1273.58</v>
      </c>
      <c r="H40" s="258">
        <v>0</v>
      </c>
      <c r="I40" s="258">
        <v>3061.53</v>
      </c>
      <c r="J40" s="258">
        <v>0</v>
      </c>
      <c r="K40" s="258">
        <v>2120.5</v>
      </c>
      <c r="L40" s="258">
        <v>0</v>
      </c>
      <c r="M40" s="263">
        <v>752.82</v>
      </c>
      <c r="N40" s="262">
        <v>0</v>
      </c>
      <c r="O40" s="257">
        <v>0</v>
      </c>
      <c r="P40" s="257">
        <v>0</v>
      </c>
      <c r="Q40" s="257"/>
      <c r="R40" s="257"/>
      <c r="S40" s="258">
        <f t="shared" si="26"/>
        <v>8149.45</v>
      </c>
      <c r="T40" s="266">
        <f t="shared" si="27"/>
        <v>0</v>
      </c>
      <c r="U40" s="272">
        <v>994.16</v>
      </c>
      <c r="V40" s="258">
        <v>1345.66</v>
      </c>
      <c r="W40" s="258">
        <v>3234.6</v>
      </c>
      <c r="X40" s="258">
        <v>2240.34</v>
      </c>
      <c r="Y40" s="258">
        <v>795.34</v>
      </c>
      <c r="Z40" s="258">
        <v>0</v>
      </c>
      <c r="AA40" s="257">
        <v>0</v>
      </c>
      <c r="AB40" s="257">
        <f t="shared" si="42"/>
        <v>8610.1</v>
      </c>
      <c r="AC40" s="322">
        <f t="shared" si="28"/>
        <v>9153.9</v>
      </c>
      <c r="AD40" s="275">
        <f t="shared" si="29"/>
        <v>0</v>
      </c>
      <c r="AE40" s="275">
        <f t="shared" si="30"/>
        <v>0</v>
      </c>
      <c r="AF40" s="275">
        <f>'[6]Т10-10'!$I$19+100</f>
        <v>7475.45486</v>
      </c>
      <c r="AG40" s="229">
        <f t="shared" si="31"/>
        <v>603</v>
      </c>
      <c r="AH40" s="229">
        <f t="shared" si="32"/>
        <v>201</v>
      </c>
      <c r="AI40" s="229">
        <f t="shared" si="33"/>
        <v>1005</v>
      </c>
      <c r="AJ40" s="229">
        <v>0</v>
      </c>
      <c r="AK40" s="229">
        <f t="shared" si="34"/>
        <v>984.9</v>
      </c>
      <c r="AL40" s="229">
        <v>0</v>
      </c>
      <c r="AM40" s="229">
        <f t="shared" si="35"/>
        <v>2261.25</v>
      </c>
      <c r="AN40" s="229">
        <v>0</v>
      </c>
      <c r="AO40" s="229"/>
      <c r="AP40" s="229"/>
      <c r="AQ40" s="279"/>
      <c r="AR40" s="279"/>
      <c r="AS40" s="273"/>
      <c r="AT40" s="273"/>
      <c r="AU40" s="273">
        <f>AT40*0.18</f>
        <v>0</v>
      </c>
      <c r="AV40" s="323">
        <v>470</v>
      </c>
      <c r="AW40" s="324">
        <v>0.45</v>
      </c>
      <c r="AX40" s="229">
        <f t="shared" si="36"/>
        <v>296.09999999999997</v>
      </c>
      <c r="AY40" s="197"/>
      <c r="AZ40" s="226"/>
      <c r="BA40" s="226">
        <v>0</v>
      </c>
      <c r="BB40" s="226">
        <f t="shared" si="38"/>
        <v>5351.25</v>
      </c>
      <c r="BC40" s="227">
        <f>'[6]Т10-10'!$M$19+25</f>
        <v>2994.071</v>
      </c>
      <c r="BD40" s="79">
        <f t="shared" si="39"/>
        <v>869.8661400000001</v>
      </c>
      <c r="BE40" s="155">
        <f t="shared" si="40"/>
        <v>8284.03386</v>
      </c>
      <c r="BF40" s="155">
        <f t="shared" si="41"/>
        <v>460.65000000000055</v>
      </c>
    </row>
    <row r="41" spans="1:58" s="153" customFormat="1" ht="12.75">
      <c r="A41" s="152" t="s">
        <v>41</v>
      </c>
      <c r="B41" s="235">
        <v>1005</v>
      </c>
      <c r="C41" s="189">
        <f t="shared" si="24"/>
        <v>8693.25</v>
      </c>
      <c r="D41" s="190">
        <f t="shared" si="25"/>
        <v>543.7999999999994</v>
      </c>
      <c r="E41" s="258">
        <v>941.02</v>
      </c>
      <c r="F41" s="258">
        <v>0</v>
      </c>
      <c r="G41" s="258">
        <v>1273.58</v>
      </c>
      <c r="H41" s="258">
        <v>0</v>
      </c>
      <c r="I41" s="258">
        <v>3061.53</v>
      </c>
      <c r="J41" s="258">
        <v>0</v>
      </c>
      <c r="K41" s="258">
        <v>2120.5</v>
      </c>
      <c r="L41" s="258">
        <v>0</v>
      </c>
      <c r="M41" s="263">
        <v>752.82</v>
      </c>
      <c r="N41" s="262">
        <v>0</v>
      </c>
      <c r="O41" s="257">
        <v>0</v>
      </c>
      <c r="P41" s="257">
        <v>0</v>
      </c>
      <c r="Q41" s="257"/>
      <c r="R41" s="257"/>
      <c r="S41" s="258">
        <f t="shared" si="26"/>
        <v>8149.45</v>
      </c>
      <c r="T41" s="266">
        <f t="shared" si="27"/>
        <v>0</v>
      </c>
      <c r="U41" s="258">
        <v>1155.79</v>
      </c>
      <c r="V41" s="258">
        <v>1563.78</v>
      </c>
      <c r="W41" s="258">
        <v>3759.82</v>
      </c>
      <c r="X41" s="258">
        <v>2604.06</v>
      </c>
      <c r="Y41" s="258">
        <v>924.6</v>
      </c>
      <c r="Z41" s="258">
        <v>0</v>
      </c>
      <c r="AA41" s="257">
        <v>0</v>
      </c>
      <c r="AB41" s="257">
        <f t="shared" si="42"/>
        <v>10008.05</v>
      </c>
      <c r="AC41" s="322">
        <f t="shared" si="28"/>
        <v>10551.849999999999</v>
      </c>
      <c r="AD41" s="275">
        <f t="shared" si="29"/>
        <v>0</v>
      </c>
      <c r="AE41" s="275">
        <f t="shared" si="30"/>
        <v>0</v>
      </c>
      <c r="AF41" s="275">
        <f>'[6]Т10-10'!$I$19+100</f>
        <v>7475.45486</v>
      </c>
      <c r="AG41" s="229">
        <f t="shared" si="31"/>
        <v>603</v>
      </c>
      <c r="AH41" s="229">
        <f t="shared" si="32"/>
        <v>201</v>
      </c>
      <c r="AI41" s="229">
        <f t="shared" si="33"/>
        <v>1005</v>
      </c>
      <c r="AJ41" s="229">
        <v>0</v>
      </c>
      <c r="AK41" s="229">
        <f t="shared" si="34"/>
        <v>984.9</v>
      </c>
      <c r="AL41" s="229">
        <v>0</v>
      </c>
      <c r="AM41" s="229">
        <f t="shared" si="35"/>
        <v>2261.25</v>
      </c>
      <c r="AN41" s="229">
        <v>0</v>
      </c>
      <c r="AO41" s="229"/>
      <c r="AP41" s="229"/>
      <c r="AQ41" s="279"/>
      <c r="AR41" s="279"/>
      <c r="AS41" s="273"/>
      <c r="AT41" s="273">
        <f>8949.97+28140.8</f>
        <v>37090.77</v>
      </c>
      <c r="AU41" s="273">
        <f>AT41*0.18</f>
        <v>6676.338599999999</v>
      </c>
      <c r="AV41" s="323">
        <v>514</v>
      </c>
      <c r="AW41" s="324">
        <v>0.45</v>
      </c>
      <c r="AX41" s="229">
        <f t="shared" si="36"/>
        <v>323.82</v>
      </c>
      <c r="AY41" s="197"/>
      <c r="AZ41" s="226"/>
      <c r="BA41" s="226">
        <v>0</v>
      </c>
      <c r="BB41" s="226">
        <f t="shared" si="38"/>
        <v>49146.0786</v>
      </c>
      <c r="BC41" s="227">
        <f>'[6]Т10-10'!$M$19+25</f>
        <v>2994.071</v>
      </c>
      <c r="BD41" s="79">
        <f t="shared" si="39"/>
        <v>44664.69474</v>
      </c>
      <c r="BE41" s="155">
        <f t="shared" si="40"/>
        <v>-34112.84474</v>
      </c>
      <c r="BF41" s="155">
        <f t="shared" si="41"/>
        <v>1858.5999999999995</v>
      </c>
    </row>
    <row r="42" spans="1:58" s="22" customFormat="1" ht="12.75">
      <c r="A42" s="17" t="s">
        <v>3</v>
      </c>
      <c r="B42" s="18"/>
      <c r="C42" s="18">
        <f>SUM(C30:C41)</f>
        <v>104336.3</v>
      </c>
      <c r="D42" s="18">
        <f aca="true" t="shared" si="43" ref="D42:BF42">SUM(D30:D41)</f>
        <v>6827.539999999999</v>
      </c>
      <c r="E42" s="18">
        <f t="shared" si="43"/>
        <v>10152.560000000001</v>
      </c>
      <c r="F42" s="18">
        <f t="shared" si="43"/>
        <v>1106.1</v>
      </c>
      <c r="G42" s="18">
        <f t="shared" si="43"/>
        <v>13740.3</v>
      </c>
      <c r="H42" s="18">
        <f t="shared" si="43"/>
        <v>1499.2199999999998</v>
      </c>
      <c r="I42" s="18">
        <f t="shared" si="43"/>
        <v>33030.399999999994</v>
      </c>
      <c r="J42" s="18">
        <f t="shared" si="43"/>
        <v>3600.78</v>
      </c>
      <c r="K42" s="18">
        <f t="shared" si="43"/>
        <v>22877.72</v>
      </c>
      <c r="L42" s="18">
        <f t="shared" si="43"/>
        <v>2494.7400000000002</v>
      </c>
      <c r="M42" s="18">
        <f t="shared" si="43"/>
        <v>8122.059999999999</v>
      </c>
      <c r="N42" s="18">
        <f t="shared" si="43"/>
        <v>884.88</v>
      </c>
      <c r="O42" s="18">
        <f t="shared" si="43"/>
        <v>0</v>
      </c>
      <c r="P42" s="18">
        <f t="shared" si="43"/>
        <v>0</v>
      </c>
      <c r="Q42" s="18">
        <f t="shared" si="43"/>
        <v>0</v>
      </c>
      <c r="R42" s="18">
        <f t="shared" si="43"/>
        <v>0</v>
      </c>
      <c r="S42" s="18">
        <f t="shared" si="43"/>
        <v>87923.03999999998</v>
      </c>
      <c r="T42" s="18">
        <f t="shared" si="43"/>
        <v>9585.72</v>
      </c>
      <c r="U42" s="18">
        <f t="shared" si="43"/>
        <v>10157.64</v>
      </c>
      <c r="V42" s="18">
        <f t="shared" si="43"/>
        <v>13744.49</v>
      </c>
      <c r="W42" s="18">
        <f t="shared" si="43"/>
        <v>33044.219999999994</v>
      </c>
      <c r="X42" s="18">
        <f t="shared" si="43"/>
        <v>22886.54</v>
      </c>
      <c r="Y42" s="18">
        <f t="shared" si="43"/>
        <v>8126.0700000000015</v>
      </c>
      <c r="Z42" s="18">
        <f t="shared" si="43"/>
        <v>0</v>
      </c>
      <c r="AA42" s="18">
        <f t="shared" si="43"/>
        <v>0</v>
      </c>
      <c r="AB42" s="18">
        <f t="shared" si="43"/>
        <v>87958.96000000002</v>
      </c>
      <c r="AC42" s="18">
        <f t="shared" si="43"/>
        <v>104372.22</v>
      </c>
      <c r="AD42" s="18">
        <f t="shared" si="43"/>
        <v>0</v>
      </c>
      <c r="AE42" s="18">
        <f t="shared" si="43"/>
        <v>0</v>
      </c>
      <c r="AF42" s="18">
        <f t="shared" si="43"/>
        <v>88805.45831999999</v>
      </c>
      <c r="AG42" s="18">
        <f t="shared" si="43"/>
        <v>7237.2</v>
      </c>
      <c r="AH42" s="18">
        <f t="shared" si="43"/>
        <v>2412.4</v>
      </c>
      <c r="AI42" s="18">
        <f t="shared" si="43"/>
        <v>12062</v>
      </c>
      <c r="AJ42" s="18">
        <f t="shared" si="43"/>
        <v>0</v>
      </c>
      <c r="AK42" s="18">
        <f t="shared" si="43"/>
        <v>11820.759999999998</v>
      </c>
      <c r="AL42" s="18">
        <f t="shared" si="43"/>
        <v>0</v>
      </c>
      <c r="AM42" s="18">
        <f t="shared" si="43"/>
        <v>27139.5</v>
      </c>
      <c r="AN42" s="18">
        <f t="shared" si="43"/>
        <v>0</v>
      </c>
      <c r="AO42" s="18">
        <f t="shared" si="43"/>
        <v>1977.48</v>
      </c>
      <c r="AP42" s="18">
        <f t="shared" si="43"/>
        <v>0</v>
      </c>
      <c r="AQ42" s="183">
        <f t="shared" si="43"/>
        <v>6984</v>
      </c>
      <c r="AR42" s="183">
        <f t="shared" si="43"/>
        <v>0</v>
      </c>
      <c r="AS42" s="19">
        <f t="shared" si="43"/>
        <v>15149</v>
      </c>
      <c r="AT42" s="19">
        <f t="shared" si="43"/>
        <v>38103.78</v>
      </c>
      <c r="AU42" s="19">
        <f t="shared" si="43"/>
        <v>6681.346799999999</v>
      </c>
      <c r="AV42" s="18">
        <f t="shared" si="43"/>
        <v>4400</v>
      </c>
      <c r="AW42" s="18">
        <f t="shared" si="43"/>
        <v>5.400000000000001</v>
      </c>
      <c r="AX42" s="18">
        <f t="shared" si="43"/>
        <v>2772</v>
      </c>
      <c r="AY42" s="18">
        <f t="shared" si="43"/>
        <v>0</v>
      </c>
      <c r="AZ42" s="18">
        <f t="shared" si="43"/>
        <v>0</v>
      </c>
      <c r="BA42" s="18">
        <f t="shared" si="43"/>
        <v>0</v>
      </c>
      <c r="BB42" s="18">
        <f t="shared" si="43"/>
        <v>132339.4668</v>
      </c>
      <c r="BC42" s="18">
        <f t="shared" si="43"/>
        <v>35703.852</v>
      </c>
      <c r="BD42" s="18">
        <f t="shared" si="43"/>
        <v>79237.86048</v>
      </c>
      <c r="BE42" s="18">
        <f t="shared" si="43"/>
        <v>25134.359519999998</v>
      </c>
      <c r="BF42" s="184">
        <f t="shared" si="43"/>
        <v>35.919999999998254</v>
      </c>
    </row>
    <row r="43" spans="1:58" s="22" customFormat="1" ht="12.75">
      <c r="A43" s="17"/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141"/>
      <c r="AE43" s="14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74"/>
      <c r="AQ43" s="185"/>
      <c r="AR43" s="185"/>
      <c r="AS43" s="74"/>
      <c r="AT43" s="74"/>
      <c r="AU43" s="74"/>
      <c r="AV43" s="21"/>
      <c r="AW43" s="21"/>
      <c r="AX43" s="90"/>
      <c r="AY43" s="52"/>
      <c r="AZ43" s="52"/>
      <c r="BA43" s="52"/>
      <c r="BB43" s="52"/>
      <c r="BC43" s="52"/>
      <c r="BD43" s="52"/>
      <c r="BE43" s="52"/>
      <c r="BF43" s="186"/>
    </row>
    <row r="44" spans="1:58" s="22" customFormat="1" ht="13.5" thickBot="1">
      <c r="A44" s="25" t="s">
        <v>52</v>
      </c>
      <c r="B44" s="26"/>
      <c r="C44" s="26">
        <f>C28+C42</f>
        <v>234799.925</v>
      </c>
      <c r="D44" s="26">
        <f aca="true" t="shared" si="44" ref="D44:BF44">D28+D42</f>
        <v>22197.07338325001</v>
      </c>
      <c r="E44" s="26">
        <f t="shared" si="44"/>
        <v>21072.840000000004</v>
      </c>
      <c r="F44" s="26">
        <f t="shared" si="44"/>
        <v>3774.2099999999996</v>
      </c>
      <c r="G44" s="26">
        <f t="shared" si="44"/>
        <v>28503</v>
      </c>
      <c r="H44" s="26">
        <f t="shared" si="44"/>
        <v>5109.12</v>
      </c>
      <c r="I44" s="26">
        <f t="shared" si="44"/>
        <v>68541.77</v>
      </c>
      <c r="J44" s="26">
        <f t="shared" si="44"/>
        <v>12280.04</v>
      </c>
      <c r="K44" s="26">
        <f t="shared" si="44"/>
        <v>47468.72</v>
      </c>
      <c r="L44" s="26">
        <f t="shared" si="44"/>
        <v>8505.97</v>
      </c>
      <c r="M44" s="26">
        <f t="shared" si="44"/>
        <v>16858.359999999997</v>
      </c>
      <c r="N44" s="26">
        <f t="shared" si="44"/>
        <v>3019.3500000000004</v>
      </c>
      <c r="O44" s="26">
        <f t="shared" si="44"/>
        <v>0</v>
      </c>
      <c r="P44" s="26">
        <f t="shared" si="44"/>
        <v>0</v>
      </c>
      <c r="Q44" s="26">
        <f t="shared" si="44"/>
        <v>0</v>
      </c>
      <c r="R44" s="26">
        <f t="shared" si="44"/>
        <v>0</v>
      </c>
      <c r="S44" s="26">
        <f t="shared" si="44"/>
        <v>182444.68999999997</v>
      </c>
      <c r="T44" s="26">
        <f t="shared" si="44"/>
        <v>32688.689999999995</v>
      </c>
      <c r="U44" s="26">
        <f t="shared" si="44"/>
        <v>20374.45</v>
      </c>
      <c r="V44" s="26">
        <f t="shared" si="44"/>
        <v>27555.550000000003</v>
      </c>
      <c r="W44" s="26">
        <f t="shared" si="44"/>
        <v>66267.31</v>
      </c>
      <c r="X44" s="26">
        <f t="shared" si="44"/>
        <v>45892.68</v>
      </c>
      <c r="Y44" s="26">
        <f t="shared" si="44"/>
        <v>16299.580000000002</v>
      </c>
      <c r="Z44" s="26">
        <f t="shared" si="44"/>
        <v>0</v>
      </c>
      <c r="AA44" s="26">
        <f t="shared" si="44"/>
        <v>0</v>
      </c>
      <c r="AB44" s="26">
        <f t="shared" si="44"/>
        <v>176389.57</v>
      </c>
      <c r="AC44" s="26">
        <f t="shared" si="44"/>
        <v>231275.33338325002</v>
      </c>
      <c r="AD44" s="26">
        <f t="shared" si="44"/>
        <v>0</v>
      </c>
      <c r="AE44" s="26">
        <f t="shared" si="44"/>
        <v>0</v>
      </c>
      <c r="AF44" s="26">
        <f t="shared" si="44"/>
        <v>177310.79664000002</v>
      </c>
      <c r="AG44" s="26">
        <f t="shared" si="44"/>
        <v>16045.380000000001</v>
      </c>
      <c r="AH44" s="26">
        <f t="shared" si="44"/>
        <v>5376.525516</v>
      </c>
      <c r="AI44" s="26">
        <f t="shared" si="44"/>
        <v>24412.76525125</v>
      </c>
      <c r="AJ44" s="26">
        <f t="shared" si="44"/>
        <v>2223.137745225</v>
      </c>
      <c r="AK44" s="26">
        <f t="shared" si="44"/>
        <v>24317.767072249997</v>
      </c>
      <c r="AL44" s="26">
        <f t="shared" si="44"/>
        <v>2249.461273005</v>
      </c>
      <c r="AM44" s="26">
        <f t="shared" si="44"/>
        <v>54506.780672802546</v>
      </c>
      <c r="AN44" s="26">
        <f t="shared" si="44"/>
        <v>4926.110521104457</v>
      </c>
      <c r="AO44" s="26">
        <f t="shared" si="44"/>
        <v>1977.48</v>
      </c>
      <c r="AP44" s="26">
        <f t="shared" si="44"/>
        <v>0</v>
      </c>
      <c r="AQ44" s="187">
        <f t="shared" si="44"/>
        <v>8043.32</v>
      </c>
      <c r="AR44" s="187">
        <f t="shared" si="44"/>
        <v>190.67759999999998</v>
      </c>
      <c r="AS44" s="188">
        <f t="shared" si="44"/>
        <v>48341.84</v>
      </c>
      <c r="AT44" s="188">
        <f t="shared" si="44"/>
        <v>58583.78</v>
      </c>
      <c r="AU44" s="188">
        <f t="shared" si="44"/>
        <v>16342.467999999997</v>
      </c>
      <c r="AV44" s="26">
        <f t="shared" si="44"/>
        <v>8800</v>
      </c>
      <c r="AW44" s="26">
        <f t="shared" si="44"/>
        <v>10.800000000000002</v>
      </c>
      <c r="AX44" s="26">
        <f t="shared" si="44"/>
        <v>5388.7724</v>
      </c>
      <c r="AY44" s="26">
        <f t="shared" si="44"/>
        <v>0</v>
      </c>
      <c r="AZ44" s="26">
        <f t="shared" si="44"/>
        <v>0</v>
      </c>
      <c r="BA44" s="26">
        <f t="shared" si="44"/>
        <v>0</v>
      </c>
      <c r="BB44" s="26">
        <f t="shared" si="44"/>
        <v>272926.266051637</v>
      </c>
      <c r="BC44" s="26">
        <f t="shared" si="44"/>
        <v>69847.4390811254</v>
      </c>
      <c r="BD44" s="26">
        <f t="shared" si="44"/>
        <v>172650.4449396824</v>
      </c>
      <c r="BE44" s="26">
        <f t="shared" si="44"/>
        <v>65812.4248904876</v>
      </c>
      <c r="BF44" s="26">
        <f t="shared" si="44"/>
        <v>-6055.120000000005</v>
      </c>
    </row>
  </sheetData>
  <sheetProtection/>
  <mergeCells count="67">
    <mergeCell ref="AC3:AC6"/>
    <mergeCell ref="M5:M6"/>
    <mergeCell ref="N5:N6"/>
    <mergeCell ref="O5:O6"/>
    <mergeCell ref="AB5:AB6"/>
    <mergeCell ref="Y5:Y6"/>
    <mergeCell ref="Q3:R4"/>
    <mergeCell ref="Q5:Q6"/>
    <mergeCell ref="R5:R6"/>
    <mergeCell ref="S5:S6"/>
    <mergeCell ref="A1:N1"/>
    <mergeCell ref="A3:A6"/>
    <mergeCell ref="B3:B6"/>
    <mergeCell ref="C3:C6"/>
    <mergeCell ref="D3:D6"/>
    <mergeCell ref="O3:P4"/>
    <mergeCell ref="P5:P6"/>
    <mergeCell ref="U3:AB4"/>
    <mergeCell ref="X5:X6"/>
    <mergeCell ref="E5:E6"/>
    <mergeCell ref="F5:F6"/>
    <mergeCell ref="G5:G6"/>
    <mergeCell ref="H5:H6"/>
    <mergeCell ref="I5:I6"/>
    <mergeCell ref="J5:J6"/>
    <mergeCell ref="AA5:AA6"/>
    <mergeCell ref="M3:N4"/>
    <mergeCell ref="AL5:AL6"/>
    <mergeCell ref="AF3:AF6"/>
    <mergeCell ref="K5:K6"/>
    <mergeCell ref="L5:L6"/>
    <mergeCell ref="AD3:AD6"/>
    <mergeCell ref="T5:T6"/>
    <mergeCell ref="U5:U6"/>
    <mergeCell ref="V5:V6"/>
    <mergeCell ref="W5:W6"/>
    <mergeCell ref="S3:T4"/>
    <mergeCell ref="BF3:BF6"/>
    <mergeCell ref="BC4:BC6"/>
    <mergeCell ref="BD4:BD6"/>
    <mergeCell ref="AV5:AX5"/>
    <mergeCell ref="AY5:AY6"/>
    <mergeCell ref="Z5:Z6"/>
    <mergeCell ref="AE3:AE6"/>
    <mergeCell ref="AN5:AN6"/>
    <mergeCell ref="AO5:AO6"/>
    <mergeCell ref="AP5:AP6"/>
    <mergeCell ref="BA5:BA6"/>
    <mergeCell ref="BB5:BB6"/>
    <mergeCell ref="E3:F4"/>
    <mergeCell ref="G3:H4"/>
    <mergeCell ref="I3:J4"/>
    <mergeCell ref="K3:L4"/>
    <mergeCell ref="AH5:AH6"/>
    <mergeCell ref="AI5:AI6"/>
    <mergeCell ref="AJ5:AJ6"/>
    <mergeCell ref="AK5:AK6"/>
    <mergeCell ref="AG3:BB4"/>
    <mergeCell ref="BC3:BD3"/>
    <mergeCell ref="BE3:BE6"/>
    <mergeCell ref="AG5:AG6"/>
    <mergeCell ref="AQ5:AQ6"/>
    <mergeCell ref="AR5:AR6"/>
    <mergeCell ref="AS5:AS6"/>
    <mergeCell ref="AM5:AM6"/>
    <mergeCell ref="AT5:AT6"/>
    <mergeCell ref="AZ5:A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7">
      <selection activeCell="B61" sqref="B6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8" width="10.875" style="2" customWidth="1"/>
    <col min="9" max="9" width="10.125" style="2" customWidth="1"/>
    <col min="10" max="10" width="9.25390625" style="2" customWidth="1"/>
    <col min="11" max="11" width="9.125" style="2" customWidth="1"/>
    <col min="12" max="12" width="10.375" style="2" customWidth="1"/>
    <col min="13" max="13" width="10.125" style="2" customWidth="1"/>
    <col min="14" max="14" width="8.875" style="2" customWidth="1"/>
    <col min="15" max="15" width="10.375" style="2" customWidth="1"/>
    <col min="16" max="16" width="10.75390625" style="2" customWidth="1"/>
    <col min="17" max="17" width="13.875" style="2" customWidth="1"/>
    <col min="18" max="16384" width="9.125" style="2" customWidth="1"/>
  </cols>
  <sheetData>
    <row r="1" ht="18.75">
      <c r="E1" s="27" t="s">
        <v>53</v>
      </c>
    </row>
    <row r="2" ht="18.75">
      <c r="E2" s="27" t="s">
        <v>54</v>
      </c>
    </row>
    <row r="6" spans="1:16" ht="12.75">
      <c r="A6" s="445" t="s">
        <v>78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</row>
    <row r="7" spans="1:16" ht="12.75">
      <c r="A7" s="421" t="s">
        <v>93</v>
      </c>
      <c r="B7" s="421"/>
      <c r="C7" s="421"/>
      <c r="D7" s="421"/>
      <c r="E7" s="421"/>
      <c r="F7" s="421"/>
      <c r="G7" s="421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2.75">
      <c r="A8" s="28"/>
      <c r="B8" s="28"/>
      <c r="C8" s="28"/>
      <c r="D8" s="28"/>
      <c r="E8" s="28"/>
      <c r="F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55</v>
      </c>
      <c r="D9" s="4"/>
      <c r="E9" s="29">
        <v>8.65</v>
      </c>
    </row>
    <row r="10" spans="1:17" ht="12.75" customHeight="1">
      <c r="A10" s="446" t="s">
        <v>56</v>
      </c>
      <c r="B10" s="449" t="s">
        <v>0</v>
      </c>
      <c r="C10" s="452" t="s">
        <v>57</v>
      </c>
      <c r="D10" s="455" t="s">
        <v>2</v>
      </c>
      <c r="E10" s="395" t="s">
        <v>58</v>
      </c>
      <c r="F10" s="395"/>
      <c r="G10" s="442" t="str">
        <f>Лист1!AF3</f>
        <v>Доходы по нежил.помещениям</v>
      </c>
      <c r="H10" s="419" t="s">
        <v>74</v>
      </c>
      <c r="I10" s="419"/>
      <c r="J10" s="422" t="s">
        <v>8</v>
      </c>
      <c r="K10" s="423"/>
      <c r="L10" s="423"/>
      <c r="M10" s="423"/>
      <c r="N10" s="423"/>
      <c r="O10" s="424"/>
      <c r="P10" s="436" t="s">
        <v>59</v>
      </c>
      <c r="Q10" s="428" t="s">
        <v>79</v>
      </c>
    </row>
    <row r="11" spans="1:17" ht="12.75" customHeight="1">
      <c r="A11" s="447"/>
      <c r="B11" s="450"/>
      <c r="C11" s="453"/>
      <c r="D11" s="456"/>
      <c r="E11" s="403"/>
      <c r="F11" s="403"/>
      <c r="G11" s="443"/>
      <c r="H11" s="420"/>
      <c r="I11" s="420"/>
      <c r="J11" s="425"/>
      <c r="K11" s="426"/>
      <c r="L11" s="426"/>
      <c r="M11" s="426"/>
      <c r="N11" s="426"/>
      <c r="O11" s="427"/>
      <c r="P11" s="437"/>
      <c r="Q11" s="429"/>
    </row>
    <row r="12" spans="1:17" ht="26.25" customHeight="1">
      <c r="A12" s="447"/>
      <c r="B12" s="450"/>
      <c r="C12" s="453"/>
      <c r="D12" s="456"/>
      <c r="E12" s="431" t="s">
        <v>60</v>
      </c>
      <c r="F12" s="432"/>
      <c r="G12" s="443"/>
      <c r="H12" s="139" t="s">
        <v>61</v>
      </c>
      <c r="I12" s="433" t="s">
        <v>5</v>
      </c>
      <c r="J12" s="434" t="s">
        <v>62</v>
      </c>
      <c r="K12" s="417" t="s">
        <v>30</v>
      </c>
      <c r="L12" s="417" t="s">
        <v>63</v>
      </c>
      <c r="M12" s="417" t="s">
        <v>35</v>
      </c>
      <c r="N12" s="417" t="s">
        <v>64</v>
      </c>
      <c r="O12" s="433" t="s">
        <v>37</v>
      </c>
      <c r="P12" s="437"/>
      <c r="Q12" s="429"/>
    </row>
    <row r="13" spans="1:17" ht="66.75" customHeight="1" thickBot="1">
      <c r="A13" s="448"/>
      <c r="B13" s="451"/>
      <c r="C13" s="454"/>
      <c r="D13" s="457"/>
      <c r="E13" s="134" t="s">
        <v>65</v>
      </c>
      <c r="F13" s="125" t="s">
        <v>19</v>
      </c>
      <c r="G13" s="444"/>
      <c r="H13" s="31" t="s">
        <v>75</v>
      </c>
      <c r="I13" s="433"/>
      <c r="J13" s="435"/>
      <c r="K13" s="418"/>
      <c r="L13" s="418"/>
      <c r="M13" s="418"/>
      <c r="N13" s="418"/>
      <c r="O13" s="458"/>
      <c r="P13" s="438"/>
      <c r="Q13" s="430"/>
    </row>
    <row r="14" spans="1:17" ht="13.5" thickBot="1">
      <c r="A14" s="32">
        <v>1</v>
      </c>
      <c r="B14" s="33">
        <v>2</v>
      </c>
      <c r="C14" s="35">
        <v>3</v>
      </c>
      <c r="D14" s="36">
        <v>4</v>
      </c>
      <c r="E14" s="124">
        <v>5</v>
      </c>
      <c r="F14" s="34">
        <v>6</v>
      </c>
      <c r="G14" s="96">
        <v>7</v>
      </c>
      <c r="H14" s="124">
        <v>8</v>
      </c>
      <c r="I14" s="140">
        <v>9</v>
      </c>
      <c r="J14" s="124">
        <v>10</v>
      </c>
      <c r="K14" s="33">
        <v>11</v>
      </c>
      <c r="L14" s="33">
        <v>12</v>
      </c>
      <c r="M14" s="33">
        <v>13</v>
      </c>
      <c r="N14" s="33">
        <v>14</v>
      </c>
      <c r="O14" s="106">
        <v>15</v>
      </c>
      <c r="P14" s="118">
        <v>16</v>
      </c>
      <c r="Q14" s="36">
        <v>17</v>
      </c>
    </row>
    <row r="15" spans="1:17" ht="12.75" hidden="1">
      <c r="A15" s="8" t="s">
        <v>38</v>
      </c>
      <c r="B15" s="9"/>
      <c r="C15" s="11"/>
      <c r="D15" s="38"/>
      <c r="E15" s="37"/>
      <c r="F15" s="30"/>
      <c r="G15" s="97"/>
      <c r="H15" s="37"/>
      <c r="I15" s="101"/>
      <c r="J15" s="8"/>
      <c r="K15" s="9"/>
      <c r="L15" s="9"/>
      <c r="M15" s="9"/>
      <c r="N15" s="9"/>
      <c r="O15" s="107"/>
      <c r="P15" s="119"/>
      <c r="Q15" s="39"/>
    </row>
    <row r="16" spans="1:17" ht="12.75" hidden="1">
      <c r="A16" s="13" t="s">
        <v>39</v>
      </c>
      <c r="B16" s="14">
        <f>Лист1!B9</f>
        <v>1005.5</v>
      </c>
      <c r="C16" s="131">
        <f>Лист1!C9</f>
        <v>8697.575</v>
      </c>
      <c r="D16" s="135">
        <f>Лист1!D9</f>
        <v>2095.071866</v>
      </c>
      <c r="E16" s="40">
        <f>Лист1!S9</f>
        <v>6185.0199999999995</v>
      </c>
      <c r="F16" s="79">
        <f>Лист1!T9</f>
        <v>1410.53</v>
      </c>
      <c r="G16" s="98">
        <f>Лист1!AF9</f>
        <v>0</v>
      </c>
      <c r="H16" s="40">
        <f>Лист1!AB9</f>
        <v>0</v>
      </c>
      <c r="I16" s="113">
        <f>Лист1!AC9</f>
        <v>3505.601866</v>
      </c>
      <c r="J16" s="41">
        <f>Лист1!AG9</f>
        <v>603.3</v>
      </c>
      <c r="K16" s="15">
        <f>Лист1!AI9+Лист1!AJ9</f>
        <v>1010.652182</v>
      </c>
      <c r="L16" s="15">
        <f>Лист1!AH9+Лист1!AK9+Лист1!AL9+Лист1!AM9+Лист1!AN9+Лист1!AO9+Лист1!AP9+Лист1!AQ9+Лист1!AR9</f>
        <v>3548.8047620499997</v>
      </c>
      <c r="M16" s="16">
        <f>Лист1!AS9+Лист1!AT9+Лист1!AU9</f>
        <v>2766.51</v>
      </c>
      <c r="N16" s="16">
        <f>Лист1!AX9</f>
        <v>0</v>
      </c>
      <c r="O16" s="110">
        <f>Лист1!BB9</f>
        <v>7929.266944049999</v>
      </c>
      <c r="P16" s="120">
        <f>Лист1!BE9</f>
        <v>-4423.6650780499995</v>
      </c>
      <c r="Q16" s="42">
        <f>Лист1!BF9</f>
        <v>-6185.0199999999995</v>
      </c>
    </row>
    <row r="17" spans="1:17" ht="12.75" hidden="1">
      <c r="A17" s="13" t="s">
        <v>40</v>
      </c>
      <c r="B17" s="14">
        <f>Лист1!B10</f>
        <v>1005.5</v>
      </c>
      <c r="C17" s="131">
        <f>Лист1!C10</f>
        <v>8697.575</v>
      </c>
      <c r="D17" s="135">
        <f>Лист1!D10</f>
        <v>2095.071866</v>
      </c>
      <c r="E17" s="40">
        <f>Лист1!S10</f>
        <v>6184.7300000000005</v>
      </c>
      <c r="F17" s="79">
        <f>Лист1!T10</f>
        <v>1410.53</v>
      </c>
      <c r="G17" s="98">
        <f>Лист1!AF10</f>
        <v>0</v>
      </c>
      <c r="H17" s="40">
        <f>Лист1!AB10</f>
        <v>3935.6400000000003</v>
      </c>
      <c r="I17" s="113">
        <f>Лист1!AC10</f>
        <v>7441.241866</v>
      </c>
      <c r="J17" s="41">
        <f>Лист1!AG10</f>
        <v>603.3</v>
      </c>
      <c r="K17" s="15">
        <f>Лист1!AI10+Лист1!AJ10</f>
        <v>1010.652182</v>
      </c>
      <c r="L17" s="15">
        <f>Лист1!AH10+Лист1!AK10+Лист1!AL10+Лист1!AM10+Лист1!AN10+Лист1!AO10+Лист1!AP10+Лист1!AQ10+Лист1!AR10</f>
        <v>3538.0941760499995</v>
      </c>
      <c r="M17" s="16">
        <f>Лист1!AS10+Лист1!AT10+Лист1!AU10</f>
        <v>1663.8</v>
      </c>
      <c r="N17" s="16">
        <f>Лист1!AX10</f>
        <v>0</v>
      </c>
      <c r="O17" s="110">
        <f>Лист1!BB10</f>
        <v>6815.84635805</v>
      </c>
      <c r="P17" s="120">
        <f>Лист1!BE10</f>
        <v>625.3955079500001</v>
      </c>
      <c r="Q17" s="42">
        <f>Лист1!BF10</f>
        <v>-2249.09</v>
      </c>
    </row>
    <row r="18" spans="1:19" ht="13.5" hidden="1" thickBot="1">
      <c r="A18" s="43" t="s">
        <v>41</v>
      </c>
      <c r="B18" s="64">
        <f>Лист1!B11</f>
        <v>1005.5</v>
      </c>
      <c r="C18" s="132">
        <f>Лист1!C11</f>
        <v>8697.575</v>
      </c>
      <c r="D18" s="136">
        <f>Лист1!D11</f>
        <v>2090.4621512500003</v>
      </c>
      <c r="E18" s="66">
        <f>Лист1!S11</f>
        <v>6185.0199999999995</v>
      </c>
      <c r="F18" s="126">
        <f>Лист1!T11</f>
        <v>1410.53</v>
      </c>
      <c r="G18" s="98">
        <f>Лист1!AF11</f>
        <v>0</v>
      </c>
      <c r="H18" s="66">
        <f>Лист1!AB11</f>
        <v>7492.59</v>
      </c>
      <c r="I18" s="114">
        <f>Лист1!AC11</f>
        <v>10993.58215125</v>
      </c>
      <c r="J18" s="41">
        <f>Лист1!AG11</f>
        <v>603.3</v>
      </c>
      <c r="K18" s="65">
        <f>Лист1!AI11+Лист1!AJ11</f>
        <v>1007.7096868</v>
      </c>
      <c r="L18" s="15">
        <f>Лист1!AH11+Лист1!AK11+Лист1!AL11+Лист1!AM11+Лист1!AN11+Лист1!AO11+Лист1!AP11+Лист1!AQ11+Лист1!AR11</f>
        <v>3532.469037015</v>
      </c>
      <c r="M18" s="16">
        <f>Лист1!AS11+Лист1!AT11+Лист1!AU11</f>
        <v>1215.4</v>
      </c>
      <c r="N18" s="16">
        <f>Лист1!AX11</f>
        <v>0</v>
      </c>
      <c r="O18" s="110">
        <f>Лист1!BB11</f>
        <v>6358.878723815</v>
      </c>
      <c r="P18" s="120">
        <f>Лист1!BE11</f>
        <v>4634.703427435001</v>
      </c>
      <c r="Q18" s="42">
        <f>Лист1!BF11</f>
        <v>1307.5700000000006</v>
      </c>
      <c r="R18" s="1"/>
      <c r="S18" s="1"/>
    </row>
    <row r="19" spans="1:19" s="22" customFormat="1" ht="13.5" hidden="1" thickBot="1">
      <c r="A19" s="44" t="s">
        <v>3</v>
      </c>
      <c r="B19" s="70"/>
      <c r="C19" s="72">
        <f>SUM(C16:C18)</f>
        <v>26092.725000000002</v>
      </c>
      <c r="D19" s="123">
        <f aca="true" t="shared" si="0" ref="D19:Q19">SUM(D16:D18)</f>
        <v>6280.60588325</v>
      </c>
      <c r="E19" s="76">
        <f t="shared" si="0"/>
        <v>18554.77</v>
      </c>
      <c r="F19" s="71">
        <f t="shared" si="0"/>
        <v>4231.59</v>
      </c>
      <c r="G19" s="99">
        <f>SUM(G16:G18)</f>
        <v>0</v>
      </c>
      <c r="H19" s="76">
        <f t="shared" si="0"/>
        <v>11428.23</v>
      </c>
      <c r="I19" s="102">
        <f t="shared" si="0"/>
        <v>21940.42588325</v>
      </c>
      <c r="J19" s="77">
        <f t="shared" si="0"/>
        <v>1809.8999999999999</v>
      </c>
      <c r="K19" s="71">
        <f t="shared" si="0"/>
        <v>3029.0140508</v>
      </c>
      <c r="L19" s="71">
        <f t="shared" si="0"/>
        <v>10619.367975115</v>
      </c>
      <c r="M19" s="71">
        <f t="shared" si="0"/>
        <v>5645.710000000001</v>
      </c>
      <c r="N19" s="71">
        <f t="shared" si="0"/>
        <v>0</v>
      </c>
      <c r="O19" s="116">
        <f t="shared" si="0"/>
        <v>21103.992025915</v>
      </c>
      <c r="P19" s="76">
        <f t="shared" si="0"/>
        <v>836.4338573350014</v>
      </c>
      <c r="Q19" s="123">
        <f t="shared" si="0"/>
        <v>-7126.54</v>
      </c>
      <c r="R19" s="51"/>
      <c r="S19" s="52"/>
    </row>
    <row r="20" spans="1:19" ht="12.75" hidden="1">
      <c r="A20" s="8" t="s">
        <v>42</v>
      </c>
      <c r="B20" s="67"/>
      <c r="C20" s="133"/>
      <c r="D20" s="137"/>
      <c r="E20" s="54"/>
      <c r="F20" s="127"/>
      <c r="G20" s="100"/>
      <c r="H20" s="54"/>
      <c r="I20" s="115"/>
      <c r="J20" s="55"/>
      <c r="K20" s="53"/>
      <c r="L20" s="53"/>
      <c r="M20" s="68"/>
      <c r="N20" s="68"/>
      <c r="O20" s="111"/>
      <c r="P20" s="121"/>
      <c r="Q20" s="69"/>
      <c r="R20" s="1"/>
      <c r="S20" s="1"/>
    </row>
    <row r="21" spans="1:19" ht="12.75" hidden="1">
      <c r="A21" s="13" t="s">
        <v>43</v>
      </c>
      <c r="B21" s="14">
        <f>Лист1!B14</f>
        <v>1005.5</v>
      </c>
      <c r="C21" s="131">
        <f>Лист1!C14</f>
        <v>8697.575</v>
      </c>
      <c r="D21" s="135">
        <f>Лист1!D14</f>
        <v>1087.196875</v>
      </c>
      <c r="E21" s="40">
        <f>Лист1!S14</f>
        <v>6166.03</v>
      </c>
      <c r="F21" s="79">
        <f>Лист1!T14</f>
        <v>1423.02</v>
      </c>
      <c r="G21" s="98">
        <f>Лист1!AF14</f>
        <v>7375.44486</v>
      </c>
      <c r="H21" s="40">
        <f>Лист1!AB14</f>
        <v>4507.82</v>
      </c>
      <c r="I21" s="113">
        <f>Лист1!AC14</f>
        <v>7018.036875</v>
      </c>
      <c r="J21" s="41">
        <f>Лист1!AG14</f>
        <v>542.97</v>
      </c>
      <c r="K21" s="15">
        <f>Лист1!AI14+Лист1!AJ14</f>
        <v>874.3602054999999</v>
      </c>
      <c r="L21" s="15">
        <f>Лист1!AH14+Лист1!AK14+Лист1!AL14+Лист1!AM14+Лист1!AN14+Лист1!AO14+Лист1!AP14+Лист1!AQ9+Лист1!AR9</f>
        <v>3002.88510769</v>
      </c>
      <c r="M21" s="16">
        <f>Лист1!AS14+Лист1!AT14+Лист1!AU14</f>
        <v>6006.21</v>
      </c>
      <c r="N21" s="16">
        <f>Лист1!AX14</f>
        <v>0</v>
      </c>
      <c r="O21" s="110">
        <f>Лист1!BB14</f>
        <v>10426.425313189999</v>
      </c>
      <c r="P21" s="120">
        <f>Лист1!BE14</f>
        <v>1315.5487404699998</v>
      </c>
      <c r="Q21" s="42">
        <f>Лист1!BF14</f>
        <v>-1658.21</v>
      </c>
      <c r="R21" s="1"/>
      <c r="S21" s="1"/>
    </row>
    <row r="22" spans="1:19" ht="12.75" hidden="1">
      <c r="A22" s="13" t="s">
        <v>44</v>
      </c>
      <c r="B22" s="14">
        <f>Лист1!B15</f>
        <v>1005.5</v>
      </c>
      <c r="C22" s="131">
        <f>Лист1!C15</f>
        <v>8697.575</v>
      </c>
      <c r="D22" s="135">
        <f>Лист1!D15</f>
        <v>1087.196875</v>
      </c>
      <c r="E22" s="40">
        <f>Лист1!S15</f>
        <v>5794.160000000001</v>
      </c>
      <c r="F22" s="79">
        <f>Лист1!T15</f>
        <v>1671.0300000000002</v>
      </c>
      <c r="G22" s="98">
        <f>Лист1!AF15</f>
        <v>7375.44486</v>
      </c>
      <c r="H22" s="40">
        <f>Лист1!AB15</f>
        <v>7758.87</v>
      </c>
      <c r="I22" s="113">
        <f>Лист1!AC15</f>
        <v>10517.096875</v>
      </c>
      <c r="J22" s="41">
        <f>Лист1!AG15</f>
        <v>542.97</v>
      </c>
      <c r="K22" s="15">
        <f>Лист1!AI15+Лист1!AJ15</f>
        <v>874.3838054999999</v>
      </c>
      <c r="L22" s="15">
        <f>Лист1!AH15+Лист1!AK15+Лист1!AL15+Лист1!AM15+Лист1!AN15+Лист1!AO15+Лист1!AP15+Лист1!AQ10+Лист1!AR10</f>
        <v>3007.2201198399994</v>
      </c>
      <c r="M22" s="16">
        <f>Лист1!AS15+Лист1!AT15+Лист1!AU15</f>
        <v>3905.8</v>
      </c>
      <c r="N22" s="16">
        <f>Лист1!AX15</f>
        <v>0</v>
      </c>
      <c r="O22" s="110">
        <f>Лист1!BB15</f>
        <v>8330.37392534</v>
      </c>
      <c r="P22" s="120">
        <f>Лист1!BE15</f>
        <v>6906.674306619999</v>
      </c>
      <c r="Q22" s="42">
        <f>Лист1!BF15</f>
        <v>1964.7099999999991</v>
      </c>
      <c r="R22" s="1"/>
      <c r="S22" s="1"/>
    </row>
    <row r="23" spans="1:19" ht="12.75" hidden="1">
      <c r="A23" s="13" t="s">
        <v>45</v>
      </c>
      <c r="B23" s="14">
        <f>Лист1!B16</f>
        <v>1005.5</v>
      </c>
      <c r="C23" s="131">
        <f>Лист1!C16</f>
        <v>8697.575</v>
      </c>
      <c r="D23" s="135">
        <f>Лист1!D16</f>
        <v>1087.196875</v>
      </c>
      <c r="E23" s="40">
        <f>Лист1!S16</f>
        <v>5839.56</v>
      </c>
      <c r="F23" s="79">
        <f>Лист1!T16</f>
        <v>1622.98</v>
      </c>
      <c r="G23" s="98">
        <f>Лист1!AF16</f>
        <v>7375.44486</v>
      </c>
      <c r="H23" s="40">
        <f>Лист1!AB16</f>
        <v>5318.679999999999</v>
      </c>
      <c r="I23" s="113">
        <f>Лист1!AC16</f>
        <v>8028.8568749999995</v>
      </c>
      <c r="J23" s="41">
        <f>Лист1!AG16</f>
        <v>542.97</v>
      </c>
      <c r="K23" s="15">
        <f>Лист1!AI16+Лист1!AJ16</f>
        <v>874.8880637499999</v>
      </c>
      <c r="L23" s="15">
        <f>Лист1!AH16+Лист1!AK16+Лист1!AL16+Лист1!AM16+Лист1!AN16+Лист1!AO16+Лист1!AP16+Лист1!AQ11+Лист1!AR11</f>
        <v>2907.1890583899994</v>
      </c>
      <c r="M23" s="16">
        <f>Лист1!AS16+Лист1!AT16+Лист1!AU16</f>
        <v>6049.86</v>
      </c>
      <c r="N23" s="16">
        <f>Лист1!AX16</f>
        <v>0</v>
      </c>
      <c r="O23" s="110">
        <f>Лист1!BB16</f>
        <v>10374.90712214</v>
      </c>
      <c r="P23" s="120">
        <f>Лист1!BE16</f>
        <v>2429.5987812899984</v>
      </c>
      <c r="Q23" s="42">
        <f>Лист1!BF16</f>
        <v>-520.880000000001</v>
      </c>
      <c r="R23" s="1"/>
      <c r="S23" s="1"/>
    </row>
    <row r="24" spans="1:19" ht="12.75" hidden="1">
      <c r="A24" s="13" t="s">
        <v>46</v>
      </c>
      <c r="B24" s="14">
        <f>Лист1!B17</f>
        <v>1005.5</v>
      </c>
      <c r="C24" s="131">
        <f>Лист1!C17</f>
        <v>8697.575</v>
      </c>
      <c r="D24" s="135">
        <f>Лист1!D17</f>
        <v>1087.196875</v>
      </c>
      <c r="E24" s="40">
        <f>Лист1!S17</f>
        <v>6049.03</v>
      </c>
      <c r="F24" s="79">
        <f>Лист1!T17</f>
        <v>1431.99</v>
      </c>
      <c r="G24" s="98">
        <f>Лист1!AF17</f>
        <v>6236.63866</v>
      </c>
      <c r="H24" s="40">
        <f>Лист1!AB17</f>
        <v>6294.42</v>
      </c>
      <c r="I24" s="113">
        <f>Лист1!AC17</f>
        <v>8813.606875000001</v>
      </c>
      <c r="J24" s="41">
        <f>Лист1!AG17</f>
        <v>542.97</v>
      </c>
      <c r="K24" s="15">
        <f>Лист1!AI17+Лист1!AJ17</f>
        <v>901.0086410999999</v>
      </c>
      <c r="L24" s="15">
        <f>Лист1!AH17+Лист1!AK17+Лист1!AL17+Лист1!AM17+Лист1!AN17+Лист1!AO17+Лист1!AP17+Лист1!AQ12+Лист1!AR12</f>
        <v>2948.3807534799994</v>
      </c>
      <c r="M24" s="16">
        <f>Лист1!AS17+Лист1!AT17+Лист1!AU17</f>
        <v>365.8</v>
      </c>
      <c r="N24" s="16">
        <f>Лист1!AX17</f>
        <v>954.53</v>
      </c>
      <c r="O24" s="110">
        <f>Лист1!BB17</f>
        <v>5712.68939458</v>
      </c>
      <c r="P24" s="120">
        <f>Лист1!BE17</f>
        <v>6663.587181500001</v>
      </c>
      <c r="Q24" s="42">
        <f>Лист1!BF17</f>
        <v>245.39000000000033</v>
      </c>
      <c r="R24" s="1"/>
      <c r="S24" s="1"/>
    </row>
    <row r="25" spans="1:19" ht="12.75" hidden="1">
      <c r="A25" s="13" t="s">
        <v>47</v>
      </c>
      <c r="B25" s="14">
        <f>Лист1!B18</f>
        <v>1005.5</v>
      </c>
      <c r="C25" s="131">
        <f>Лист1!C18</f>
        <v>8697.575</v>
      </c>
      <c r="D25" s="135">
        <f>Лист1!D18</f>
        <v>593.5150000000008</v>
      </c>
      <c r="E25" s="40">
        <f>Лист1!S18</f>
        <v>6509.21</v>
      </c>
      <c r="F25" s="79">
        <f>Лист1!T18</f>
        <v>1594.8500000000001</v>
      </c>
      <c r="G25" s="98">
        <f>Лист1!AF18</f>
        <v>6236.63866</v>
      </c>
      <c r="H25" s="40">
        <f>Лист1!AB18</f>
        <v>4582.35</v>
      </c>
      <c r="I25" s="113">
        <f>Лист1!AC18</f>
        <v>6770.715000000001</v>
      </c>
      <c r="J25" s="41">
        <f>Лист1!AG18</f>
        <v>603.3</v>
      </c>
      <c r="K25" s="15">
        <f>Лист1!AI18+Лист1!AJ18</f>
        <v>1008.5165</v>
      </c>
      <c r="L25" s="15">
        <f>Лист1!AH18+Лист1!AK18+Лист1!AL18+Лист1!AM18+Лист1!AN18+Лист1!AO18+Лист1!AP18+Лист1!AQ13+Лист1!AR13</f>
        <v>3454.0935999999997</v>
      </c>
      <c r="M25" s="16">
        <f>Лист1!AS18+Лист1!AT18+Лист1!AU18</f>
        <v>392.1612</v>
      </c>
      <c r="N25" s="16">
        <f>Лист1!AX18</f>
        <v>156.41136000000003</v>
      </c>
      <c r="O25" s="110">
        <f>Лист1!BB18</f>
        <v>6864.480259999999</v>
      </c>
      <c r="P25" s="120">
        <f>Лист1!BE18</f>
        <v>3157.916976378001</v>
      </c>
      <c r="Q25" s="42">
        <f>Лист1!BF18</f>
        <v>-1926.8599999999997</v>
      </c>
      <c r="R25" s="1"/>
      <c r="S25" s="1"/>
    </row>
    <row r="26" spans="1:19" ht="12.75" hidden="1">
      <c r="A26" s="13" t="s">
        <v>48</v>
      </c>
      <c r="B26" s="14">
        <f>Лист1!B19</f>
        <v>1005.5</v>
      </c>
      <c r="C26" s="131">
        <f>Лист1!C19</f>
        <v>8697.575</v>
      </c>
      <c r="D26" s="135">
        <f>Лист1!D19</f>
        <v>590.0550000000015</v>
      </c>
      <c r="E26" s="40">
        <f>Лист1!S19</f>
        <v>6528.51</v>
      </c>
      <c r="F26" s="79">
        <f>Лист1!T19</f>
        <v>1579.01</v>
      </c>
      <c r="G26" s="98">
        <f>Лист1!AF19</f>
        <v>9653.05726</v>
      </c>
      <c r="H26" s="40">
        <f>Лист1!AB19</f>
        <v>5582.83</v>
      </c>
      <c r="I26" s="113">
        <f>Лист1!AC19</f>
        <v>7751.895000000001</v>
      </c>
      <c r="J26" s="41">
        <f>Лист1!AG19</f>
        <v>603.3</v>
      </c>
      <c r="K26" s="15">
        <f>Лист1!AI19+Лист1!AJ19</f>
        <v>1008.5165</v>
      </c>
      <c r="L26" s="15">
        <f>Лист1!AH19+Лист1!AK19+Лист1!AL19+Лист1!AM19+Лист1!AN19+Лист1!AO19+Лист1!AP19+Лист1!AQ14+Лист1!AR14</f>
        <v>3454.184095</v>
      </c>
      <c r="M26" s="16">
        <f>Лист1!AS19+Лист1!AT19+Лист1!AU19</f>
        <v>0</v>
      </c>
      <c r="N26" s="16">
        <f>Лист1!AX19</f>
        <v>138.56976</v>
      </c>
      <c r="O26" s="110">
        <f>Лист1!BB19</f>
        <v>5204.570355</v>
      </c>
      <c r="P26" s="120">
        <f>Лист1!BE19</f>
        <v>9374.543091020001</v>
      </c>
      <c r="Q26" s="42">
        <f>Лист1!BF19</f>
        <v>-945.6800000000003</v>
      </c>
      <c r="R26" s="1"/>
      <c r="S26" s="1"/>
    </row>
    <row r="27" spans="1:19" ht="12.75" hidden="1">
      <c r="A27" s="13" t="s">
        <v>49</v>
      </c>
      <c r="B27" s="14">
        <f>Лист1!B20</f>
        <v>1005.5</v>
      </c>
      <c r="C27" s="131">
        <f>Лист1!C20</f>
        <v>8697.575</v>
      </c>
      <c r="D27" s="135">
        <f>Лист1!D20</f>
        <v>590.0550000000015</v>
      </c>
      <c r="E27" s="40">
        <f>Лист1!S20</f>
        <v>6528.51</v>
      </c>
      <c r="F27" s="79">
        <f>Лист1!T20</f>
        <v>1579.01</v>
      </c>
      <c r="G27" s="98">
        <f>Лист1!AF20</f>
        <v>7375.44486</v>
      </c>
      <c r="H27" s="40">
        <f>Лист1!AB20</f>
        <v>9384.220000000001</v>
      </c>
      <c r="I27" s="113">
        <f>Лист1!AC20</f>
        <v>11553.285000000003</v>
      </c>
      <c r="J27" s="41">
        <f>Лист1!AG20</f>
        <v>603.3</v>
      </c>
      <c r="K27" s="15">
        <f>Лист1!AI20+Лист1!AJ20</f>
        <v>994.09471405</v>
      </c>
      <c r="L27" s="15">
        <f>Лист1!AH20+Лист1!AK20+Лист1!AL20+Лист1!AM20+Лист1!AN20+Лист1!AO20+Лист1!AP20+Лист1!AQ15+Лист1!AR15</f>
        <v>3420.0439512999997</v>
      </c>
      <c r="M27" s="16">
        <f>Лист1!AS20+Лист1!AT20+Лист1!AU20</f>
        <v>643.1</v>
      </c>
      <c r="N27" s="16">
        <f>Лист1!AX20</f>
        <v>147.49056000000002</v>
      </c>
      <c r="O27" s="110">
        <f>Лист1!BB20</f>
        <v>5808.02922535</v>
      </c>
      <c r="P27" s="120">
        <f>Лист1!BE20</f>
        <v>10173.518670630001</v>
      </c>
      <c r="Q27" s="42">
        <f>Лист1!BF20</f>
        <v>2855.710000000001</v>
      </c>
      <c r="R27" s="1"/>
      <c r="S27" s="1"/>
    </row>
    <row r="28" spans="1:19" ht="12.75" hidden="1">
      <c r="A28" s="13" t="s">
        <v>50</v>
      </c>
      <c r="B28" s="14">
        <f>Лист1!B21</f>
        <v>1005.5</v>
      </c>
      <c r="C28" s="131">
        <f>Лист1!C21</f>
        <v>8697.575</v>
      </c>
      <c r="D28" s="135">
        <f>Лист1!D21</f>
        <v>590.0550000000015</v>
      </c>
      <c r="E28" s="40">
        <f>Лист1!S21</f>
        <v>6528.51</v>
      </c>
      <c r="F28" s="79">
        <f>Лист1!T21</f>
        <v>1579.01</v>
      </c>
      <c r="G28" s="98">
        <f>Лист1!AF21</f>
        <v>7375.44486</v>
      </c>
      <c r="H28" s="40">
        <f>Лист1!AB21</f>
        <v>4345.91</v>
      </c>
      <c r="I28" s="113">
        <f>Лист1!AC21</f>
        <v>6514.975000000001</v>
      </c>
      <c r="J28" s="41">
        <f>Лист1!AG21</f>
        <v>603.3</v>
      </c>
      <c r="K28" s="15">
        <f>Лист1!AI21+Лист1!AJ21</f>
        <v>993.65096679</v>
      </c>
      <c r="L28" s="15">
        <f>Лист1!AH21+Лист1!AK21+Лист1!AL21+Лист1!AM21+Лист1!AN21+Лист1!AO21+Лист1!AP21+Лист1!AQ16+Лист1!AR16</f>
        <v>3419.321399</v>
      </c>
      <c r="M28" s="16">
        <f>Лист1!AS21+Лист1!AT21+Лист1!AU21</f>
        <v>0</v>
      </c>
      <c r="N28" s="16">
        <f>Лист1!AX21</f>
        <v>174.25295999999997</v>
      </c>
      <c r="O28" s="110">
        <f>Лист1!BB21</f>
        <v>5190.525325789999</v>
      </c>
      <c r="P28" s="120">
        <f>Лист1!BE21</f>
        <v>5754.051672304001</v>
      </c>
      <c r="Q28" s="42">
        <f>Лист1!BF21</f>
        <v>-2182.6000000000004</v>
      </c>
      <c r="R28" s="1"/>
      <c r="S28" s="1"/>
    </row>
    <row r="29" spans="1:19" ht="12.75" hidden="1">
      <c r="A29" s="13" t="s">
        <v>51</v>
      </c>
      <c r="B29" s="14">
        <f>Лист1!B22</f>
        <v>1005.5</v>
      </c>
      <c r="C29" s="131">
        <f>Лист1!C22</f>
        <v>8697.575</v>
      </c>
      <c r="D29" s="135">
        <f>Лист1!D22</f>
        <v>594.1150000000009</v>
      </c>
      <c r="E29" s="40">
        <f>Лист1!S22</f>
        <v>6505.84</v>
      </c>
      <c r="F29" s="79">
        <f>Лист1!T22</f>
        <v>1597.62</v>
      </c>
      <c r="G29" s="98">
        <f>Лист1!AF22</f>
        <v>7375.44486</v>
      </c>
      <c r="H29" s="40">
        <f>Лист1!AB22</f>
        <v>6965.53</v>
      </c>
      <c r="I29" s="113">
        <f>Лист1!AC22</f>
        <v>9157.265</v>
      </c>
      <c r="J29" s="41">
        <f>Лист1!AG22</f>
        <v>603.3</v>
      </c>
      <c r="K29" s="15">
        <f>Лист1!AI22+Лист1!AJ22</f>
        <v>993.479518985</v>
      </c>
      <c r="L29" s="15">
        <f>Лист1!AH22+Лист1!AK22+Лист1!AL22+Лист1!AM22+Лист1!AN22+Лист1!AO22+Лист1!AP22+Лист1!AQ17+Лист1!AR17</f>
        <v>3418.8720953469997</v>
      </c>
      <c r="M29" s="16">
        <f>Лист1!AS22+Лист1!AT22+Лист1!AU22</f>
        <v>0</v>
      </c>
      <c r="N29" s="16">
        <f>Лист1!AX22</f>
        <v>207.55728000000005</v>
      </c>
      <c r="O29" s="110">
        <f>Лист1!BB22</f>
        <v>5223.208894332</v>
      </c>
      <c r="P29" s="120">
        <f>Лист1!BE22</f>
        <v>8364.103644940598</v>
      </c>
      <c r="Q29" s="42">
        <f>Лист1!BF22</f>
        <v>459.6899999999996</v>
      </c>
      <c r="R29" s="1"/>
      <c r="S29" s="1"/>
    </row>
    <row r="30" spans="1:19" ht="12.75" hidden="1">
      <c r="A30" s="13" t="s">
        <v>39</v>
      </c>
      <c r="B30" s="14">
        <f>Лист1!B23</f>
        <v>1005.5</v>
      </c>
      <c r="C30" s="131">
        <f>Лист1!C23</f>
        <v>8697.575</v>
      </c>
      <c r="D30" s="135">
        <f>Лист1!D23</f>
        <v>594.1150000000009</v>
      </c>
      <c r="E30" s="40">
        <f>Лист1!S23</f>
        <v>6505.84</v>
      </c>
      <c r="F30" s="79">
        <f>Лист1!T23</f>
        <v>1597.62</v>
      </c>
      <c r="G30" s="98">
        <f>Лист1!AF23</f>
        <v>7375.44486</v>
      </c>
      <c r="H30" s="40">
        <f>Лист1!AB23</f>
        <v>7081.789999999999</v>
      </c>
      <c r="I30" s="113">
        <f>Лист1!AC23</f>
        <v>9273.525000000001</v>
      </c>
      <c r="J30" s="41">
        <f>Лист1!AG23</f>
        <v>603.3</v>
      </c>
      <c r="K30" s="15">
        <f>Лист1!AI23+Лист1!AJ23</f>
        <v>1004.95703</v>
      </c>
      <c r="L30" s="15">
        <f>Лист1!AH23+Лист1!AK23+Лист1!AL23+Лист1!AM23+Лист1!AN23+Лист1!AO23+Лист1!AP23+Лист1!AQ18+Лист1!AR18</f>
        <v>4698.2593</v>
      </c>
      <c r="M30" s="16">
        <f>Лист1!AS23+Лист1!AT23+Лист1!AU23</f>
        <v>413</v>
      </c>
      <c r="N30" s="16">
        <f>Лист1!AX23</f>
        <v>252.756</v>
      </c>
      <c r="O30" s="110">
        <f>Лист1!BB23</f>
        <v>5722.274730000001</v>
      </c>
      <c r="P30" s="120">
        <f>Лист1!BE23</f>
        <v>7958.2728879999995</v>
      </c>
      <c r="Q30" s="42">
        <f>Лист1!BF23</f>
        <v>575.9499999999989</v>
      </c>
      <c r="R30" s="1"/>
      <c r="S30" s="1"/>
    </row>
    <row r="31" spans="1:19" ht="12.75" hidden="1">
      <c r="A31" s="13" t="s">
        <v>40</v>
      </c>
      <c r="B31" s="14">
        <f>Лист1!B24</f>
        <v>1005.5</v>
      </c>
      <c r="C31" s="131">
        <f>Лист1!C24</f>
        <v>8697.575</v>
      </c>
      <c r="D31" s="135">
        <f>Лист1!D24</f>
        <v>594.1150000000009</v>
      </c>
      <c r="E31" s="40">
        <f>Лист1!S24</f>
        <v>6505.84</v>
      </c>
      <c r="F31" s="79">
        <f>Лист1!T24</f>
        <v>1597.62</v>
      </c>
      <c r="G31" s="98">
        <f>Лист1!AF24</f>
        <v>7375.44486</v>
      </c>
      <c r="H31" s="40">
        <f>Лист1!AB24</f>
        <v>8180.679999999999</v>
      </c>
      <c r="I31" s="113">
        <f>Лист1!AC24</f>
        <v>10372.415</v>
      </c>
      <c r="J31" s="41">
        <f>Лист1!AG24</f>
        <v>603.3</v>
      </c>
      <c r="K31" s="15">
        <f>Лист1!AI24+Лист1!AJ24</f>
        <v>1008.5165</v>
      </c>
      <c r="L31" s="15">
        <f>Лист1!AH24+Лист1!AK24+Лист1!AL24+Лист1!AM24+Лист1!AN24+Лист1!AO24+Лист1!AP24+Лист1!AQ19+Лист1!AR19</f>
        <v>3452.0826</v>
      </c>
      <c r="M31" s="16">
        <f>Лист1!AS24+Лист1!AT24+Лист1!AU24</f>
        <v>2028.42</v>
      </c>
      <c r="N31" s="16">
        <f>Лист1!AX24</f>
        <v>279.5184</v>
      </c>
      <c r="O31" s="110">
        <f>Лист1!BB24</f>
        <v>7371.8375</v>
      </c>
      <c r="P31" s="120">
        <f>Лист1!BE24</f>
        <v>7403.43162</v>
      </c>
      <c r="Q31" s="42">
        <f>Лист1!BF24</f>
        <v>1674.8399999999992</v>
      </c>
      <c r="R31" s="1"/>
      <c r="S31" s="1"/>
    </row>
    <row r="32" spans="1:19" ht="13.5" hidden="1" thickBot="1">
      <c r="A32" s="43" t="s">
        <v>41</v>
      </c>
      <c r="B32" s="14">
        <f>Лист1!B25</f>
        <v>1005.5</v>
      </c>
      <c r="C32" s="131">
        <f>Лист1!C25</f>
        <v>8697.575</v>
      </c>
      <c r="D32" s="135">
        <f>Лист1!D25</f>
        <v>594.1150000000009</v>
      </c>
      <c r="E32" s="40">
        <f>Лист1!S25</f>
        <v>6505.84</v>
      </c>
      <c r="F32" s="79">
        <f>Лист1!T25</f>
        <v>1597.62</v>
      </c>
      <c r="G32" s="98">
        <f>Лист1!AF25</f>
        <v>7375.44486</v>
      </c>
      <c r="H32" s="40">
        <f>Лист1!AB25</f>
        <v>6999.28</v>
      </c>
      <c r="I32" s="113">
        <f>Лист1!AC25</f>
        <v>9191.015</v>
      </c>
      <c r="J32" s="41">
        <f>Лист1!AG25</f>
        <v>603.3</v>
      </c>
      <c r="K32" s="15">
        <f>Лист1!AI25+Лист1!AJ25</f>
        <v>1008.5165</v>
      </c>
      <c r="L32" s="15">
        <f>Лист1!AH25+Лист1!AK25+Лист1!AL25+Лист1!AM25+Лист1!AN25+Лист1!AO25+Лист1!AP25+Лист1!AQ20+Лист1!AR20</f>
        <v>3452.0826</v>
      </c>
      <c r="M32" s="16">
        <f>Лист1!AS25+Лист1!AT25+Лист1!AU25</f>
        <v>37883.9</v>
      </c>
      <c r="N32" s="16">
        <f>Лист1!AX25</f>
        <v>305.68608</v>
      </c>
      <c r="O32" s="110">
        <f>Лист1!BB25</f>
        <v>43253.485179999996</v>
      </c>
      <c r="P32" s="120">
        <f>Лист1!BE25</f>
        <v>-29659.616059999997</v>
      </c>
      <c r="Q32" s="42">
        <f>Лист1!BF25</f>
        <v>493.4399999999996</v>
      </c>
      <c r="R32" s="1"/>
      <c r="S32" s="1"/>
    </row>
    <row r="33" spans="1:19" s="22" customFormat="1" ht="13.5" hidden="1" thickBot="1">
      <c r="A33" s="44" t="s">
        <v>3</v>
      </c>
      <c r="B33" s="45"/>
      <c r="C33" s="48">
        <f aca="true" t="shared" si="1" ref="C33:Q33">SUM(C21:C32)</f>
        <v>104370.89999999998</v>
      </c>
      <c r="D33" s="50">
        <f t="shared" si="1"/>
        <v>9088.927500000009</v>
      </c>
      <c r="E33" s="49">
        <f t="shared" si="1"/>
        <v>75966.87999999999</v>
      </c>
      <c r="F33" s="46">
        <f t="shared" si="1"/>
        <v>18871.379999999997</v>
      </c>
      <c r="G33" s="99">
        <f>SUM(G21:G32)</f>
        <v>88505.33832000001</v>
      </c>
      <c r="H33" s="49">
        <f t="shared" si="1"/>
        <v>77002.38</v>
      </c>
      <c r="I33" s="103">
        <f t="shared" si="1"/>
        <v>104962.68750000001</v>
      </c>
      <c r="J33" s="47">
        <f t="shared" si="1"/>
        <v>6998.280000000002</v>
      </c>
      <c r="K33" s="46">
        <f t="shared" si="1"/>
        <v>11544.888945674998</v>
      </c>
      <c r="L33" s="46">
        <f t="shared" si="1"/>
        <v>40634.614680047</v>
      </c>
      <c r="M33" s="46">
        <f t="shared" si="1"/>
        <v>57688.2512</v>
      </c>
      <c r="N33" s="46">
        <f t="shared" si="1"/>
        <v>2616.7724000000003</v>
      </c>
      <c r="O33" s="108">
        <f t="shared" si="1"/>
        <v>119482.80722572198</v>
      </c>
      <c r="P33" s="49">
        <f>SUM(P21:P32)</f>
        <v>39841.63151315259</v>
      </c>
      <c r="Q33" s="50">
        <f t="shared" si="1"/>
        <v>1035.4999999999964</v>
      </c>
      <c r="R33" s="52"/>
      <c r="S33" s="52"/>
    </row>
    <row r="34" spans="1:19" ht="13.5" hidden="1" thickBot="1">
      <c r="A34" s="91" t="s">
        <v>66</v>
      </c>
      <c r="B34" s="92"/>
      <c r="C34" s="93"/>
      <c r="D34" s="138"/>
      <c r="E34" s="92"/>
      <c r="F34" s="92"/>
      <c r="G34" s="129"/>
      <c r="H34" s="92"/>
      <c r="I34" s="104"/>
      <c r="J34" s="91"/>
      <c r="K34" s="92"/>
      <c r="L34" s="92"/>
      <c r="M34" s="92"/>
      <c r="N34" s="92"/>
      <c r="O34" s="117"/>
      <c r="P34" s="92"/>
      <c r="Q34" s="56"/>
      <c r="R34" s="1"/>
      <c r="S34" s="1"/>
    </row>
    <row r="35" spans="1:19" s="22" customFormat="1" ht="13.5" thickBot="1">
      <c r="A35" s="57" t="s">
        <v>52</v>
      </c>
      <c r="B35" s="58"/>
      <c r="C35" s="59">
        <f>C19+C33</f>
        <v>130463.62499999999</v>
      </c>
      <c r="D35" s="61">
        <f aca="true" t="shared" si="2" ref="D35:N35">D19+D33</f>
        <v>15369.53338325001</v>
      </c>
      <c r="E35" s="94">
        <f>E19+E33</f>
        <v>94521.65</v>
      </c>
      <c r="F35" s="128">
        <f>F19+F33</f>
        <v>23102.969999999998</v>
      </c>
      <c r="G35" s="130">
        <f>G19+G33</f>
        <v>88505.33832000001</v>
      </c>
      <c r="H35" s="94">
        <f>H19+H33</f>
        <v>88430.61</v>
      </c>
      <c r="I35" s="109">
        <f t="shared" si="2"/>
        <v>126903.11338325002</v>
      </c>
      <c r="J35" s="60">
        <f t="shared" si="2"/>
        <v>8808.180000000002</v>
      </c>
      <c r="K35" s="58">
        <f t="shared" si="2"/>
        <v>14573.902996474999</v>
      </c>
      <c r="L35" s="58">
        <f t="shared" si="2"/>
        <v>51253.982655162</v>
      </c>
      <c r="M35" s="58">
        <f t="shared" si="2"/>
        <v>63333.9612</v>
      </c>
      <c r="N35" s="58">
        <f t="shared" si="2"/>
        <v>2616.7724000000003</v>
      </c>
      <c r="O35" s="105">
        <f>O19+O33</f>
        <v>140586.79925163698</v>
      </c>
      <c r="P35" s="122">
        <f>P19+P33</f>
        <v>40678.065370487595</v>
      </c>
      <c r="Q35" s="61">
        <f>Q19+Q33</f>
        <v>-6091.040000000004</v>
      </c>
      <c r="R35" s="62"/>
      <c r="S35" s="52"/>
    </row>
    <row r="36" spans="1:19" ht="12.75">
      <c r="A36" s="8" t="s">
        <v>92</v>
      </c>
      <c r="B36" s="67"/>
      <c r="C36" s="133"/>
      <c r="D36" s="137"/>
      <c r="E36" s="54"/>
      <c r="F36" s="127"/>
      <c r="G36" s="100"/>
      <c r="H36" s="54"/>
      <c r="I36" s="115"/>
      <c r="J36" s="55"/>
      <c r="K36" s="53"/>
      <c r="L36" s="53"/>
      <c r="M36" s="68"/>
      <c r="N36" s="68"/>
      <c r="O36" s="111"/>
      <c r="P36" s="121"/>
      <c r="Q36" s="69"/>
      <c r="R36" s="1"/>
      <c r="S36" s="1"/>
    </row>
    <row r="37" spans="1:19" ht="12.75">
      <c r="A37" s="13" t="s">
        <v>43</v>
      </c>
      <c r="B37" s="14">
        <f>Лист1!B30</f>
        <v>1005.5</v>
      </c>
      <c r="C37" s="131">
        <f>Лист1!C30</f>
        <v>8697.575</v>
      </c>
      <c r="D37" s="135">
        <f>Лист1!D30</f>
        <v>594.1150000000009</v>
      </c>
      <c r="E37" s="40">
        <f>Лист1!S30</f>
        <v>6505.84</v>
      </c>
      <c r="F37" s="79">
        <f>Лист1!T30</f>
        <v>1597.62</v>
      </c>
      <c r="G37" s="98">
        <f>Лист1!AF30</f>
        <v>7375.45486</v>
      </c>
      <c r="H37" s="40">
        <f>Лист1!AB30</f>
        <v>5458.73</v>
      </c>
      <c r="I37" s="113">
        <f>Лист1!AC30</f>
        <v>7650.465</v>
      </c>
      <c r="J37" s="41">
        <f>Лист1!AG30</f>
        <v>603.3</v>
      </c>
      <c r="K37" s="15">
        <f>Лист1!AI30</f>
        <v>1005.5</v>
      </c>
      <c r="L37" s="15">
        <f>Лист1!AH30+Лист1!AK30+Лист1!AL30+Лист1!AM30+Лист1!AN30+Лист1!AO30+Лист1!AP30+Лист1!AQ30+Лист1!AR30</f>
        <v>3448.865</v>
      </c>
      <c r="M37" s="16">
        <f>Лист1!AS30+Лист1!AT30+Лист1!AU30</f>
        <v>0</v>
      </c>
      <c r="N37" s="16">
        <f>Лист1!AX30</f>
        <v>320.03999999999996</v>
      </c>
      <c r="O37" s="110">
        <f>Лист1!BB30</f>
        <v>5377.705</v>
      </c>
      <c r="P37" s="120">
        <f>Лист1!BE30</f>
        <v>6679.14386</v>
      </c>
      <c r="Q37" s="42">
        <f>Лист1!BF30</f>
        <v>-1047.1100000000006</v>
      </c>
      <c r="R37" s="1"/>
      <c r="S37" s="1"/>
    </row>
    <row r="38" spans="1:19" ht="12.75">
      <c r="A38" s="13" t="s">
        <v>44</v>
      </c>
      <c r="B38" s="14">
        <f>Лист1!B31</f>
        <v>1005.5</v>
      </c>
      <c r="C38" s="131">
        <f>Лист1!C31</f>
        <v>8697.575</v>
      </c>
      <c r="D38" s="135">
        <f>Лист1!D31</f>
        <v>594.1150000000009</v>
      </c>
      <c r="E38" s="40">
        <f>Лист1!S31</f>
        <v>6505.84</v>
      </c>
      <c r="F38" s="79">
        <f>Лист1!T31</f>
        <v>1597.62</v>
      </c>
      <c r="G38" s="98">
        <f>Лист1!AF31</f>
        <v>7375.45486</v>
      </c>
      <c r="H38" s="40">
        <f>Лист1!AB31</f>
        <v>6287.63</v>
      </c>
      <c r="I38" s="113">
        <f>Лист1!AC31</f>
        <v>8479.365000000002</v>
      </c>
      <c r="J38" s="41">
        <f>Лист1!AG31</f>
        <v>603.3</v>
      </c>
      <c r="K38" s="15">
        <f>Лист1!AI31+Лист1!AJ31</f>
        <v>1005.5</v>
      </c>
      <c r="L38" s="15">
        <f>Лист1!AH31+Лист1!AK31+Лист1!AL31+Лист1!AM31+Лист1!AN31+Лист1!AO31+Лист1!AP31+Лист1!AQ31+Лист1!AR31</f>
        <v>5426.344999999999</v>
      </c>
      <c r="M38" s="16">
        <f>Лист1!AS31+Лист1!AT31+Лист1!AU31</f>
        <v>2384</v>
      </c>
      <c r="N38" s="16">
        <f>Лист1!AX31</f>
        <v>256.40999999999997</v>
      </c>
      <c r="O38" s="110">
        <f>Лист1!BB31</f>
        <v>9675.555</v>
      </c>
      <c r="P38" s="120">
        <f>Лист1!BE31</f>
        <v>3210.193860000001</v>
      </c>
      <c r="Q38" s="42">
        <f>Лист1!BF31</f>
        <v>-218.21000000000004</v>
      </c>
      <c r="R38" s="1"/>
      <c r="S38" s="1"/>
    </row>
    <row r="39" spans="1:19" ht="12.75">
      <c r="A39" s="13" t="s">
        <v>45</v>
      </c>
      <c r="B39" s="14">
        <f>Лист1!B32</f>
        <v>1005.5</v>
      </c>
      <c r="C39" s="131">
        <f>Лист1!C32</f>
        <v>8697.575</v>
      </c>
      <c r="D39" s="135">
        <f>Лист1!D32</f>
        <v>594.1150000000009</v>
      </c>
      <c r="E39" s="40">
        <f>Лист1!S32</f>
        <v>6505.84</v>
      </c>
      <c r="F39" s="79">
        <f>Лист1!T32</f>
        <v>1597.62</v>
      </c>
      <c r="G39" s="98">
        <f>Лист1!AF32</f>
        <v>7375.45486</v>
      </c>
      <c r="H39" s="40">
        <f>Лист1!AB32</f>
        <v>7599.38</v>
      </c>
      <c r="I39" s="113">
        <f>Лист1!AC32</f>
        <v>9791.115000000002</v>
      </c>
      <c r="J39" s="41">
        <f>Лист1!AG32</f>
        <v>603.3</v>
      </c>
      <c r="K39" s="15">
        <f>Лист1!AI32+Лист1!AJ32</f>
        <v>1005.5</v>
      </c>
      <c r="L39" s="15">
        <f>Лист1!AH32+Лист1!AK32+Лист1!AL32+Лист1!AM32+Лист1!AN32+Лист1!AO32+Лист1!AP32+Лист1!AQ32+Лист1!AR32</f>
        <v>10432.865</v>
      </c>
      <c r="M39" s="16">
        <f>Лист1!AS32+Лист1!AT32+Лист1!AU32</f>
        <v>275</v>
      </c>
      <c r="N39" s="16">
        <f>Лист1!AX32</f>
        <v>241.28999999999996</v>
      </c>
      <c r="O39" s="110">
        <f>Лист1!BB32</f>
        <v>12557.955000000002</v>
      </c>
      <c r="P39" s="120">
        <f>Лист1!BE32</f>
        <v>1639.5438599999998</v>
      </c>
      <c r="Q39" s="42">
        <f>Лист1!BF32</f>
        <v>1093.54</v>
      </c>
      <c r="R39" s="1"/>
      <c r="S39" s="1"/>
    </row>
    <row r="40" spans="1:19" ht="12.75">
      <c r="A40" s="13" t="s">
        <v>46</v>
      </c>
      <c r="B40" s="14">
        <f>Лист1!B33</f>
        <v>1005.5</v>
      </c>
      <c r="C40" s="131">
        <f>Лист1!C33</f>
        <v>8697.575</v>
      </c>
      <c r="D40" s="135">
        <f>Лист1!D33</f>
        <v>594.1150000000009</v>
      </c>
      <c r="E40" s="40">
        <f>Лист1!S33</f>
        <v>6505.84</v>
      </c>
      <c r="F40" s="79">
        <f>Лист1!T33</f>
        <v>1597.62</v>
      </c>
      <c r="G40" s="98">
        <f>Лист1!AF33</f>
        <v>7375.45486</v>
      </c>
      <c r="H40" s="40">
        <f>Лист1!AB33</f>
        <v>6294.42</v>
      </c>
      <c r="I40" s="113">
        <f>Лист1!AC33</f>
        <v>8486.155</v>
      </c>
      <c r="J40" s="41">
        <f>Лист1!AG33</f>
        <v>603.3</v>
      </c>
      <c r="K40" s="15">
        <f>Лист1!AI33+Лист1!AJ33</f>
        <v>1005.5</v>
      </c>
      <c r="L40" s="15">
        <f>Лист1!AH33+Лист1!AK33+Лист1!AL33+Лист1!AM33+Лист1!AN33+Лист1!AO33+Лист1!AP33+Лист1!AQ33+Лист1!AR33</f>
        <v>3448.865</v>
      </c>
      <c r="M40" s="16">
        <f>Лист1!AS33+Лист1!AT33+Лист1!AU33</f>
        <v>195</v>
      </c>
      <c r="N40" s="16">
        <f>Лист1!AX33</f>
        <v>193.41</v>
      </c>
      <c r="O40" s="110">
        <f>Лист1!BB33</f>
        <v>5446.075</v>
      </c>
      <c r="P40" s="120">
        <f>Лист1!BE33</f>
        <v>7446.463860000001</v>
      </c>
      <c r="Q40" s="42">
        <f>Лист1!BF33</f>
        <v>-211.42000000000007</v>
      </c>
      <c r="R40" s="1"/>
      <c r="S40" s="1"/>
    </row>
    <row r="41" spans="1:19" ht="12.75">
      <c r="A41" s="13" t="s">
        <v>47</v>
      </c>
      <c r="B41" s="14">
        <f>Лист1!B34</f>
        <v>1005</v>
      </c>
      <c r="C41" s="131">
        <f>Лист1!C34</f>
        <v>8693.25</v>
      </c>
      <c r="D41" s="135">
        <f>Лист1!D34</f>
        <v>594.1399999999998</v>
      </c>
      <c r="E41" s="40">
        <f>Лист1!S34</f>
        <v>6501.49</v>
      </c>
      <c r="F41" s="79">
        <f>Лист1!T34</f>
        <v>1597.62</v>
      </c>
      <c r="G41" s="98">
        <f>Лист1!AF34</f>
        <v>7375.45486</v>
      </c>
      <c r="H41" s="40">
        <f>Лист1!AB34</f>
        <v>6954.9</v>
      </c>
      <c r="I41" s="113">
        <f>Лист1!AC34</f>
        <v>9146.66</v>
      </c>
      <c r="J41" s="41">
        <f>Лист1!AG34</f>
        <v>603</v>
      </c>
      <c r="K41" s="15">
        <f>Лист1!AI34+Лист1!AJ34</f>
        <v>1005</v>
      </c>
      <c r="L41" s="15">
        <f>Лист1!AH34+Лист1!AK34+Лист1!AL34+Лист1!AM34+Лист1!AN34+Лист1!AO34+Лист1!AP34+Лист1!AQ34+Лист1!AR34</f>
        <v>3447.15</v>
      </c>
      <c r="M41" s="16">
        <f>Лист1!AS34+Лист1!AT34+Лист1!AU34</f>
        <v>1726.27</v>
      </c>
      <c r="N41" s="16">
        <f>Лист1!AX34</f>
        <v>165.69</v>
      </c>
      <c r="O41" s="110">
        <f>Лист1!BB34</f>
        <v>6947.11</v>
      </c>
      <c r="P41" s="120">
        <f>Лист1!BE34</f>
        <v>6605.93386</v>
      </c>
      <c r="Q41" s="42">
        <f>Лист1!BF34</f>
        <v>453.40999999999985</v>
      </c>
      <c r="R41" s="1"/>
      <c r="S41" s="1"/>
    </row>
    <row r="42" spans="1:19" ht="12.75">
      <c r="A42" s="13" t="s">
        <v>48</v>
      </c>
      <c r="B42" s="14">
        <f>Лист1!B35</f>
        <v>1005</v>
      </c>
      <c r="C42" s="131">
        <f>Лист1!C35</f>
        <v>8693.25</v>
      </c>
      <c r="D42" s="135">
        <f>Лист1!D35</f>
        <v>594.1399999999998</v>
      </c>
      <c r="E42" s="40">
        <f>Лист1!S35</f>
        <v>6501.49</v>
      </c>
      <c r="F42" s="79">
        <f>Лист1!T35</f>
        <v>1597.62</v>
      </c>
      <c r="G42" s="98">
        <f>Лист1!AF35</f>
        <v>7375.45486</v>
      </c>
      <c r="H42" s="40">
        <f>Лист1!AB35</f>
        <v>7102.18</v>
      </c>
      <c r="I42" s="113">
        <f>Лист1!AC35</f>
        <v>9293.94</v>
      </c>
      <c r="J42" s="41">
        <f>Лист1!AG35</f>
        <v>603</v>
      </c>
      <c r="K42" s="15">
        <f>Лист1!AI35+Лист1!AJ35</f>
        <v>1005</v>
      </c>
      <c r="L42" s="15">
        <f>Лист1!AH35+Лист1!AK35+Лист1!AL35+Лист1!AM35+Лист1!AN35+Лист1!AO35+Лист1!AP35+Лист1!AQ35+Лист1!AR35</f>
        <v>3447.15</v>
      </c>
      <c r="M42" s="16">
        <f>Лист1!AS35+Лист1!AT35+Лист1!AU35</f>
        <v>0</v>
      </c>
      <c r="N42" s="16">
        <f>Лист1!AX35</f>
        <v>146.79</v>
      </c>
      <c r="O42" s="110">
        <f>Лист1!BB35</f>
        <v>5201.94</v>
      </c>
      <c r="P42" s="120">
        <f>Лист1!BE35</f>
        <v>8498.383860000002</v>
      </c>
      <c r="Q42" s="42">
        <f>Лист1!BF35</f>
        <v>600.6900000000005</v>
      </c>
      <c r="R42" s="1"/>
      <c r="S42" s="1"/>
    </row>
    <row r="43" spans="1:19" ht="12.75">
      <c r="A43" s="13" t="s">
        <v>49</v>
      </c>
      <c r="B43" s="14">
        <f>Лист1!B36</f>
        <v>1005</v>
      </c>
      <c r="C43" s="131">
        <f>Лист1!C36</f>
        <v>8693.25</v>
      </c>
      <c r="D43" s="135">
        <f>Лист1!D36</f>
        <v>543.7999999999994</v>
      </c>
      <c r="E43" s="40">
        <f>Лист1!S36</f>
        <v>8149.45</v>
      </c>
      <c r="F43" s="79">
        <f>Лист1!T36</f>
        <v>0</v>
      </c>
      <c r="G43" s="98">
        <f>Лист1!AF36</f>
        <v>7375.45486</v>
      </c>
      <c r="H43" s="40">
        <f>Лист1!AB36</f>
        <v>6010.57</v>
      </c>
      <c r="I43" s="113">
        <f>Лист1!AC36</f>
        <v>6554.369999999999</v>
      </c>
      <c r="J43" s="41">
        <f>Лист1!AG36</f>
        <v>603</v>
      </c>
      <c r="K43" s="15">
        <f>Лист1!AI36+Лист1!AJ36</f>
        <v>1005</v>
      </c>
      <c r="L43" s="15">
        <f>Лист1!AH36+Лист1!AK36+Лист1!AL36+Лист1!AM36+Лист1!AN36+Лист1!AO36+Лист1!AP36+Лист1!AQ36+Лист1!AR36</f>
        <v>3447.15</v>
      </c>
      <c r="M43" s="16">
        <f>Лист1!AS36+Лист1!AT36+Лист1!AU36</f>
        <v>35.9482</v>
      </c>
      <c r="N43" s="16">
        <f>Лист1!AX36</f>
        <v>156.24</v>
      </c>
      <c r="O43" s="110">
        <f>Лист1!BB36</f>
        <v>5247.338199999999</v>
      </c>
      <c r="P43" s="120">
        <f>Лист1!BE36</f>
        <v>5713.41566</v>
      </c>
      <c r="Q43" s="42">
        <f>Лист1!BF36</f>
        <v>-2138.88</v>
      </c>
      <c r="R43" s="1"/>
      <c r="S43" s="1"/>
    </row>
    <row r="44" spans="1:19" ht="12.75">
      <c r="A44" s="13" t="s">
        <v>50</v>
      </c>
      <c r="B44" s="14">
        <f>Лист1!B37</f>
        <v>1005</v>
      </c>
      <c r="C44" s="131">
        <f>Лист1!C37</f>
        <v>8693.25</v>
      </c>
      <c r="D44" s="135">
        <f>Лист1!D37</f>
        <v>543.7999999999994</v>
      </c>
      <c r="E44" s="40">
        <f>Лист1!S37</f>
        <v>8149.45</v>
      </c>
      <c r="F44" s="79">
        <f>Лист1!T37</f>
        <v>0</v>
      </c>
      <c r="G44" s="98">
        <f>Лист1!AF37</f>
        <v>7375.45486</v>
      </c>
      <c r="H44" s="40">
        <f>Лист1!AB37</f>
        <v>8554.779999999999</v>
      </c>
      <c r="I44" s="113">
        <f>Лист1!AC37</f>
        <v>9098.579999999998</v>
      </c>
      <c r="J44" s="41">
        <f>Лист1!AG37</f>
        <v>603</v>
      </c>
      <c r="K44" s="15">
        <f>Лист1!AI37+Лист1!AJ37</f>
        <v>1005</v>
      </c>
      <c r="L44" s="15">
        <f>Лист1!AH37+Лист1!AK37+Лист1!AL37+Лист1!AM37+Лист1!AN37+Лист1!AO37+Лист1!AP37+Лист1!AQ37+Лист1!AR37</f>
        <v>3447.15</v>
      </c>
      <c r="M44" s="16">
        <f>Лист1!AS37+Лист1!AT37+Лист1!AU37</f>
        <v>215.8</v>
      </c>
      <c r="N44" s="16">
        <f>Лист1!AX37</f>
        <v>184.58999999999997</v>
      </c>
      <c r="O44" s="110">
        <f>Лист1!BB37</f>
        <v>5455.54</v>
      </c>
      <c r="P44" s="120">
        <f>Лист1!BE37</f>
        <v>8049.423859999998</v>
      </c>
      <c r="Q44" s="42">
        <f>Лист1!BF37</f>
        <v>405.329999999999</v>
      </c>
      <c r="R44" s="1"/>
      <c r="S44" s="1"/>
    </row>
    <row r="45" spans="1:19" ht="12.75">
      <c r="A45" s="13" t="s">
        <v>51</v>
      </c>
      <c r="B45" s="14">
        <f>Лист1!B38</f>
        <v>1005</v>
      </c>
      <c r="C45" s="131">
        <f>Лист1!C38</f>
        <v>8693.25</v>
      </c>
      <c r="D45" s="135">
        <f>Лист1!D38</f>
        <v>543.7999999999994</v>
      </c>
      <c r="E45" s="40">
        <f>Лист1!S38</f>
        <v>8149.45</v>
      </c>
      <c r="F45" s="79">
        <f>Лист1!T38</f>
        <v>0</v>
      </c>
      <c r="G45" s="98">
        <f>Лист1!AF38</f>
        <v>7375.45486</v>
      </c>
      <c r="H45" s="40">
        <f>Лист1!AB38</f>
        <v>7734.73</v>
      </c>
      <c r="I45" s="113">
        <f>Лист1!AC38</f>
        <v>8278.529999999999</v>
      </c>
      <c r="J45" s="41">
        <f>Лист1!AG38</f>
        <v>603</v>
      </c>
      <c r="K45" s="15">
        <f>Лист1!AI38+Лист1!AJ38</f>
        <v>1005</v>
      </c>
      <c r="L45" s="15">
        <f>Лист1!AH38+Лист1!AK38+Лист1!AL38+Лист1!AM38+Лист1!AN38+Лист1!AO38+Лист1!AP38+Лист1!AQ38+Лист1!AR38</f>
        <v>3447.15</v>
      </c>
      <c r="M45" s="16">
        <f>Лист1!AS38+Лист1!AT38+Лист1!AU38</f>
        <v>8448</v>
      </c>
      <c r="N45" s="16">
        <f>Лист1!AX38</f>
        <v>219.87</v>
      </c>
      <c r="O45" s="110">
        <f>Лист1!BB38</f>
        <v>13723.02</v>
      </c>
      <c r="P45" s="120">
        <f>Лист1!BE38</f>
        <v>-1038.1061400000017</v>
      </c>
      <c r="Q45" s="42">
        <f>Лист1!BF38</f>
        <v>-414.72000000000025</v>
      </c>
      <c r="R45" s="1"/>
      <c r="S45" s="1"/>
    </row>
    <row r="46" spans="1:19" ht="12.75">
      <c r="A46" s="13" t="s">
        <v>39</v>
      </c>
      <c r="B46" s="14">
        <f>Лист1!B39</f>
        <v>1005</v>
      </c>
      <c r="C46" s="131">
        <f>Лист1!C39</f>
        <v>8693.25</v>
      </c>
      <c r="D46" s="135">
        <f>Лист1!D39</f>
        <v>543.7999999999994</v>
      </c>
      <c r="E46" s="40">
        <f>Лист1!S39</f>
        <v>8149.45</v>
      </c>
      <c r="F46" s="79">
        <f>Лист1!T39</f>
        <v>0</v>
      </c>
      <c r="G46" s="98">
        <f>Лист1!AF39</f>
        <v>7475.45486</v>
      </c>
      <c r="H46" s="40">
        <f>Лист1!AB39</f>
        <v>7343.49</v>
      </c>
      <c r="I46" s="113">
        <f>Лист1!AC39</f>
        <v>7887.289999999999</v>
      </c>
      <c r="J46" s="41">
        <f>Лист1!AG39</f>
        <v>603</v>
      </c>
      <c r="K46" s="15">
        <f>Лист1!AI39+Лист1!AJ39</f>
        <v>1005</v>
      </c>
      <c r="L46" s="15">
        <f>Лист1!AH39+Лист1!AK39+Лист1!AL39+Лист1!AM39+Лист1!AN39+Лист1!AO39+Лист1!AP39+Лист1!AQ39+Лист1!AR39</f>
        <v>3447.15</v>
      </c>
      <c r="M46" s="16">
        <f>Лист1!AS39+Лист1!AT39+Лист1!AU39</f>
        <v>2887</v>
      </c>
      <c r="N46" s="16">
        <f>Лист1!AX39</f>
        <v>267.75</v>
      </c>
      <c r="O46" s="110">
        <f>Лист1!BB39</f>
        <v>8209.9</v>
      </c>
      <c r="P46" s="120">
        <f>Лист1!BE39</f>
        <v>4158.773859999999</v>
      </c>
      <c r="Q46" s="42">
        <f>Лист1!BF39</f>
        <v>-805.96</v>
      </c>
      <c r="R46" s="1"/>
      <c r="S46" s="1"/>
    </row>
    <row r="47" spans="1:19" ht="12.75">
      <c r="A47" s="13" t="s">
        <v>40</v>
      </c>
      <c r="B47" s="14">
        <f>Лист1!B40</f>
        <v>1005</v>
      </c>
      <c r="C47" s="131">
        <f>Лист1!C40</f>
        <v>8693.25</v>
      </c>
      <c r="D47" s="135">
        <f>Лист1!D40</f>
        <v>543.7999999999994</v>
      </c>
      <c r="E47" s="40">
        <f>Лист1!S40</f>
        <v>8149.45</v>
      </c>
      <c r="F47" s="79">
        <f>Лист1!T40</f>
        <v>0</v>
      </c>
      <c r="G47" s="98">
        <f>Лист1!AF40</f>
        <v>7475.45486</v>
      </c>
      <c r="H47" s="40">
        <f>Лист1!AB40</f>
        <v>8610.1</v>
      </c>
      <c r="I47" s="113">
        <f>Лист1!AC40</f>
        <v>9153.9</v>
      </c>
      <c r="J47" s="41">
        <f>Лист1!AG40</f>
        <v>603</v>
      </c>
      <c r="K47" s="15">
        <f>Лист1!AI40+Лист1!AJ40</f>
        <v>1005</v>
      </c>
      <c r="L47" s="15">
        <f>Лист1!AH40+Лист1!AK40+Лист1!AL40+Лист1!AM40+Лист1!AN40+Лист1!AO40+Лист1!AP40+Лист1!AQ40+Лист1!AR40</f>
        <v>3447.15</v>
      </c>
      <c r="M47" s="16">
        <f>Лист1!AS40+Лист1!AT40+Лист1!AU40</f>
        <v>0</v>
      </c>
      <c r="N47" s="16">
        <f>Лист1!AX40</f>
        <v>296.09999999999997</v>
      </c>
      <c r="O47" s="110">
        <f>Лист1!BB40</f>
        <v>5351.25</v>
      </c>
      <c r="P47" s="120">
        <f>Лист1!BE40</f>
        <v>8284.03386</v>
      </c>
      <c r="Q47" s="42">
        <f>Лист1!BF40</f>
        <v>460.65000000000055</v>
      </c>
      <c r="R47" s="1"/>
      <c r="S47" s="1"/>
    </row>
    <row r="48" spans="1:19" ht="13.5" thickBot="1">
      <c r="A48" s="43" t="s">
        <v>41</v>
      </c>
      <c r="B48" s="14">
        <f>Лист1!B41</f>
        <v>1005</v>
      </c>
      <c r="C48" s="131">
        <f>Лист1!C41</f>
        <v>8693.25</v>
      </c>
      <c r="D48" s="135">
        <f>Лист1!D41</f>
        <v>543.7999999999994</v>
      </c>
      <c r="E48" s="40">
        <f>Лист1!S41</f>
        <v>8149.45</v>
      </c>
      <c r="F48" s="79">
        <f>Лист1!T41</f>
        <v>0</v>
      </c>
      <c r="G48" s="98">
        <f>Лист1!AF41</f>
        <v>7475.45486</v>
      </c>
      <c r="H48" s="40">
        <f>Лист1!AB41</f>
        <v>10008.05</v>
      </c>
      <c r="I48" s="113">
        <f>Лист1!AC41</f>
        <v>10551.849999999999</v>
      </c>
      <c r="J48" s="41">
        <f>Лист1!AG41</f>
        <v>603</v>
      </c>
      <c r="K48" s="15">
        <f>Лист1!AI41+Лист1!AJ41</f>
        <v>1005</v>
      </c>
      <c r="L48" s="15">
        <f>Лист1!AH41+Лист1!AK41+Лист1!AL41+Лист1!AM41+Лист1!AN41+Лист1!AO41+Лист1!AP41+Лист1!AQ41+Лист1!AR41</f>
        <v>3447.15</v>
      </c>
      <c r="M48" s="16">
        <f>Лист1!AS41+Лист1!AT41+Лист1!AU41</f>
        <v>43767.10859999999</v>
      </c>
      <c r="N48" s="16">
        <f>Лист1!AX41</f>
        <v>323.82</v>
      </c>
      <c r="O48" s="110">
        <f>Лист1!BB41</f>
        <v>49146.0786</v>
      </c>
      <c r="P48" s="120">
        <f>Лист1!BE41</f>
        <v>-34112.84474</v>
      </c>
      <c r="Q48" s="42">
        <f>Лист1!BF41</f>
        <v>1858.5999999999995</v>
      </c>
      <c r="R48" s="1"/>
      <c r="S48" s="1"/>
    </row>
    <row r="49" spans="1:19" s="22" customFormat="1" ht="13.5" thickBot="1">
      <c r="A49" s="44" t="s">
        <v>3</v>
      </c>
      <c r="B49" s="45"/>
      <c r="C49" s="48">
        <f aca="true" t="shared" si="3" ref="C49:Q49">SUM(C37:C48)</f>
        <v>104336.3</v>
      </c>
      <c r="D49" s="50">
        <f t="shared" si="3"/>
        <v>6827.539999999999</v>
      </c>
      <c r="E49" s="49">
        <f t="shared" si="3"/>
        <v>87923.03999999998</v>
      </c>
      <c r="F49" s="46">
        <f t="shared" si="3"/>
        <v>9585.72</v>
      </c>
      <c r="G49" s="99">
        <f t="shared" si="3"/>
        <v>88805.45831999999</v>
      </c>
      <c r="H49" s="49">
        <f t="shared" si="3"/>
        <v>87958.96000000002</v>
      </c>
      <c r="I49" s="103">
        <f t="shared" si="3"/>
        <v>104372.22</v>
      </c>
      <c r="J49" s="47">
        <f t="shared" si="3"/>
        <v>7237.2</v>
      </c>
      <c r="K49" s="46">
        <f t="shared" si="3"/>
        <v>12062</v>
      </c>
      <c r="L49" s="46">
        <f t="shared" si="3"/>
        <v>50334.14000000001</v>
      </c>
      <c r="M49" s="46">
        <f t="shared" si="3"/>
        <v>59934.12679999999</v>
      </c>
      <c r="N49" s="46">
        <f t="shared" si="3"/>
        <v>2772</v>
      </c>
      <c r="O49" s="108">
        <f t="shared" si="3"/>
        <v>132339.4668</v>
      </c>
      <c r="P49" s="49">
        <f t="shared" si="3"/>
        <v>25134.359519999998</v>
      </c>
      <c r="Q49" s="50">
        <f t="shared" si="3"/>
        <v>35.919999999998254</v>
      </c>
      <c r="R49" s="52"/>
      <c r="S49" s="52"/>
    </row>
    <row r="50" spans="1:19" ht="13.5" thickBot="1">
      <c r="A50" s="91" t="s">
        <v>66</v>
      </c>
      <c r="B50" s="92"/>
      <c r="C50" s="93"/>
      <c r="D50" s="138"/>
      <c r="E50" s="92"/>
      <c r="F50" s="92"/>
      <c r="G50" s="129"/>
      <c r="H50" s="92"/>
      <c r="I50" s="104"/>
      <c r="J50" s="91"/>
      <c r="K50" s="92"/>
      <c r="L50" s="92"/>
      <c r="M50" s="92"/>
      <c r="N50" s="92"/>
      <c r="O50" s="117"/>
      <c r="P50" s="92"/>
      <c r="Q50" s="56"/>
      <c r="R50" s="1"/>
      <c r="S50" s="1"/>
    </row>
    <row r="51" spans="1:19" s="22" customFormat="1" ht="13.5" thickBot="1">
      <c r="A51" s="57" t="s">
        <v>52</v>
      </c>
      <c r="B51" s="58"/>
      <c r="C51" s="59">
        <f aca="true" t="shared" si="4" ref="C51:H51">C35+C49</f>
        <v>234799.925</v>
      </c>
      <c r="D51" s="61">
        <f t="shared" si="4"/>
        <v>22197.07338325001</v>
      </c>
      <c r="E51" s="94">
        <f t="shared" si="4"/>
        <v>182444.68999999997</v>
      </c>
      <c r="F51" s="128">
        <f t="shared" si="4"/>
        <v>32688.689999999995</v>
      </c>
      <c r="G51" s="130">
        <f t="shared" si="4"/>
        <v>177310.79664000002</v>
      </c>
      <c r="H51" s="94">
        <f t="shared" si="4"/>
        <v>176389.57</v>
      </c>
      <c r="I51" s="109">
        <f aca="true" t="shared" si="5" ref="I51:N51">I35+I49</f>
        <v>231275.33338325002</v>
      </c>
      <c r="J51" s="60">
        <f t="shared" si="5"/>
        <v>16045.380000000001</v>
      </c>
      <c r="K51" s="58">
        <f t="shared" si="5"/>
        <v>26635.902996475</v>
      </c>
      <c r="L51" s="58">
        <f t="shared" si="5"/>
        <v>101588.122655162</v>
      </c>
      <c r="M51" s="58">
        <f t="shared" si="5"/>
        <v>123268.08799999999</v>
      </c>
      <c r="N51" s="58">
        <f t="shared" si="5"/>
        <v>5388.7724</v>
      </c>
      <c r="O51" s="105">
        <f>O35+O49</f>
        <v>272926.266051637</v>
      </c>
      <c r="P51" s="122">
        <f>P35+P49</f>
        <v>65812.4248904876</v>
      </c>
      <c r="Q51" s="61">
        <f>Q35+Q49</f>
        <v>-6055.120000000005</v>
      </c>
      <c r="R51" s="62"/>
      <c r="S51" s="52"/>
    </row>
    <row r="54" spans="1:19" ht="12.75">
      <c r="A54" s="22" t="s">
        <v>67</v>
      </c>
      <c r="D54" s="318" t="s">
        <v>123</v>
      </c>
      <c r="R54" s="1"/>
      <c r="S54" s="1"/>
    </row>
    <row r="55" spans="1:19" ht="12.75">
      <c r="A55" s="24" t="s">
        <v>68</v>
      </c>
      <c r="B55" s="24" t="s">
        <v>69</v>
      </c>
      <c r="C55" s="439" t="s">
        <v>70</v>
      </c>
      <c r="D55" s="439"/>
      <c r="R55" s="1"/>
      <c r="S55" s="1"/>
    </row>
    <row r="56" spans="1:19" ht="12.75">
      <c r="A56" s="73">
        <v>97721.12</v>
      </c>
      <c r="B56" s="75">
        <v>14380</v>
      </c>
      <c r="C56" s="440">
        <f>A56-B56</f>
        <v>83341.12</v>
      </c>
      <c r="D56" s="441"/>
      <c r="R56" s="1"/>
      <c r="S56" s="1"/>
    </row>
    <row r="57" spans="1:19" ht="12.75">
      <c r="A57" s="63"/>
      <c r="R57" s="1"/>
      <c r="S57" s="1"/>
    </row>
    <row r="58" spans="1:19" ht="12.75">
      <c r="A58" s="63"/>
      <c r="R58" s="1"/>
      <c r="S58" s="1"/>
    </row>
    <row r="59" spans="1:19" ht="12.75">
      <c r="A59" s="2" t="s">
        <v>71</v>
      </c>
      <c r="H59" s="2" t="s">
        <v>72</v>
      </c>
      <c r="R59" s="1"/>
      <c r="S59" s="1"/>
    </row>
    <row r="60" ht="12.75">
      <c r="A60" s="1"/>
    </row>
    <row r="61" ht="12.75">
      <c r="A61" s="1"/>
    </row>
    <row r="62" ht="12.75">
      <c r="A62" s="341" t="s">
        <v>122</v>
      </c>
    </row>
    <row r="63" ht="12.75">
      <c r="A63" s="2" t="s">
        <v>73</v>
      </c>
    </row>
  </sheetData>
  <sheetProtection/>
  <mergeCells count="22">
    <mergeCell ref="E10:F11"/>
    <mergeCell ref="O12:O13"/>
    <mergeCell ref="L12:L13"/>
    <mergeCell ref="P10:P13"/>
    <mergeCell ref="C55:D55"/>
    <mergeCell ref="C56:D56"/>
    <mergeCell ref="G10:G13"/>
    <mergeCell ref="A6:P6"/>
    <mergeCell ref="A10:A13"/>
    <mergeCell ref="B10:B13"/>
    <mergeCell ref="C10:C13"/>
    <mergeCell ref="D10:D13"/>
    <mergeCell ref="M12:M13"/>
    <mergeCell ref="N12:N13"/>
    <mergeCell ref="H10:I11"/>
    <mergeCell ref="A7:G7"/>
    <mergeCell ref="J10:O11"/>
    <mergeCell ref="Q10:Q13"/>
    <mergeCell ref="E12:F12"/>
    <mergeCell ref="I12:I13"/>
    <mergeCell ref="J12:J13"/>
    <mergeCell ref="K12:K13"/>
  </mergeCells>
  <printOptions/>
  <pageMargins left="0.23" right="0.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W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BB38:BF38"/>
    </sheetView>
  </sheetViews>
  <sheetFormatPr defaultColWidth="9.00390625" defaultRowHeight="12.75"/>
  <cols>
    <col min="1" max="1" width="8.75390625" style="216" bestFit="1" customWidth="1"/>
    <col min="2" max="2" width="9.125" style="216" customWidth="1"/>
    <col min="3" max="3" width="11.375" style="216" customWidth="1"/>
    <col min="4" max="4" width="10.375" style="216" customWidth="1"/>
    <col min="5" max="6" width="9.125" style="216" customWidth="1"/>
    <col min="7" max="7" width="10.25390625" style="216" customWidth="1"/>
    <col min="8" max="8" width="9.125" style="216" customWidth="1"/>
    <col min="9" max="9" width="9.875" style="216" customWidth="1"/>
    <col min="10" max="10" width="9.125" style="216" customWidth="1"/>
    <col min="11" max="11" width="10.375" style="216" customWidth="1"/>
    <col min="12" max="12" width="9.125" style="216" customWidth="1"/>
    <col min="13" max="13" width="10.125" style="216" bestFit="1" customWidth="1"/>
    <col min="14" max="14" width="9.125" style="216" customWidth="1"/>
    <col min="15" max="15" width="10.125" style="216" bestFit="1" customWidth="1"/>
    <col min="16" max="18" width="9.125" style="216" customWidth="1"/>
    <col min="19" max="19" width="10.125" style="216" bestFit="1" customWidth="1"/>
    <col min="20" max="20" width="10.125" style="216" customWidth="1"/>
    <col min="21" max="21" width="10.125" style="216" bestFit="1" customWidth="1"/>
    <col min="22" max="22" width="10.25390625" style="216" customWidth="1"/>
    <col min="23" max="23" width="10.625" style="216" customWidth="1"/>
    <col min="24" max="24" width="10.125" style="216" customWidth="1"/>
    <col min="25" max="28" width="10.125" style="216" bestFit="1" customWidth="1"/>
    <col min="29" max="30" width="11.375" style="216" customWidth="1"/>
    <col min="31" max="31" width="9.25390625" style="216" bestFit="1" customWidth="1"/>
    <col min="32" max="32" width="10.125" style="216" bestFit="1" customWidth="1"/>
    <col min="33" max="33" width="10.25390625" style="216" customWidth="1"/>
    <col min="34" max="35" width="9.25390625" style="216" bestFit="1" customWidth="1"/>
    <col min="36" max="36" width="12.625" style="216" customWidth="1"/>
    <col min="37" max="38" width="9.25390625" style="216" bestFit="1" customWidth="1"/>
    <col min="39" max="39" width="10.125" style="216" bestFit="1" customWidth="1"/>
    <col min="40" max="40" width="9.25390625" style="216" bestFit="1" customWidth="1"/>
    <col min="41" max="42" width="10.125" style="216" bestFit="1" customWidth="1"/>
    <col min="43" max="44" width="9.25390625" style="216" customWidth="1"/>
    <col min="45" max="45" width="10.125" style="216" bestFit="1" customWidth="1"/>
    <col min="46" max="46" width="11.625" style="216" customWidth="1"/>
    <col min="47" max="47" width="10.875" style="216" customWidth="1"/>
    <col min="48" max="48" width="10.625" style="216" customWidth="1"/>
    <col min="49" max="49" width="10.25390625" style="216" customWidth="1"/>
    <col min="50" max="50" width="10.625" style="216" customWidth="1"/>
    <col min="51" max="51" width="9.25390625" style="216" bestFit="1" customWidth="1"/>
    <col min="52" max="53" width="10.125" style="216" bestFit="1" customWidth="1"/>
    <col min="54" max="54" width="11.625" style="216" customWidth="1"/>
    <col min="55" max="55" width="11.75390625" style="216" customWidth="1"/>
    <col min="56" max="56" width="12.125" style="216" customWidth="1"/>
    <col min="57" max="57" width="13.625" style="216" customWidth="1"/>
    <col min="58" max="58" width="11.00390625" style="216" customWidth="1"/>
    <col min="59" max="59" width="10.625" style="216" customWidth="1"/>
    <col min="60" max="16384" width="9.125" style="216" customWidth="1"/>
  </cols>
  <sheetData>
    <row r="1" spans="1:18" ht="21" customHeight="1">
      <c r="A1" s="405" t="s">
        <v>125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290"/>
      <c r="P1" s="290"/>
      <c r="Q1" s="290"/>
      <c r="R1" s="290"/>
    </row>
    <row r="2" spans="1:18" ht="13.5" thickBot="1">
      <c r="A2" s="290"/>
      <c r="B2" s="292"/>
      <c r="C2" s="291"/>
      <c r="D2" s="291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59" ht="29.25" customHeight="1" thickBot="1">
      <c r="A3" s="368" t="s">
        <v>115</v>
      </c>
      <c r="B3" s="407" t="s">
        <v>0</v>
      </c>
      <c r="C3" s="409" t="s">
        <v>1</v>
      </c>
      <c r="D3" s="411" t="s">
        <v>2</v>
      </c>
      <c r="E3" s="368" t="s">
        <v>114</v>
      </c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72"/>
      <c r="S3" s="368"/>
      <c r="T3" s="395"/>
      <c r="U3" s="368" t="s">
        <v>3</v>
      </c>
      <c r="V3" s="395"/>
      <c r="W3" s="397" t="s">
        <v>4</v>
      </c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489"/>
      <c r="AJ3" s="491" t="s">
        <v>76</v>
      </c>
      <c r="AK3" s="416" t="s">
        <v>8</v>
      </c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5"/>
      <c r="BF3" s="496" t="s">
        <v>9</v>
      </c>
      <c r="BG3" s="478" t="s">
        <v>10</v>
      </c>
    </row>
    <row r="4" spans="1:59" ht="51.75" customHeight="1" hidden="1" thickBot="1">
      <c r="A4" s="406"/>
      <c r="B4" s="408"/>
      <c r="C4" s="410"/>
      <c r="D4" s="412"/>
      <c r="E4" s="406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4"/>
      <c r="S4" s="373"/>
      <c r="T4" s="396"/>
      <c r="U4" s="373"/>
      <c r="V4" s="396"/>
      <c r="W4" s="399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90"/>
      <c r="AJ4" s="492"/>
      <c r="AK4" s="349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1"/>
      <c r="BF4" s="497"/>
      <c r="BG4" s="479"/>
    </row>
    <row r="5" spans="1:59" ht="19.5" customHeight="1">
      <c r="A5" s="406"/>
      <c r="B5" s="408"/>
      <c r="C5" s="410"/>
      <c r="D5" s="412"/>
      <c r="E5" s="481" t="s">
        <v>11</v>
      </c>
      <c r="F5" s="482"/>
      <c r="G5" s="481" t="s">
        <v>113</v>
      </c>
      <c r="H5" s="482"/>
      <c r="I5" s="481" t="s">
        <v>12</v>
      </c>
      <c r="J5" s="482"/>
      <c r="K5" s="481" t="s">
        <v>14</v>
      </c>
      <c r="L5" s="482"/>
      <c r="M5" s="481" t="s">
        <v>13</v>
      </c>
      <c r="N5" s="482"/>
      <c r="O5" s="485" t="s">
        <v>15</v>
      </c>
      <c r="P5" s="485"/>
      <c r="Q5" s="481" t="s">
        <v>112</v>
      </c>
      <c r="R5" s="482"/>
      <c r="S5" s="485" t="s">
        <v>111</v>
      </c>
      <c r="T5" s="482"/>
      <c r="U5" s="391" t="s">
        <v>18</v>
      </c>
      <c r="V5" s="393" t="s">
        <v>19</v>
      </c>
      <c r="W5" s="474" t="s">
        <v>20</v>
      </c>
      <c r="X5" s="474" t="s">
        <v>110</v>
      </c>
      <c r="Y5" s="474" t="s">
        <v>21</v>
      </c>
      <c r="Z5" s="474" t="s">
        <v>23</v>
      </c>
      <c r="AA5" s="474" t="s">
        <v>22</v>
      </c>
      <c r="AB5" s="474" t="s">
        <v>24</v>
      </c>
      <c r="AC5" s="474" t="s">
        <v>25</v>
      </c>
      <c r="AD5" s="476" t="s">
        <v>26</v>
      </c>
      <c r="AE5" s="476" t="s">
        <v>109</v>
      </c>
      <c r="AF5" s="465" t="s">
        <v>27</v>
      </c>
      <c r="AG5" s="467" t="s">
        <v>81</v>
      </c>
      <c r="AH5" s="469" t="s">
        <v>6</v>
      </c>
      <c r="AI5" s="471" t="s">
        <v>7</v>
      </c>
      <c r="AJ5" s="492"/>
      <c r="AK5" s="473" t="s">
        <v>108</v>
      </c>
      <c r="AL5" s="464" t="s">
        <v>107</v>
      </c>
      <c r="AM5" s="464" t="s">
        <v>106</v>
      </c>
      <c r="AN5" s="367" t="s">
        <v>105</v>
      </c>
      <c r="AO5" s="464" t="s">
        <v>104</v>
      </c>
      <c r="AP5" s="367" t="s">
        <v>103</v>
      </c>
      <c r="AQ5" s="367" t="s">
        <v>102</v>
      </c>
      <c r="AR5" s="367" t="s">
        <v>101</v>
      </c>
      <c r="AS5" s="367" t="s">
        <v>100</v>
      </c>
      <c r="AT5" s="367" t="s">
        <v>34</v>
      </c>
      <c r="AU5" s="461" t="s">
        <v>99</v>
      </c>
      <c r="AV5" s="361" t="s">
        <v>98</v>
      </c>
      <c r="AW5" s="461" t="s">
        <v>97</v>
      </c>
      <c r="AX5" s="462" t="s">
        <v>96</v>
      </c>
      <c r="AY5" s="289"/>
      <c r="AZ5" s="381" t="s">
        <v>17</v>
      </c>
      <c r="BA5" s="367" t="s">
        <v>36</v>
      </c>
      <c r="BB5" s="367" t="s">
        <v>31</v>
      </c>
      <c r="BC5" s="459" t="s">
        <v>37</v>
      </c>
      <c r="BD5" s="377" t="s">
        <v>83</v>
      </c>
      <c r="BE5" s="367" t="s">
        <v>84</v>
      </c>
      <c r="BF5" s="497"/>
      <c r="BG5" s="479"/>
    </row>
    <row r="6" spans="1:59" ht="56.25" customHeight="1" thickBot="1">
      <c r="A6" s="406"/>
      <c r="B6" s="408"/>
      <c r="C6" s="410"/>
      <c r="D6" s="412"/>
      <c r="E6" s="483"/>
      <c r="F6" s="484"/>
      <c r="G6" s="483"/>
      <c r="H6" s="484"/>
      <c r="I6" s="483"/>
      <c r="J6" s="484"/>
      <c r="K6" s="483"/>
      <c r="L6" s="484"/>
      <c r="M6" s="483"/>
      <c r="N6" s="484"/>
      <c r="O6" s="486"/>
      <c r="P6" s="486"/>
      <c r="Q6" s="483"/>
      <c r="R6" s="484"/>
      <c r="S6" s="487"/>
      <c r="T6" s="484"/>
      <c r="U6" s="488"/>
      <c r="V6" s="499"/>
      <c r="W6" s="475"/>
      <c r="X6" s="475"/>
      <c r="Y6" s="475"/>
      <c r="Z6" s="475"/>
      <c r="AA6" s="475"/>
      <c r="AB6" s="475"/>
      <c r="AC6" s="475"/>
      <c r="AD6" s="477"/>
      <c r="AE6" s="477"/>
      <c r="AF6" s="466"/>
      <c r="AG6" s="468"/>
      <c r="AH6" s="470"/>
      <c r="AI6" s="472"/>
      <c r="AJ6" s="493"/>
      <c r="AK6" s="358"/>
      <c r="AL6" s="376"/>
      <c r="AM6" s="376"/>
      <c r="AN6" s="366"/>
      <c r="AO6" s="376"/>
      <c r="AP6" s="366"/>
      <c r="AQ6" s="366"/>
      <c r="AR6" s="366"/>
      <c r="AS6" s="366"/>
      <c r="AT6" s="366"/>
      <c r="AU6" s="364"/>
      <c r="AV6" s="362"/>
      <c r="AW6" s="364"/>
      <c r="AX6" s="463"/>
      <c r="AY6" s="145" t="s">
        <v>95</v>
      </c>
      <c r="AZ6" s="382"/>
      <c r="BA6" s="366"/>
      <c r="BB6" s="366"/>
      <c r="BC6" s="460"/>
      <c r="BD6" s="379"/>
      <c r="BE6" s="366"/>
      <c r="BF6" s="498"/>
      <c r="BG6" s="480"/>
    </row>
    <row r="7" spans="1:59" ht="19.5" customHeight="1" thickBot="1">
      <c r="A7" s="288">
        <v>1</v>
      </c>
      <c r="B7" s="36">
        <v>2</v>
      </c>
      <c r="C7" s="36">
        <v>3</v>
      </c>
      <c r="D7" s="288">
        <v>4</v>
      </c>
      <c r="E7" s="36">
        <v>5</v>
      </c>
      <c r="F7" s="36">
        <v>6</v>
      </c>
      <c r="G7" s="288">
        <v>7</v>
      </c>
      <c r="H7" s="36">
        <v>8</v>
      </c>
      <c r="I7" s="36">
        <v>9</v>
      </c>
      <c r="J7" s="288">
        <v>10</v>
      </c>
      <c r="K7" s="36">
        <v>11</v>
      </c>
      <c r="L7" s="36">
        <v>12</v>
      </c>
      <c r="M7" s="288">
        <v>13</v>
      </c>
      <c r="N7" s="36">
        <v>14</v>
      </c>
      <c r="O7" s="36">
        <v>15</v>
      </c>
      <c r="P7" s="288">
        <v>16</v>
      </c>
      <c r="Q7" s="36">
        <v>17</v>
      </c>
      <c r="R7" s="36">
        <v>18</v>
      </c>
      <c r="S7" s="288">
        <v>19</v>
      </c>
      <c r="T7" s="36">
        <v>20</v>
      </c>
      <c r="U7" s="36">
        <v>21</v>
      </c>
      <c r="V7" s="288">
        <v>22</v>
      </c>
      <c r="W7" s="36">
        <v>23</v>
      </c>
      <c r="X7" s="288">
        <v>24</v>
      </c>
      <c r="Y7" s="36">
        <v>25</v>
      </c>
      <c r="Z7" s="288">
        <v>26</v>
      </c>
      <c r="AA7" s="36">
        <v>27</v>
      </c>
      <c r="AB7" s="288">
        <v>28</v>
      </c>
      <c r="AC7" s="36">
        <v>29</v>
      </c>
      <c r="AD7" s="288">
        <v>30</v>
      </c>
      <c r="AE7" s="288">
        <v>31</v>
      </c>
      <c r="AF7" s="36">
        <v>32</v>
      </c>
      <c r="AG7" s="288">
        <v>33</v>
      </c>
      <c r="AH7" s="36">
        <v>34</v>
      </c>
      <c r="AI7" s="288">
        <v>35</v>
      </c>
      <c r="AJ7" s="36">
        <v>36</v>
      </c>
      <c r="AK7" s="288">
        <v>37</v>
      </c>
      <c r="AL7" s="36">
        <v>38</v>
      </c>
      <c r="AM7" s="288">
        <v>39</v>
      </c>
      <c r="AN7" s="288">
        <v>40</v>
      </c>
      <c r="AO7" s="36">
        <v>41</v>
      </c>
      <c r="AP7" s="288">
        <v>42</v>
      </c>
      <c r="AQ7" s="36">
        <v>43</v>
      </c>
      <c r="AR7" s="288"/>
      <c r="AS7" s="288">
        <v>44</v>
      </c>
      <c r="AT7" s="36">
        <v>45</v>
      </c>
      <c r="AU7" s="288">
        <v>46</v>
      </c>
      <c r="AV7" s="36">
        <v>47</v>
      </c>
      <c r="AW7" s="288">
        <v>48</v>
      </c>
      <c r="AX7" s="288">
        <v>49</v>
      </c>
      <c r="AY7" s="36"/>
      <c r="AZ7" s="36">
        <v>50</v>
      </c>
      <c r="BA7" s="36">
        <v>51</v>
      </c>
      <c r="BB7" s="36">
        <v>52</v>
      </c>
      <c r="BC7" s="36">
        <v>53</v>
      </c>
      <c r="BD7" s="36">
        <v>54</v>
      </c>
      <c r="BE7" s="36"/>
      <c r="BF7" s="36">
        <v>55</v>
      </c>
      <c r="BG7" s="36">
        <v>56</v>
      </c>
    </row>
    <row r="8" spans="1:59" s="22" customFormat="1" ht="13.5" thickBot="1">
      <c r="A8" s="25" t="s">
        <v>52</v>
      </c>
      <c r="B8" s="286"/>
      <c r="C8" s="286">
        <f>Лист1!C44</f>
        <v>234799.925</v>
      </c>
      <c r="D8" s="286">
        <f>Лист1!D44</f>
        <v>22197.07338325001</v>
      </c>
      <c r="E8" s="286">
        <f>Лист1!E44</f>
        <v>21072.840000000004</v>
      </c>
      <c r="F8" s="286">
        <f>Лист1!F44</f>
        <v>3774.2099999999996</v>
      </c>
      <c r="G8" s="286">
        <f>0</f>
        <v>0</v>
      </c>
      <c r="H8" s="286">
        <f>0</f>
        <v>0</v>
      </c>
      <c r="I8" s="286">
        <f>Лист1!G44</f>
        <v>28503</v>
      </c>
      <c r="J8" s="286">
        <f>Лист1!H44</f>
        <v>5109.12</v>
      </c>
      <c r="K8" s="286">
        <f>Лист1!K44</f>
        <v>47468.72</v>
      </c>
      <c r="L8" s="286">
        <f>Лист1!L44</f>
        <v>8505.97</v>
      </c>
      <c r="M8" s="286">
        <f>Лист1!I44</f>
        <v>68541.77</v>
      </c>
      <c r="N8" s="286">
        <f>Лист1!J44</f>
        <v>12280.04</v>
      </c>
      <c r="O8" s="286">
        <f>Лист1!M44</f>
        <v>16858.359999999997</v>
      </c>
      <c r="P8" s="286">
        <f>Лист1!N44</f>
        <v>3019.3500000000004</v>
      </c>
      <c r="Q8" s="286">
        <f>'[10]Лист1'!O44</f>
        <v>0</v>
      </c>
      <c r="R8" s="286">
        <f>'[10]Лист1'!P44</f>
        <v>0</v>
      </c>
      <c r="S8" s="286">
        <f>'[10]Лист1'!Q44</f>
        <v>0</v>
      </c>
      <c r="T8" s="286">
        <f>'[10]Лист1'!R44</f>
        <v>0</v>
      </c>
      <c r="U8" s="286">
        <f>Лист1!S44</f>
        <v>182444.68999999997</v>
      </c>
      <c r="V8" s="286">
        <f>Лист1!T44</f>
        <v>32688.689999999995</v>
      </c>
      <c r="W8" s="286">
        <f>Лист1!U44</f>
        <v>20374.45</v>
      </c>
      <c r="X8" s="286">
        <v>0</v>
      </c>
      <c r="Y8" s="286">
        <f>Лист1!V44</f>
        <v>27555.550000000003</v>
      </c>
      <c r="Z8" s="286">
        <f>Лист1!X44</f>
        <v>45892.68</v>
      </c>
      <c r="AA8" s="286">
        <f>Лист1!W44</f>
        <v>66267.31</v>
      </c>
      <c r="AB8" s="286">
        <f>Лист1!Y44</f>
        <v>16299.580000000002</v>
      </c>
      <c r="AC8" s="286">
        <f>'[11]Лист1'!Z42</f>
        <v>0</v>
      </c>
      <c r="AD8" s="286">
        <f>'[11]Лист1'!AA42</f>
        <v>0</v>
      </c>
      <c r="AE8" s="286">
        <f>0</f>
        <v>0</v>
      </c>
      <c r="AF8" s="286">
        <f>Лист1!AB44</f>
        <v>176389.57</v>
      </c>
      <c r="AG8" s="286">
        <f>Лист1!AC44</f>
        <v>231275.33338325002</v>
      </c>
      <c r="AH8" s="286">
        <f>'[7]Лист1'!AD42</f>
        <v>0</v>
      </c>
      <c r="AI8" s="286">
        <f>'[11]Лист1'!AE42</f>
        <v>0</v>
      </c>
      <c r="AJ8" s="286">
        <f>Лист1!AF44</f>
        <v>177310.79664000002</v>
      </c>
      <c r="AK8" s="286">
        <f>Лист1!AG44</f>
        <v>16045.380000000001</v>
      </c>
      <c r="AL8" s="286">
        <f>Лист1!AH44</f>
        <v>5376.525516</v>
      </c>
      <c r="AM8" s="286">
        <f>Лист1!AI44+Лист1!AJ44</f>
        <v>26635.902996475</v>
      </c>
      <c r="AN8" s="286">
        <v>0</v>
      </c>
      <c r="AO8" s="286">
        <f>Лист1!AK44+Лист1!AL44</f>
        <v>26567.228345254996</v>
      </c>
      <c r="AP8" s="286">
        <f>Лист1!AM44+Лист1!AN44</f>
        <v>59432.891193907</v>
      </c>
      <c r="AQ8" s="286">
        <v>0</v>
      </c>
      <c r="AR8" s="286">
        <v>0</v>
      </c>
      <c r="AS8" s="286">
        <v>0</v>
      </c>
      <c r="AT8" s="286">
        <f>Лист1!AO44</f>
        <v>1977.48</v>
      </c>
      <c r="AU8" s="286">
        <f>Лист1!AS44</f>
        <v>48341.84</v>
      </c>
      <c r="AV8" s="286">
        <v>0</v>
      </c>
      <c r="AW8" s="286">
        <f>Лист1!AT44+Лист1!AU44</f>
        <v>74926.24799999999</v>
      </c>
      <c r="AX8" s="286">
        <f>Лист1!AQ44+Лист1!AR44</f>
        <v>8233.997599999999</v>
      </c>
      <c r="AY8" s="287">
        <f>Лист1!AX44</f>
        <v>5388.7724</v>
      </c>
      <c r="AZ8" s="287">
        <f>'[10]Лист1'!AY44</f>
        <v>0</v>
      </c>
      <c r="BA8" s="287">
        <v>0</v>
      </c>
      <c r="BB8" s="287">
        <v>0</v>
      </c>
      <c r="BC8" s="287">
        <f>Лист1!BB44</f>
        <v>272926.266051637</v>
      </c>
      <c r="BD8" s="287">
        <f>Лист1!BC44</f>
        <v>69847.4390811254</v>
      </c>
      <c r="BE8" s="225">
        <f>BC8+BD8</f>
        <v>342773.70513276244</v>
      </c>
      <c r="BF8" s="236">
        <f>Лист1!BE44</f>
        <v>65812.4248904876</v>
      </c>
      <c r="BG8" s="236">
        <f>Лист1!BF44</f>
        <v>-6055.120000000005</v>
      </c>
    </row>
    <row r="9" spans="1:59" ht="12.75">
      <c r="A9" s="5" t="s">
        <v>94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4"/>
      <c r="BF9" s="236"/>
      <c r="BG9" s="240"/>
    </row>
    <row r="10" spans="1:59" ht="12.75">
      <c r="A10" s="224" t="s">
        <v>43</v>
      </c>
      <c r="B10" s="235">
        <v>1005</v>
      </c>
      <c r="C10" s="189">
        <f aca="true" t="shared" si="0" ref="C10:C21">B10*8.55</f>
        <v>8592.75</v>
      </c>
      <c r="D10" s="204">
        <v>0</v>
      </c>
      <c r="E10" s="257">
        <v>0</v>
      </c>
      <c r="F10" s="257">
        <v>0</v>
      </c>
      <c r="G10" s="258">
        <v>5404.02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2624.8</v>
      </c>
      <c r="N10" s="258">
        <v>0</v>
      </c>
      <c r="O10" s="263">
        <v>910.87</v>
      </c>
      <c r="P10" s="270">
        <v>0</v>
      </c>
      <c r="Q10" s="283">
        <v>0</v>
      </c>
      <c r="R10" s="282">
        <v>0</v>
      </c>
      <c r="S10" s="260">
        <v>0</v>
      </c>
      <c r="T10" s="268">
        <v>0</v>
      </c>
      <c r="U10" s="281">
        <f aca="true" t="shared" si="1" ref="U10:V21">E10+G10+I10+K10+M10+O10+Q10+S10</f>
        <v>8939.69</v>
      </c>
      <c r="V10" s="280">
        <f t="shared" si="1"/>
        <v>0</v>
      </c>
      <c r="W10" s="258">
        <v>637.43</v>
      </c>
      <c r="X10" s="258"/>
      <c r="Y10" s="258">
        <v>863.01</v>
      </c>
      <c r="Z10" s="258">
        <v>1436.76</v>
      </c>
      <c r="AA10" s="258">
        <v>2074.18</v>
      </c>
      <c r="AB10" s="258">
        <v>509.97</v>
      </c>
      <c r="AC10" s="258">
        <v>0</v>
      </c>
      <c r="AD10" s="257">
        <v>0</v>
      </c>
      <c r="AE10" s="256">
        <v>0</v>
      </c>
      <c r="AF10" s="256">
        <f>SUM(W10:AE10)</f>
        <v>5521.349999999999</v>
      </c>
      <c r="AG10" s="277">
        <f>AF10+V10+D10</f>
        <v>5521.349999999999</v>
      </c>
      <c r="AH10" s="276">
        <f aca="true" t="shared" si="2" ref="AH10:AI21">AC10</f>
        <v>0</v>
      </c>
      <c r="AI10" s="276">
        <f t="shared" si="2"/>
        <v>0</v>
      </c>
      <c r="AJ10" s="275">
        <f>'[8]Т01'!$I$19+'[8]Т01'!$I$148</f>
        <v>7468.746000000001</v>
      </c>
      <c r="AK10" s="229">
        <f aca="true" t="shared" si="3" ref="AK10:AK21">0.67*B10</f>
        <v>673.35</v>
      </c>
      <c r="AL10" s="229">
        <f aca="true" t="shared" si="4" ref="AL10:AL21">B10*0.2</f>
        <v>201</v>
      </c>
      <c r="AM10" s="229">
        <f aca="true" t="shared" si="5" ref="AM10:AM21">B10*1</f>
        <v>1005</v>
      </c>
      <c r="AN10" s="229">
        <f aca="true" t="shared" si="6" ref="AN10:AN21">B10*0.21</f>
        <v>211.04999999999998</v>
      </c>
      <c r="AO10" s="229">
        <f aca="true" t="shared" si="7" ref="AO10:AO21">2.02*B10</f>
        <v>2030.1</v>
      </c>
      <c r="AP10" s="229">
        <f aca="true" t="shared" si="8" ref="AP10:AP21">B10*1.03</f>
        <v>1035.15</v>
      </c>
      <c r="AQ10" s="229">
        <f aca="true" t="shared" si="9" ref="AQ10:AQ21">B10*0.75</f>
        <v>753.75</v>
      </c>
      <c r="AR10" s="229">
        <f aca="true" t="shared" si="10" ref="AR10:AR21">B10*0.75</f>
        <v>753.75</v>
      </c>
      <c r="AS10" s="229">
        <f>B10*1.15</f>
        <v>1155.75</v>
      </c>
      <c r="AT10" s="229"/>
      <c r="AU10" s="273"/>
      <c r="AV10" s="279">
        <v>1630</v>
      </c>
      <c r="AW10" s="273"/>
      <c r="AX10" s="273">
        <f>115.5+553</f>
        <v>668.5</v>
      </c>
      <c r="AY10" s="197"/>
      <c r="AZ10" s="343"/>
      <c r="BA10" s="226"/>
      <c r="BB10" s="226">
        <f>BA10*0.18</f>
        <v>0</v>
      </c>
      <c r="BC10" s="226">
        <f aca="true" t="shared" si="11" ref="BC10:BC21">SUM(AK10:BB10)</f>
        <v>10117.4</v>
      </c>
      <c r="BD10" s="227">
        <f>'[8]Т01'!$R$19+'[8]Т01'!$R$148</f>
        <v>4515.5070000000005</v>
      </c>
      <c r="BE10" s="227">
        <f>BC10+BD10</f>
        <v>14632.907</v>
      </c>
      <c r="BF10" s="227">
        <f>AG10+AJ10-BE10</f>
        <v>-1642.8109999999979</v>
      </c>
      <c r="BG10" s="227">
        <f>AF10-U10</f>
        <v>-3418.340000000001</v>
      </c>
    </row>
    <row r="11" spans="1:59" ht="12.75">
      <c r="A11" s="224" t="s">
        <v>44</v>
      </c>
      <c r="B11" s="235">
        <v>1005</v>
      </c>
      <c r="C11" s="189">
        <f t="shared" si="0"/>
        <v>8592.75</v>
      </c>
      <c r="D11" s="204">
        <v>0</v>
      </c>
      <c r="E11" s="257">
        <v>0</v>
      </c>
      <c r="F11" s="257">
        <v>0</v>
      </c>
      <c r="G11" s="258">
        <v>5404.02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2624.8</v>
      </c>
      <c r="N11" s="258">
        <v>0</v>
      </c>
      <c r="O11" s="263">
        <v>910.87</v>
      </c>
      <c r="P11" s="262">
        <v>0</v>
      </c>
      <c r="Q11" s="257">
        <v>0</v>
      </c>
      <c r="R11" s="257">
        <v>0</v>
      </c>
      <c r="S11" s="257">
        <v>0</v>
      </c>
      <c r="T11" s="258">
        <v>0</v>
      </c>
      <c r="U11" s="267">
        <f t="shared" si="1"/>
        <v>8939.69</v>
      </c>
      <c r="V11" s="280">
        <f t="shared" si="1"/>
        <v>0</v>
      </c>
      <c r="W11" s="258">
        <v>114</v>
      </c>
      <c r="X11" s="257">
        <v>5521.62</v>
      </c>
      <c r="Y11" s="258">
        <v>154.04</v>
      </c>
      <c r="Z11" s="258">
        <v>256.63</v>
      </c>
      <c r="AA11" s="258">
        <v>3156.81</v>
      </c>
      <c r="AB11" s="258">
        <v>1063.19</v>
      </c>
      <c r="AC11" s="258">
        <v>0</v>
      </c>
      <c r="AD11" s="257">
        <v>0</v>
      </c>
      <c r="AE11" s="257">
        <v>0</v>
      </c>
      <c r="AF11" s="256">
        <f>SUM(W11:AE11)</f>
        <v>10266.29</v>
      </c>
      <c r="AG11" s="277">
        <f>AF11+V11+D11</f>
        <v>10266.29</v>
      </c>
      <c r="AH11" s="276">
        <f t="shared" si="2"/>
        <v>0</v>
      </c>
      <c r="AI11" s="276">
        <f t="shared" si="2"/>
        <v>0</v>
      </c>
      <c r="AJ11" s="275">
        <f>'[8]Т02'!$J$19+'[8]Т02'!$J$150</f>
        <v>7468.746000000001</v>
      </c>
      <c r="AK11" s="229">
        <f t="shared" si="3"/>
        <v>673.35</v>
      </c>
      <c r="AL11" s="229">
        <f t="shared" si="4"/>
        <v>201</v>
      </c>
      <c r="AM11" s="229">
        <f t="shared" si="5"/>
        <v>1005</v>
      </c>
      <c r="AN11" s="229">
        <f t="shared" si="6"/>
        <v>211.04999999999998</v>
      </c>
      <c r="AO11" s="229">
        <f t="shared" si="7"/>
        <v>2030.1</v>
      </c>
      <c r="AP11" s="229">
        <f t="shared" si="8"/>
        <v>1035.15</v>
      </c>
      <c r="AQ11" s="229">
        <f t="shared" si="9"/>
        <v>753.75</v>
      </c>
      <c r="AR11" s="229">
        <f t="shared" si="10"/>
        <v>753.75</v>
      </c>
      <c r="AS11" s="229">
        <f>B11*1.15</f>
        <v>1155.75</v>
      </c>
      <c r="AT11" s="229">
        <f aca="true" t="shared" si="12" ref="AT11:AT21">0.45*366.2</f>
        <v>164.79</v>
      </c>
      <c r="AU11" s="273"/>
      <c r="AV11" s="279"/>
      <c r="AW11" s="273"/>
      <c r="AX11" s="273">
        <f>22.56</f>
        <v>22.56</v>
      </c>
      <c r="AY11" s="197"/>
      <c r="AZ11" s="343"/>
      <c r="BA11" s="226"/>
      <c r="BB11" s="226">
        <f>BA11*0.18</f>
        <v>0</v>
      </c>
      <c r="BC11" s="226">
        <f t="shared" si="11"/>
        <v>8006.25</v>
      </c>
      <c r="BD11" s="227">
        <f>'[8]Т02'!$S$19+'[8]Т02'!$S$149</f>
        <v>4515.5070000000005</v>
      </c>
      <c r="BE11" s="227">
        <f aca="true" t="shared" si="13" ref="BE11:BE21">BC11+BD11</f>
        <v>12521.757000000001</v>
      </c>
      <c r="BF11" s="227">
        <f aca="true" t="shared" si="14" ref="BF11:BF21">AG11+AJ11-BE11</f>
        <v>5213.278999999999</v>
      </c>
      <c r="BG11" s="227">
        <f aca="true" t="shared" si="15" ref="BG11:BG21">AF11-U11</f>
        <v>1326.6000000000004</v>
      </c>
    </row>
    <row r="12" spans="1:59" ht="12.75">
      <c r="A12" s="224" t="s">
        <v>45</v>
      </c>
      <c r="B12" s="235">
        <v>1005</v>
      </c>
      <c r="C12" s="189">
        <f t="shared" si="0"/>
        <v>8592.75</v>
      </c>
      <c r="D12" s="204">
        <v>0</v>
      </c>
      <c r="E12" s="257">
        <v>0</v>
      </c>
      <c r="F12" s="257">
        <v>0</v>
      </c>
      <c r="G12" s="258">
        <v>5404.02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2624.8</v>
      </c>
      <c r="N12" s="258">
        <v>0</v>
      </c>
      <c r="O12" s="263">
        <v>910.87</v>
      </c>
      <c r="P12" s="271">
        <v>0</v>
      </c>
      <c r="Q12" s="242">
        <v>0</v>
      </c>
      <c r="R12" s="242">
        <v>0</v>
      </c>
      <c r="S12" s="242">
        <v>0</v>
      </c>
      <c r="T12" s="258">
        <v>0</v>
      </c>
      <c r="U12" s="258">
        <f t="shared" si="1"/>
        <v>8939.69</v>
      </c>
      <c r="V12" s="266">
        <f t="shared" si="1"/>
        <v>0</v>
      </c>
      <c r="W12" s="272">
        <v>25.78</v>
      </c>
      <c r="X12" s="257">
        <v>6081.25</v>
      </c>
      <c r="Y12" s="258">
        <v>34.89</v>
      </c>
      <c r="Z12" s="258">
        <v>58.1</v>
      </c>
      <c r="AA12" s="258">
        <v>2819.35</v>
      </c>
      <c r="AB12" s="258">
        <v>976.41</v>
      </c>
      <c r="AC12" s="258">
        <v>0</v>
      </c>
      <c r="AD12" s="257">
        <v>0</v>
      </c>
      <c r="AE12" s="258">
        <v>0</v>
      </c>
      <c r="AF12" s="278">
        <f>SUM(W12:AE12)</f>
        <v>9995.78</v>
      </c>
      <c r="AG12" s="277">
        <f>AF12+V12+D12</f>
        <v>9995.78</v>
      </c>
      <c r="AH12" s="276">
        <f t="shared" si="2"/>
        <v>0</v>
      </c>
      <c r="AI12" s="276">
        <f t="shared" si="2"/>
        <v>0</v>
      </c>
      <c r="AJ12" s="275">
        <f>'[8]Т03'!$J$19+'[8]Т03'!$J$150</f>
        <v>7468.746000000001</v>
      </c>
      <c r="AK12" s="229">
        <f t="shared" si="3"/>
        <v>673.35</v>
      </c>
      <c r="AL12" s="229">
        <f t="shared" si="4"/>
        <v>201</v>
      </c>
      <c r="AM12" s="229">
        <f t="shared" si="5"/>
        <v>1005</v>
      </c>
      <c r="AN12" s="229">
        <f t="shared" si="6"/>
        <v>211.04999999999998</v>
      </c>
      <c r="AO12" s="229">
        <f t="shared" si="7"/>
        <v>2030.1</v>
      </c>
      <c r="AP12" s="229">
        <f t="shared" si="8"/>
        <v>1035.15</v>
      </c>
      <c r="AQ12" s="229">
        <f t="shared" si="9"/>
        <v>753.75</v>
      </c>
      <c r="AR12" s="229">
        <f t="shared" si="10"/>
        <v>753.75</v>
      </c>
      <c r="AS12" s="229">
        <f>B12*1.15</f>
        <v>1155.75</v>
      </c>
      <c r="AT12" s="229">
        <f t="shared" si="12"/>
        <v>164.79</v>
      </c>
      <c r="AU12" s="273"/>
      <c r="AV12" s="274"/>
      <c r="AW12" s="273"/>
      <c r="AX12" s="273"/>
      <c r="AY12" s="197"/>
      <c r="AZ12" s="343"/>
      <c r="BA12" s="226"/>
      <c r="BB12" s="226">
        <f>BA12*0.18</f>
        <v>0</v>
      </c>
      <c r="BC12" s="226">
        <f t="shared" si="11"/>
        <v>7983.69</v>
      </c>
      <c r="BD12" s="227">
        <f>'[8]Т03'!$S$19+'[8]Т03'!$S$150</f>
        <v>4515.5070000000005</v>
      </c>
      <c r="BE12" s="227">
        <f t="shared" si="13"/>
        <v>12499.197</v>
      </c>
      <c r="BF12" s="227">
        <f t="shared" si="14"/>
        <v>4965.3290000000015</v>
      </c>
      <c r="BG12" s="227">
        <f t="shared" si="15"/>
        <v>1056.0900000000001</v>
      </c>
    </row>
    <row r="13" spans="1:59" ht="12.75">
      <c r="A13" s="224" t="s">
        <v>46</v>
      </c>
      <c r="B13" s="235">
        <v>1005</v>
      </c>
      <c r="C13" s="189">
        <f t="shared" si="0"/>
        <v>8592.75</v>
      </c>
      <c r="D13" s="254">
        <v>0</v>
      </c>
      <c r="E13" s="260">
        <v>0</v>
      </c>
      <c r="F13" s="257">
        <v>0</v>
      </c>
      <c r="G13" s="272">
        <v>5404.02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2624.8</v>
      </c>
      <c r="N13" s="258">
        <v>0</v>
      </c>
      <c r="O13" s="263">
        <v>910.87</v>
      </c>
      <c r="P13" s="270">
        <v>0</v>
      </c>
      <c r="Q13" s="271">
        <v>0</v>
      </c>
      <c r="R13" s="270">
        <v>0</v>
      </c>
      <c r="S13" s="269">
        <v>0</v>
      </c>
      <c r="T13" s="268">
        <v>0</v>
      </c>
      <c r="U13" s="267">
        <f t="shared" si="1"/>
        <v>8939.69</v>
      </c>
      <c r="V13" s="266">
        <f t="shared" si="1"/>
        <v>0</v>
      </c>
      <c r="W13" s="258">
        <v>23.56</v>
      </c>
      <c r="X13" s="257">
        <v>4487.2</v>
      </c>
      <c r="Y13" s="258">
        <v>31.88</v>
      </c>
      <c r="Z13" s="258">
        <v>53.08</v>
      </c>
      <c r="AA13" s="258">
        <v>2184.44</v>
      </c>
      <c r="AB13" s="257">
        <v>757.47</v>
      </c>
      <c r="AC13" s="258">
        <v>0</v>
      </c>
      <c r="AD13" s="257">
        <v>0</v>
      </c>
      <c r="AE13" s="257">
        <v>0</v>
      </c>
      <c r="AF13" s="256">
        <f>SUM(W13:AD13)</f>
        <v>7537.63</v>
      </c>
      <c r="AG13" s="245">
        <f>AF13+V13+D13</f>
        <v>7537.63</v>
      </c>
      <c r="AH13" s="244">
        <f t="shared" si="2"/>
        <v>0</v>
      </c>
      <c r="AI13" s="244">
        <f t="shared" si="2"/>
        <v>0</v>
      </c>
      <c r="AJ13" s="243">
        <f>'[9]Т04'!$J$19+'[9]Т04'!$J$152</f>
        <v>7468.746000000001</v>
      </c>
      <c r="AK13" s="229">
        <f t="shared" si="3"/>
        <v>673.35</v>
      </c>
      <c r="AL13" s="229">
        <f t="shared" si="4"/>
        <v>201</v>
      </c>
      <c r="AM13" s="229">
        <f t="shared" si="5"/>
        <v>1005</v>
      </c>
      <c r="AN13" s="229">
        <f t="shared" si="6"/>
        <v>211.04999999999998</v>
      </c>
      <c r="AO13" s="229">
        <f t="shared" si="7"/>
        <v>2030.1</v>
      </c>
      <c r="AP13" s="229">
        <f t="shared" si="8"/>
        <v>1035.15</v>
      </c>
      <c r="AQ13" s="229">
        <f t="shared" si="9"/>
        <v>753.75</v>
      </c>
      <c r="AR13" s="229">
        <f t="shared" si="10"/>
        <v>753.75</v>
      </c>
      <c r="AS13" s="229"/>
      <c r="AT13" s="228">
        <f t="shared" si="12"/>
        <v>164.79</v>
      </c>
      <c r="AU13" s="237"/>
      <c r="AV13" s="237"/>
      <c r="AW13" s="237"/>
      <c r="AX13" s="237">
        <f>45</f>
        <v>45</v>
      </c>
      <c r="AY13" s="197"/>
      <c r="AZ13" s="197"/>
      <c r="BA13" s="228"/>
      <c r="BB13" s="228"/>
      <c r="BC13" s="242">
        <f t="shared" si="11"/>
        <v>6872.94</v>
      </c>
      <c r="BD13" s="241">
        <f>'[8]Т04'!$S$19+'[8]Т04'!$S$152</f>
        <v>4515.5070000000005</v>
      </c>
      <c r="BE13" s="227">
        <f t="shared" si="13"/>
        <v>11388.447</v>
      </c>
      <c r="BF13" s="227">
        <f t="shared" si="14"/>
        <v>3617.929</v>
      </c>
      <c r="BG13" s="227">
        <f t="shared" si="15"/>
        <v>-1402.0600000000004</v>
      </c>
    </row>
    <row r="14" spans="1:59" ht="12.75">
      <c r="A14" s="224" t="s">
        <v>47</v>
      </c>
      <c r="B14" s="265">
        <v>1005</v>
      </c>
      <c r="C14" s="189">
        <f t="shared" si="0"/>
        <v>8592.75</v>
      </c>
      <c r="D14" s="254">
        <v>0</v>
      </c>
      <c r="E14" s="264">
        <v>0</v>
      </c>
      <c r="F14" s="257">
        <v>0</v>
      </c>
      <c r="G14" s="258">
        <v>5389.6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2617.72</v>
      </c>
      <c r="N14" s="258">
        <v>0</v>
      </c>
      <c r="O14" s="263">
        <v>908.34</v>
      </c>
      <c r="P14" s="270">
        <v>0</v>
      </c>
      <c r="Q14" s="242">
        <v>0</v>
      </c>
      <c r="R14" s="261">
        <v>0</v>
      </c>
      <c r="S14" s="242">
        <v>0</v>
      </c>
      <c r="T14" s="257">
        <v>0</v>
      </c>
      <c r="U14" s="260">
        <f t="shared" si="1"/>
        <v>8915.66</v>
      </c>
      <c r="V14" s="259">
        <f>F14+H14+J14+L14+N14++R14+T14</f>
        <v>0</v>
      </c>
      <c r="W14" s="258">
        <v>0.14</v>
      </c>
      <c r="X14" s="257">
        <v>4821.36</v>
      </c>
      <c r="Y14" s="258">
        <v>0.19</v>
      </c>
      <c r="Z14" s="258">
        <v>0.31</v>
      </c>
      <c r="AA14" s="258">
        <v>2343.02</v>
      </c>
      <c r="AB14" s="258">
        <v>812.79</v>
      </c>
      <c r="AC14" s="258">
        <v>0</v>
      </c>
      <c r="AD14" s="257">
        <v>0</v>
      </c>
      <c r="AE14" s="256">
        <v>0</v>
      </c>
      <c r="AF14" s="255">
        <f>SUM(W14:AE14)</f>
        <v>7977.81</v>
      </c>
      <c r="AG14" s="245">
        <f aca="true" t="shared" si="16" ref="AG14:AG21">D14+V14+AF14</f>
        <v>7977.81</v>
      </c>
      <c r="AH14" s="244">
        <f t="shared" si="2"/>
        <v>0</v>
      </c>
      <c r="AI14" s="244">
        <f t="shared" si="2"/>
        <v>0</v>
      </c>
      <c r="AJ14" s="243">
        <f>'[8]Т05'!$J$19+'[8]Т05'!$J$150</f>
        <v>7468.746000000001</v>
      </c>
      <c r="AK14" s="229">
        <f t="shared" si="3"/>
        <v>673.35</v>
      </c>
      <c r="AL14" s="229">
        <f t="shared" si="4"/>
        <v>201</v>
      </c>
      <c r="AM14" s="229">
        <f t="shared" si="5"/>
        <v>1005</v>
      </c>
      <c r="AN14" s="229">
        <f t="shared" si="6"/>
        <v>211.04999999999998</v>
      </c>
      <c r="AO14" s="229">
        <f t="shared" si="7"/>
        <v>2030.1</v>
      </c>
      <c r="AP14" s="229">
        <f t="shared" si="8"/>
        <v>1035.15</v>
      </c>
      <c r="AQ14" s="229">
        <f t="shared" si="9"/>
        <v>753.75</v>
      </c>
      <c r="AR14" s="229">
        <f t="shared" si="10"/>
        <v>753.75</v>
      </c>
      <c r="AS14" s="229"/>
      <c r="AT14" s="228">
        <f t="shared" si="12"/>
        <v>164.79</v>
      </c>
      <c r="AU14" s="237"/>
      <c r="AV14" s="237"/>
      <c r="AW14" s="237">
        <v>7223</v>
      </c>
      <c r="AX14" s="237">
        <f>1106+13+312</f>
        <v>1431</v>
      </c>
      <c r="AY14" s="197"/>
      <c r="AZ14" s="197"/>
      <c r="BA14" s="228"/>
      <c r="BB14" s="228"/>
      <c r="BC14" s="242">
        <f t="shared" si="11"/>
        <v>15481.939999999999</v>
      </c>
      <c r="BD14" s="241">
        <f>'[8]Т05'!$S$19+'[8]Т05'!$S$150</f>
        <v>4515.5070000000005</v>
      </c>
      <c r="BE14" s="227">
        <f t="shared" si="13"/>
        <v>19997.447</v>
      </c>
      <c r="BF14" s="227">
        <f t="shared" si="14"/>
        <v>-4550.891</v>
      </c>
      <c r="BG14" s="227">
        <f t="shared" si="15"/>
        <v>-937.8499999999995</v>
      </c>
    </row>
    <row r="15" spans="1:59" ht="12.75">
      <c r="A15" s="224" t="s">
        <v>48</v>
      </c>
      <c r="B15" s="235">
        <v>1005</v>
      </c>
      <c r="C15" s="189">
        <f t="shared" si="0"/>
        <v>8592.75</v>
      </c>
      <c r="D15" s="254">
        <v>0</v>
      </c>
      <c r="E15" s="248">
        <v>0</v>
      </c>
      <c r="F15" s="248"/>
      <c r="G15" s="248">
        <v>5385.95</v>
      </c>
      <c r="H15" s="248"/>
      <c r="I15" s="252">
        <v>0</v>
      </c>
      <c r="J15" s="252"/>
      <c r="K15" s="252">
        <v>0</v>
      </c>
      <c r="L15" s="252"/>
      <c r="M15" s="252">
        <v>2615.93</v>
      </c>
      <c r="N15" s="252"/>
      <c r="O15" s="252">
        <v>907.7</v>
      </c>
      <c r="P15" s="252"/>
      <c r="Q15" s="252">
        <v>0</v>
      </c>
      <c r="R15" s="253"/>
      <c r="S15" s="253">
        <v>0</v>
      </c>
      <c r="T15" s="252"/>
      <c r="U15" s="251">
        <f t="shared" si="1"/>
        <v>8909.58</v>
      </c>
      <c r="V15" s="250">
        <f t="shared" si="1"/>
        <v>0</v>
      </c>
      <c r="W15" s="249">
        <v>-56.6</v>
      </c>
      <c r="X15" s="248">
        <v>6176.97</v>
      </c>
      <c r="Y15" s="248">
        <v>-76.6</v>
      </c>
      <c r="Z15" s="248">
        <v>-127.53</v>
      </c>
      <c r="AA15" s="248">
        <v>2988.67</v>
      </c>
      <c r="AB15" s="248">
        <v>1041.17</v>
      </c>
      <c r="AC15" s="248">
        <v>0</v>
      </c>
      <c r="AD15" s="248">
        <v>0</v>
      </c>
      <c r="AE15" s="247">
        <v>0</v>
      </c>
      <c r="AF15" s="246">
        <f aca="true" t="shared" si="17" ref="AF15:AF21">SUM(W15:AE15)</f>
        <v>9946.08</v>
      </c>
      <c r="AG15" s="245">
        <f t="shared" si="16"/>
        <v>9946.08</v>
      </c>
      <c r="AH15" s="244">
        <f t="shared" si="2"/>
        <v>0</v>
      </c>
      <c r="AI15" s="244">
        <f t="shared" si="2"/>
        <v>0</v>
      </c>
      <c r="AJ15" s="243">
        <f>'[8]Т06'!$J$19+'[8]Т06'!$J$150</f>
        <v>7468.746000000001</v>
      </c>
      <c r="AK15" s="229">
        <f t="shared" si="3"/>
        <v>673.35</v>
      </c>
      <c r="AL15" s="229">
        <f t="shared" si="4"/>
        <v>201</v>
      </c>
      <c r="AM15" s="229">
        <f t="shared" si="5"/>
        <v>1005</v>
      </c>
      <c r="AN15" s="229">
        <f t="shared" si="6"/>
        <v>211.04999999999998</v>
      </c>
      <c r="AO15" s="229">
        <f t="shared" si="7"/>
        <v>2030.1</v>
      </c>
      <c r="AP15" s="229">
        <f t="shared" si="8"/>
        <v>1035.15</v>
      </c>
      <c r="AQ15" s="229">
        <f t="shared" si="9"/>
        <v>753.75</v>
      </c>
      <c r="AR15" s="229">
        <f t="shared" si="10"/>
        <v>753.75</v>
      </c>
      <c r="AS15" s="229"/>
      <c r="AT15" s="228">
        <f t="shared" si="12"/>
        <v>164.79</v>
      </c>
      <c r="AU15" s="237"/>
      <c r="AV15" s="237"/>
      <c r="AW15" s="237">
        <v>3274</v>
      </c>
      <c r="AX15" s="237"/>
      <c r="AY15" s="229"/>
      <c r="AZ15" s="229"/>
      <c r="BA15" s="228"/>
      <c r="BB15" s="228"/>
      <c r="BC15" s="326">
        <f t="shared" si="11"/>
        <v>10101.939999999999</v>
      </c>
      <c r="BD15" s="241">
        <f>'[8]Т06'!$S$19+'[8]Т06'!$S$150</f>
        <v>4515.5070000000005</v>
      </c>
      <c r="BE15" s="227">
        <f t="shared" si="13"/>
        <v>14617.447</v>
      </c>
      <c r="BF15" s="227">
        <f t="shared" si="14"/>
        <v>2797.379000000001</v>
      </c>
      <c r="BG15" s="227">
        <f t="shared" si="15"/>
        <v>1036.5</v>
      </c>
    </row>
    <row r="16" spans="1:59" ht="12.75">
      <c r="A16" s="224" t="s">
        <v>49</v>
      </c>
      <c r="B16" s="235">
        <v>1005</v>
      </c>
      <c r="C16" s="189">
        <f t="shared" si="0"/>
        <v>8592.75</v>
      </c>
      <c r="D16" s="254">
        <v>0</v>
      </c>
      <c r="E16" s="232"/>
      <c r="F16" s="232"/>
      <c r="G16" s="232">
        <v>9899.27</v>
      </c>
      <c r="H16" s="232"/>
      <c r="I16" s="232"/>
      <c r="J16" s="232"/>
      <c r="K16" s="232"/>
      <c r="L16" s="232"/>
      <c r="M16" s="232">
        <v>3015.01</v>
      </c>
      <c r="N16" s="232"/>
      <c r="O16" s="232">
        <v>1206</v>
      </c>
      <c r="P16" s="232"/>
      <c r="Q16" s="232"/>
      <c r="R16" s="232"/>
      <c r="S16" s="231"/>
      <c r="T16" s="249"/>
      <c r="U16" s="239">
        <f t="shared" si="1"/>
        <v>14120.28</v>
      </c>
      <c r="V16" s="327">
        <f t="shared" si="1"/>
        <v>0</v>
      </c>
      <c r="W16" s="238">
        <v>0</v>
      </c>
      <c r="X16" s="232">
        <v>5184.4</v>
      </c>
      <c r="Y16" s="232">
        <v>0</v>
      </c>
      <c r="Z16" s="232">
        <v>0</v>
      </c>
      <c r="AA16" s="232">
        <v>2443.15</v>
      </c>
      <c r="AB16" s="232">
        <v>851.7</v>
      </c>
      <c r="AC16" s="248"/>
      <c r="AD16" s="232"/>
      <c r="AE16" s="231"/>
      <c r="AF16" s="246">
        <f t="shared" si="17"/>
        <v>8479.25</v>
      </c>
      <c r="AG16" s="230">
        <f t="shared" si="16"/>
        <v>8479.25</v>
      </c>
      <c r="AH16" s="244">
        <f t="shared" si="2"/>
        <v>0</v>
      </c>
      <c r="AI16" s="244">
        <f t="shared" si="2"/>
        <v>0</v>
      </c>
      <c r="AJ16" s="243">
        <f>'[8]Т07'!$J$19+'[8]Т07'!$J$154</f>
        <v>7468.746000000001</v>
      </c>
      <c r="AK16" s="229">
        <f t="shared" si="3"/>
        <v>673.35</v>
      </c>
      <c r="AL16" s="229">
        <f t="shared" si="4"/>
        <v>201</v>
      </c>
      <c r="AM16" s="229">
        <f t="shared" si="5"/>
        <v>1005</v>
      </c>
      <c r="AN16" s="229">
        <f t="shared" si="6"/>
        <v>211.04999999999998</v>
      </c>
      <c r="AO16" s="229">
        <f t="shared" si="7"/>
        <v>2030.1</v>
      </c>
      <c r="AP16" s="229">
        <f t="shared" si="8"/>
        <v>1035.15</v>
      </c>
      <c r="AQ16" s="229">
        <f t="shared" si="9"/>
        <v>753.75</v>
      </c>
      <c r="AR16" s="229">
        <f t="shared" si="10"/>
        <v>753.75</v>
      </c>
      <c r="AS16" s="229"/>
      <c r="AT16" s="228">
        <f t="shared" si="12"/>
        <v>164.79</v>
      </c>
      <c r="AU16" s="237"/>
      <c r="AV16" s="237"/>
      <c r="AW16" s="237"/>
      <c r="AX16" s="237">
        <f>111.43+9.43</f>
        <v>120.86000000000001</v>
      </c>
      <c r="AY16" s="197"/>
      <c r="AZ16" s="197"/>
      <c r="BA16" s="228"/>
      <c r="BB16" s="228"/>
      <c r="BC16" s="242">
        <f t="shared" si="11"/>
        <v>6948.799999999999</v>
      </c>
      <c r="BD16" s="241">
        <f>'[8]Т07'!$S$19+'[8]Т07'!$S$154</f>
        <v>4515.5070000000005</v>
      </c>
      <c r="BE16" s="227">
        <f t="shared" si="13"/>
        <v>11464.307</v>
      </c>
      <c r="BF16" s="227">
        <f t="shared" si="14"/>
        <v>4483.689</v>
      </c>
      <c r="BG16" s="227">
        <f t="shared" si="15"/>
        <v>-5641.030000000001</v>
      </c>
    </row>
    <row r="17" spans="1:59" ht="12.75">
      <c r="A17" s="224" t="s">
        <v>50</v>
      </c>
      <c r="B17" s="235">
        <v>1005</v>
      </c>
      <c r="C17" s="189">
        <f t="shared" si="0"/>
        <v>8592.75</v>
      </c>
      <c r="D17" s="254">
        <v>0</v>
      </c>
      <c r="E17" s="232"/>
      <c r="F17" s="232"/>
      <c r="G17" s="232">
        <v>9899.27</v>
      </c>
      <c r="H17" s="232"/>
      <c r="I17" s="232"/>
      <c r="J17" s="232"/>
      <c r="K17" s="232"/>
      <c r="L17" s="232"/>
      <c r="M17" s="232">
        <v>3015</v>
      </c>
      <c r="N17" s="232"/>
      <c r="O17" s="232">
        <v>1206</v>
      </c>
      <c r="P17" s="232"/>
      <c r="Q17" s="232"/>
      <c r="R17" s="232"/>
      <c r="S17" s="231"/>
      <c r="T17" s="247"/>
      <c r="U17" s="328">
        <f t="shared" si="1"/>
        <v>14120.27</v>
      </c>
      <c r="V17" s="329">
        <f t="shared" si="1"/>
        <v>0</v>
      </c>
      <c r="W17" s="232">
        <v>0</v>
      </c>
      <c r="X17" s="232">
        <v>8085.3</v>
      </c>
      <c r="Y17" s="232">
        <v>0</v>
      </c>
      <c r="Z17" s="232">
        <v>0</v>
      </c>
      <c r="AA17" s="232">
        <v>2574.71</v>
      </c>
      <c r="AB17" s="232">
        <v>1013.89</v>
      </c>
      <c r="AC17" s="232"/>
      <c r="AD17" s="232"/>
      <c r="AE17" s="231"/>
      <c r="AF17" s="246">
        <f t="shared" si="17"/>
        <v>11673.9</v>
      </c>
      <c r="AG17" s="230">
        <f t="shared" si="16"/>
        <v>11673.9</v>
      </c>
      <c r="AH17" s="244">
        <f t="shared" si="2"/>
        <v>0</v>
      </c>
      <c r="AI17" s="244">
        <f t="shared" si="2"/>
        <v>0</v>
      </c>
      <c r="AJ17" s="243">
        <f>'[8]Т08'!$J$19+'[8]Т08'!$J$158</f>
        <v>7468.746000000001</v>
      </c>
      <c r="AK17" s="229">
        <f t="shared" si="3"/>
        <v>673.35</v>
      </c>
      <c r="AL17" s="229">
        <f t="shared" si="4"/>
        <v>201</v>
      </c>
      <c r="AM17" s="229">
        <f t="shared" si="5"/>
        <v>1005</v>
      </c>
      <c r="AN17" s="229">
        <f t="shared" si="6"/>
        <v>211.04999999999998</v>
      </c>
      <c r="AO17" s="229">
        <f t="shared" si="7"/>
        <v>2030.1</v>
      </c>
      <c r="AP17" s="229">
        <f t="shared" si="8"/>
        <v>1035.15</v>
      </c>
      <c r="AQ17" s="229">
        <f t="shared" si="9"/>
        <v>753.75</v>
      </c>
      <c r="AR17" s="229">
        <f t="shared" si="10"/>
        <v>753.75</v>
      </c>
      <c r="AS17" s="229"/>
      <c r="AT17" s="228">
        <f t="shared" si="12"/>
        <v>164.79</v>
      </c>
      <c r="AU17" s="237"/>
      <c r="AV17" s="237"/>
      <c r="AW17" s="237"/>
      <c r="AX17" s="237">
        <f>57+12</f>
        <v>69</v>
      </c>
      <c r="AY17" s="197"/>
      <c r="AZ17" s="197"/>
      <c r="BA17" s="228"/>
      <c r="BB17" s="228"/>
      <c r="BC17" s="242">
        <f t="shared" si="11"/>
        <v>6896.94</v>
      </c>
      <c r="BD17" s="241">
        <f>'[8]Т08'!$S$19+'[8]Т08'!$S$158</f>
        <v>4515.5070000000005</v>
      </c>
      <c r="BE17" s="227">
        <f t="shared" si="13"/>
        <v>11412.447</v>
      </c>
      <c r="BF17" s="227">
        <f t="shared" si="14"/>
        <v>7730.1990000000005</v>
      </c>
      <c r="BG17" s="227">
        <f t="shared" si="15"/>
        <v>-2446.370000000001</v>
      </c>
    </row>
    <row r="18" spans="1:59" ht="12.75">
      <c r="A18" s="224" t="s">
        <v>51</v>
      </c>
      <c r="B18" s="235">
        <v>1005</v>
      </c>
      <c r="C18" s="189">
        <f t="shared" si="0"/>
        <v>8592.75</v>
      </c>
      <c r="D18" s="254">
        <v>0</v>
      </c>
      <c r="E18" s="232"/>
      <c r="F18" s="232"/>
      <c r="G18" s="232">
        <v>5397.12</v>
      </c>
      <c r="H18" s="232"/>
      <c r="I18" s="232"/>
      <c r="J18" s="232"/>
      <c r="K18" s="232"/>
      <c r="L18" s="232"/>
      <c r="M18" s="232">
        <v>2621.41</v>
      </c>
      <c r="N18" s="232"/>
      <c r="O18" s="232">
        <v>909.66</v>
      </c>
      <c r="P18" s="232"/>
      <c r="Q18" s="232"/>
      <c r="R18" s="232"/>
      <c r="S18" s="231"/>
      <c r="T18" s="234"/>
      <c r="U18" s="234">
        <f t="shared" si="1"/>
        <v>8928.19</v>
      </c>
      <c r="V18" s="233">
        <f t="shared" si="1"/>
        <v>0</v>
      </c>
      <c r="W18" s="232">
        <v>0</v>
      </c>
      <c r="X18" s="232">
        <v>9293.38</v>
      </c>
      <c r="Y18" s="232">
        <v>0</v>
      </c>
      <c r="Z18" s="232">
        <v>0</v>
      </c>
      <c r="AA18" s="232">
        <v>3230.01</v>
      </c>
      <c r="AB18" s="232">
        <v>1235.24</v>
      </c>
      <c r="AC18" s="232"/>
      <c r="AD18" s="232"/>
      <c r="AE18" s="231"/>
      <c r="AF18" s="246">
        <f t="shared" si="17"/>
        <v>13758.63</v>
      </c>
      <c r="AG18" s="230">
        <f t="shared" si="16"/>
        <v>13758.63</v>
      </c>
      <c r="AH18" s="244">
        <f t="shared" si="2"/>
        <v>0</v>
      </c>
      <c r="AI18" s="244">
        <f t="shared" si="2"/>
        <v>0</v>
      </c>
      <c r="AJ18" s="243">
        <f>'[8]Т09'!$J$19+'[8]Т09'!$J$158</f>
        <v>7468.746000000001</v>
      </c>
      <c r="AK18" s="229">
        <f t="shared" si="3"/>
        <v>673.35</v>
      </c>
      <c r="AL18" s="229">
        <f t="shared" si="4"/>
        <v>201</v>
      </c>
      <c r="AM18" s="229">
        <f t="shared" si="5"/>
        <v>1005</v>
      </c>
      <c r="AN18" s="229">
        <f t="shared" si="6"/>
        <v>211.04999999999998</v>
      </c>
      <c r="AO18" s="229">
        <f t="shared" si="7"/>
        <v>2030.1</v>
      </c>
      <c r="AP18" s="229">
        <f t="shared" si="8"/>
        <v>1035.15</v>
      </c>
      <c r="AQ18" s="229">
        <f t="shared" si="9"/>
        <v>753.75</v>
      </c>
      <c r="AR18" s="229">
        <f t="shared" si="10"/>
        <v>753.75</v>
      </c>
      <c r="AS18" s="229"/>
      <c r="AT18" s="228">
        <f t="shared" si="12"/>
        <v>164.79</v>
      </c>
      <c r="AU18" s="237">
        <v>931</v>
      </c>
      <c r="AV18" s="237"/>
      <c r="AW18" s="237"/>
      <c r="AX18" s="237">
        <f>263.34+92</f>
        <v>355.34</v>
      </c>
      <c r="AY18" s="197"/>
      <c r="AZ18" s="197"/>
      <c r="BA18" s="228"/>
      <c r="BB18" s="228"/>
      <c r="BC18" s="242">
        <f t="shared" si="11"/>
        <v>8114.28</v>
      </c>
      <c r="BD18" s="241">
        <f>'[8]Т08'!$S$19+'[8]Т08'!$S$158</f>
        <v>4515.5070000000005</v>
      </c>
      <c r="BE18" s="227">
        <f t="shared" si="13"/>
        <v>12629.787</v>
      </c>
      <c r="BF18" s="227">
        <f t="shared" si="14"/>
        <v>8597.589</v>
      </c>
      <c r="BG18" s="227">
        <f t="shared" si="15"/>
        <v>4830.439999999999</v>
      </c>
    </row>
    <row r="19" spans="1:59" ht="12.75">
      <c r="A19" s="224" t="s">
        <v>39</v>
      </c>
      <c r="B19" s="235">
        <v>1005</v>
      </c>
      <c r="C19" s="189">
        <f t="shared" si="0"/>
        <v>8592.75</v>
      </c>
      <c r="D19" s="330">
        <v>0</v>
      </c>
      <c r="E19" s="248"/>
      <c r="F19" s="248"/>
      <c r="G19" s="248">
        <v>5397.12</v>
      </c>
      <c r="H19" s="248"/>
      <c r="I19" s="248"/>
      <c r="J19" s="248"/>
      <c r="K19" s="248"/>
      <c r="L19" s="248"/>
      <c r="M19" s="248">
        <v>2621.41</v>
      </c>
      <c r="N19" s="248"/>
      <c r="O19" s="248">
        <v>909.66</v>
      </c>
      <c r="P19" s="248"/>
      <c r="Q19" s="248"/>
      <c r="R19" s="248"/>
      <c r="S19" s="247"/>
      <c r="T19" s="331"/>
      <c r="U19" s="332">
        <f t="shared" si="1"/>
        <v>8928.19</v>
      </c>
      <c r="V19" s="333">
        <f t="shared" si="1"/>
        <v>0</v>
      </c>
      <c r="W19" s="248">
        <v>0</v>
      </c>
      <c r="X19" s="248">
        <v>4573.95</v>
      </c>
      <c r="Y19" s="248">
        <v>0</v>
      </c>
      <c r="Z19" s="248">
        <v>0</v>
      </c>
      <c r="AA19" s="248">
        <v>2221.69</v>
      </c>
      <c r="AB19" s="248">
        <v>771.11</v>
      </c>
      <c r="AC19" s="248"/>
      <c r="AD19" s="248"/>
      <c r="AE19" s="247"/>
      <c r="AF19" s="246">
        <f t="shared" si="17"/>
        <v>7566.749999999999</v>
      </c>
      <c r="AG19" s="230">
        <f t="shared" si="16"/>
        <v>7566.749999999999</v>
      </c>
      <c r="AH19" s="244">
        <f t="shared" si="2"/>
        <v>0</v>
      </c>
      <c r="AI19" s="244">
        <f t="shared" si="2"/>
        <v>0</v>
      </c>
      <c r="AJ19" s="243">
        <f>'[8]Т10'!$J$19+'[8]Т10'!$J$158</f>
        <v>7468.746000000001</v>
      </c>
      <c r="AK19" s="229">
        <f t="shared" si="3"/>
        <v>673.35</v>
      </c>
      <c r="AL19" s="229">
        <f t="shared" si="4"/>
        <v>201</v>
      </c>
      <c r="AM19" s="229">
        <f t="shared" si="5"/>
        <v>1005</v>
      </c>
      <c r="AN19" s="229">
        <f t="shared" si="6"/>
        <v>211.04999999999998</v>
      </c>
      <c r="AO19" s="229">
        <f t="shared" si="7"/>
        <v>2030.1</v>
      </c>
      <c r="AP19" s="229">
        <f t="shared" si="8"/>
        <v>1035.15</v>
      </c>
      <c r="AQ19" s="229">
        <f t="shared" si="9"/>
        <v>753.75</v>
      </c>
      <c r="AR19" s="229">
        <f t="shared" si="10"/>
        <v>753.75</v>
      </c>
      <c r="AS19" s="334">
        <f>B19*1.15</f>
        <v>1155.75</v>
      </c>
      <c r="AT19" s="228">
        <f t="shared" si="12"/>
        <v>164.79</v>
      </c>
      <c r="AU19" s="237"/>
      <c r="AV19" s="237"/>
      <c r="AW19" s="237"/>
      <c r="AX19" s="335">
        <v>20000</v>
      </c>
      <c r="AY19" s="197"/>
      <c r="AZ19" s="197"/>
      <c r="BA19" s="228"/>
      <c r="BB19" s="228"/>
      <c r="BC19" s="242">
        <f t="shared" si="11"/>
        <v>27983.69</v>
      </c>
      <c r="BD19" s="241">
        <f>'[8]Т10'!$S$19+'[8]Т10'!$S$158</f>
        <v>4515.5070000000005</v>
      </c>
      <c r="BE19" s="227">
        <f t="shared" si="13"/>
        <v>32499.197</v>
      </c>
      <c r="BF19" s="227">
        <f t="shared" si="14"/>
        <v>-17463.701</v>
      </c>
      <c r="BG19" s="227">
        <f t="shared" si="15"/>
        <v>-1361.4400000000014</v>
      </c>
    </row>
    <row r="20" spans="1:59" ht="12.75">
      <c r="A20" s="224" t="s">
        <v>40</v>
      </c>
      <c r="B20" s="235">
        <v>1005</v>
      </c>
      <c r="C20" s="189">
        <f t="shared" si="0"/>
        <v>8592.75</v>
      </c>
      <c r="D20" s="336">
        <v>0</v>
      </c>
      <c r="E20" s="248"/>
      <c r="F20" s="248"/>
      <c r="G20" s="248">
        <v>5429.04</v>
      </c>
      <c r="H20" s="248"/>
      <c r="I20" s="248"/>
      <c r="J20" s="248"/>
      <c r="K20" s="248"/>
      <c r="L20" s="248"/>
      <c r="M20" s="248">
        <v>2637.09</v>
      </c>
      <c r="N20" s="248"/>
      <c r="O20" s="248">
        <v>915.26</v>
      </c>
      <c r="P20" s="248"/>
      <c r="Q20" s="248"/>
      <c r="R20" s="248"/>
      <c r="S20" s="247"/>
      <c r="T20" s="331"/>
      <c r="U20" s="332">
        <f t="shared" si="1"/>
        <v>8981.39</v>
      </c>
      <c r="V20" s="333">
        <f t="shared" si="1"/>
        <v>0</v>
      </c>
      <c r="W20" s="248">
        <v>0</v>
      </c>
      <c r="X20" s="248">
        <v>4712.98</v>
      </c>
      <c r="Y20" s="248">
        <v>0</v>
      </c>
      <c r="Z20" s="248">
        <v>0</v>
      </c>
      <c r="AA20" s="248">
        <v>2406.32</v>
      </c>
      <c r="AB20" s="248">
        <v>834.86</v>
      </c>
      <c r="AC20" s="248"/>
      <c r="AD20" s="248"/>
      <c r="AE20" s="247"/>
      <c r="AF20" s="246">
        <f t="shared" si="17"/>
        <v>7954.159999999999</v>
      </c>
      <c r="AG20" s="230">
        <f t="shared" si="16"/>
        <v>7954.159999999999</v>
      </c>
      <c r="AH20" s="244">
        <f t="shared" si="2"/>
        <v>0</v>
      </c>
      <c r="AI20" s="244">
        <f t="shared" si="2"/>
        <v>0</v>
      </c>
      <c r="AJ20" s="243">
        <f>'[8]Т11'!$J$19+'[8]Т11'!$J$158</f>
        <v>7468.746000000001</v>
      </c>
      <c r="AK20" s="229">
        <f t="shared" si="3"/>
        <v>673.35</v>
      </c>
      <c r="AL20" s="229">
        <f t="shared" si="4"/>
        <v>201</v>
      </c>
      <c r="AM20" s="229">
        <f t="shared" si="5"/>
        <v>1005</v>
      </c>
      <c r="AN20" s="229">
        <f t="shared" si="6"/>
        <v>211.04999999999998</v>
      </c>
      <c r="AO20" s="229">
        <f t="shared" si="7"/>
        <v>2030.1</v>
      </c>
      <c r="AP20" s="229">
        <f t="shared" si="8"/>
        <v>1035.15</v>
      </c>
      <c r="AQ20" s="229">
        <f t="shared" si="9"/>
        <v>753.75</v>
      </c>
      <c r="AR20" s="229">
        <f t="shared" si="10"/>
        <v>753.75</v>
      </c>
      <c r="AS20" s="334">
        <f>B20*1.15</f>
        <v>1155.75</v>
      </c>
      <c r="AT20" s="228">
        <f t="shared" si="12"/>
        <v>164.79</v>
      </c>
      <c r="AU20" s="237"/>
      <c r="AV20" s="237"/>
      <c r="AW20" s="237">
        <v>311</v>
      </c>
      <c r="AX20" s="237">
        <f>17.56</f>
        <v>17.56</v>
      </c>
      <c r="AY20" s="197"/>
      <c r="AZ20" s="197"/>
      <c r="BA20" s="228"/>
      <c r="BB20" s="228"/>
      <c r="BC20" s="242">
        <f t="shared" si="11"/>
        <v>8312.249999999998</v>
      </c>
      <c r="BD20" s="241">
        <f>'[8]Т11'!$S$19+'[8]Т11'!$S$158</f>
        <v>4515.5070000000005</v>
      </c>
      <c r="BE20" s="227">
        <f t="shared" si="13"/>
        <v>12827.756999999998</v>
      </c>
      <c r="BF20" s="227">
        <f t="shared" si="14"/>
        <v>2595.1490000000013</v>
      </c>
      <c r="BG20" s="227">
        <f t="shared" si="15"/>
        <v>-1027.2300000000005</v>
      </c>
    </row>
    <row r="21" spans="1:59" ht="13.5" thickBot="1">
      <c r="A21" s="224" t="s">
        <v>41</v>
      </c>
      <c r="B21" s="235">
        <v>1005</v>
      </c>
      <c r="C21" s="189">
        <f t="shared" si="0"/>
        <v>8592.75</v>
      </c>
      <c r="D21" s="342">
        <v>20000</v>
      </c>
      <c r="E21" s="337"/>
      <c r="F21" s="337"/>
      <c r="G21" s="337">
        <v>5431.32</v>
      </c>
      <c r="H21" s="337"/>
      <c r="I21" s="337"/>
      <c r="J21" s="337"/>
      <c r="K21" s="337"/>
      <c r="L21" s="337"/>
      <c r="M21" s="337">
        <v>2638.21</v>
      </c>
      <c r="N21" s="337"/>
      <c r="O21" s="337">
        <v>915.66</v>
      </c>
      <c r="P21" s="337"/>
      <c r="Q21" s="337"/>
      <c r="R21" s="337"/>
      <c r="S21" s="338"/>
      <c r="T21" s="339"/>
      <c r="U21" s="332">
        <f t="shared" si="1"/>
        <v>8985.19</v>
      </c>
      <c r="V21" s="333">
        <f t="shared" si="1"/>
        <v>0</v>
      </c>
      <c r="W21" s="248">
        <v>0</v>
      </c>
      <c r="X21" s="248">
        <v>5398.6</v>
      </c>
      <c r="Y21" s="248">
        <v>0</v>
      </c>
      <c r="Z21" s="248">
        <v>0</v>
      </c>
      <c r="AA21" s="248">
        <v>4304.61</v>
      </c>
      <c r="AB21" s="248">
        <v>869.03</v>
      </c>
      <c r="AC21" s="248"/>
      <c r="AD21" s="248"/>
      <c r="AE21" s="247"/>
      <c r="AF21" s="246">
        <f t="shared" si="17"/>
        <v>10572.24</v>
      </c>
      <c r="AG21" s="230">
        <f t="shared" si="16"/>
        <v>30572.239999999998</v>
      </c>
      <c r="AH21" s="244">
        <f t="shared" si="2"/>
        <v>0</v>
      </c>
      <c r="AI21" s="244">
        <f t="shared" si="2"/>
        <v>0</v>
      </c>
      <c r="AJ21" s="243">
        <f>'[8]Т12'!$J$19+'[8]Т12'!$J$178</f>
        <v>7468.746000000001</v>
      </c>
      <c r="AK21" s="229">
        <f t="shared" si="3"/>
        <v>673.35</v>
      </c>
      <c r="AL21" s="229">
        <f t="shared" si="4"/>
        <v>201</v>
      </c>
      <c r="AM21" s="229">
        <f t="shared" si="5"/>
        <v>1005</v>
      </c>
      <c r="AN21" s="229">
        <f t="shared" si="6"/>
        <v>211.04999999999998</v>
      </c>
      <c r="AO21" s="229">
        <f t="shared" si="7"/>
        <v>2030.1</v>
      </c>
      <c r="AP21" s="229">
        <f t="shared" si="8"/>
        <v>1035.15</v>
      </c>
      <c r="AQ21" s="229">
        <f t="shared" si="9"/>
        <v>753.75</v>
      </c>
      <c r="AR21" s="229">
        <f t="shared" si="10"/>
        <v>753.75</v>
      </c>
      <c r="AS21" s="334">
        <f>B21*1.15</f>
        <v>1155.75</v>
      </c>
      <c r="AT21" s="228">
        <f t="shared" si="12"/>
        <v>164.79</v>
      </c>
      <c r="AU21" s="237"/>
      <c r="AV21" s="237"/>
      <c r="AW21" s="237"/>
      <c r="AX21" s="237">
        <v>20000</v>
      </c>
      <c r="AY21" s="197"/>
      <c r="AZ21" s="197"/>
      <c r="BA21" s="228"/>
      <c r="BB21" s="228"/>
      <c r="BC21" s="242">
        <f t="shared" si="11"/>
        <v>27983.69</v>
      </c>
      <c r="BD21" s="241">
        <f>'[8]Т12'!$S$19+'[8]Т12'!$S$178</f>
        <v>4515.5070000000005</v>
      </c>
      <c r="BE21" s="227">
        <f t="shared" si="13"/>
        <v>32499.197</v>
      </c>
      <c r="BF21" s="227">
        <f t="shared" si="14"/>
        <v>5541.788999999997</v>
      </c>
      <c r="BG21" s="227">
        <f t="shared" si="15"/>
        <v>1587.0499999999993</v>
      </c>
    </row>
    <row r="22" spans="1:59" s="22" customFormat="1" ht="13.5" thickBot="1">
      <c r="A22" s="223" t="s">
        <v>3</v>
      </c>
      <c r="B22" s="219"/>
      <c r="C22" s="217">
        <f aca="true" t="shared" si="18" ref="C22:BF22">SUM(C10:C21)</f>
        <v>103113</v>
      </c>
      <c r="D22" s="217">
        <f t="shared" si="18"/>
        <v>20000</v>
      </c>
      <c r="E22" s="217">
        <f t="shared" si="18"/>
        <v>0</v>
      </c>
      <c r="F22" s="217">
        <f t="shared" si="18"/>
        <v>0</v>
      </c>
      <c r="G22" s="217">
        <f t="shared" si="18"/>
        <v>73844.76999999999</v>
      </c>
      <c r="H22" s="217">
        <f t="shared" si="18"/>
        <v>0</v>
      </c>
      <c r="I22" s="217">
        <f t="shared" si="18"/>
        <v>0</v>
      </c>
      <c r="J22" s="217">
        <f t="shared" si="18"/>
        <v>0</v>
      </c>
      <c r="K22" s="217">
        <f t="shared" si="18"/>
        <v>0</v>
      </c>
      <c r="L22" s="217">
        <f t="shared" si="18"/>
        <v>0</v>
      </c>
      <c r="M22" s="217">
        <f t="shared" si="18"/>
        <v>32280.98</v>
      </c>
      <c r="N22" s="217">
        <f t="shared" si="18"/>
        <v>0</v>
      </c>
      <c r="O22" s="217">
        <f t="shared" si="18"/>
        <v>11521.76</v>
      </c>
      <c r="P22" s="217">
        <f t="shared" si="18"/>
        <v>0</v>
      </c>
      <c r="Q22" s="217">
        <f t="shared" si="18"/>
        <v>0</v>
      </c>
      <c r="R22" s="217">
        <f t="shared" si="18"/>
        <v>0</v>
      </c>
      <c r="S22" s="217">
        <f t="shared" si="18"/>
        <v>0</v>
      </c>
      <c r="T22" s="217">
        <f t="shared" si="18"/>
        <v>0</v>
      </c>
      <c r="U22" s="217">
        <f t="shared" si="18"/>
        <v>117647.51000000001</v>
      </c>
      <c r="V22" s="217">
        <f t="shared" si="18"/>
        <v>0</v>
      </c>
      <c r="W22" s="217">
        <f t="shared" si="18"/>
        <v>744.3099999999998</v>
      </c>
      <c r="X22" s="217">
        <f t="shared" si="18"/>
        <v>64337.01</v>
      </c>
      <c r="Y22" s="217">
        <f t="shared" si="18"/>
        <v>1007.4100000000002</v>
      </c>
      <c r="Z22" s="217">
        <f t="shared" si="18"/>
        <v>1677.3499999999997</v>
      </c>
      <c r="AA22" s="217">
        <f t="shared" si="18"/>
        <v>32746.960000000003</v>
      </c>
      <c r="AB22" s="217">
        <f t="shared" si="18"/>
        <v>10736.830000000002</v>
      </c>
      <c r="AC22" s="217">
        <f t="shared" si="18"/>
        <v>0</v>
      </c>
      <c r="AD22" s="217">
        <f t="shared" si="18"/>
        <v>0</v>
      </c>
      <c r="AE22" s="217">
        <f t="shared" si="18"/>
        <v>0</v>
      </c>
      <c r="AF22" s="217">
        <f t="shared" si="18"/>
        <v>111249.87000000001</v>
      </c>
      <c r="AG22" s="217">
        <f t="shared" si="18"/>
        <v>131249.87</v>
      </c>
      <c r="AH22" s="217">
        <f t="shared" si="18"/>
        <v>0</v>
      </c>
      <c r="AI22" s="217">
        <f t="shared" si="18"/>
        <v>0</v>
      </c>
      <c r="AJ22" s="217">
        <f t="shared" si="18"/>
        <v>89624.952</v>
      </c>
      <c r="AK22" s="217">
        <f t="shared" si="18"/>
        <v>8080.200000000002</v>
      </c>
      <c r="AL22" s="217">
        <f t="shared" si="18"/>
        <v>2412</v>
      </c>
      <c r="AM22" s="217">
        <f t="shared" si="18"/>
        <v>12060</v>
      </c>
      <c r="AN22" s="217">
        <f t="shared" si="18"/>
        <v>2532.6000000000004</v>
      </c>
      <c r="AO22" s="217">
        <f t="shared" si="18"/>
        <v>24361.199999999997</v>
      </c>
      <c r="AP22" s="217">
        <f t="shared" si="18"/>
        <v>12421.799999999997</v>
      </c>
      <c r="AQ22" s="217">
        <f t="shared" si="18"/>
        <v>9045</v>
      </c>
      <c r="AR22" s="217">
        <f t="shared" si="18"/>
        <v>9045</v>
      </c>
      <c r="AS22" s="217">
        <f t="shared" si="18"/>
        <v>6934.5</v>
      </c>
      <c r="AT22" s="217">
        <f t="shared" si="18"/>
        <v>1812.6899999999998</v>
      </c>
      <c r="AU22" s="217">
        <f t="shared" si="18"/>
        <v>931</v>
      </c>
      <c r="AV22" s="217">
        <f t="shared" si="18"/>
        <v>1630</v>
      </c>
      <c r="AW22" s="217">
        <f t="shared" si="18"/>
        <v>10808</v>
      </c>
      <c r="AX22" s="217">
        <f t="shared" si="18"/>
        <v>42729.82000000001</v>
      </c>
      <c r="AY22" s="217">
        <f t="shared" si="18"/>
        <v>0</v>
      </c>
      <c r="AZ22" s="217">
        <f t="shared" si="18"/>
        <v>0</v>
      </c>
      <c r="BA22" s="217">
        <f t="shared" si="18"/>
        <v>0</v>
      </c>
      <c r="BB22" s="217">
        <f t="shared" si="18"/>
        <v>0</v>
      </c>
      <c r="BC22" s="217">
        <f t="shared" si="18"/>
        <v>144803.81</v>
      </c>
      <c r="BD22" s="217">
        <f t="shared" si="18"/>
        <v>54186.083999999995</v>
      </c>
      <c r="BE22" s="217">
        <f t="shared" si="18"/>
        <v>198989.89399999997</v>
      </c>
      <c r="BF22" s="217">
        <f t="shared" si="18"/>
        <v>21884.928000000004</v>
      </c>
      <c r="BG22" s="217">
        <f>SUM(BG10:BG21)</f>
        <v>-6397.640000000007</v>
      </c>
    </row>
    <row r="23" spans="1:59" s="22" customFormat="1" ht="13.5" thickBot="1">
      <c r="A23" s="222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21"/>
      <c r="BF23" s="219"/>
      <c r="BG23" s="220"/>
    </row>
    <row r="24" spans="1:59" s="22" customFormat="1" ht="13.5" thickBot="1">
      <c r="A24" s="25" t="s">
        <v>52</v>
      </c>
      <c r="B24" s="219"/>
      <c r="C24" s="218">
        <f aca="true" t="shared" si="19" ref="C24:L24">C22+C8</f>
        <v>337912.925</v>
      </c>
      <c r="D24" s="218">
        <f t="shared" si="19"/>
        <v>42197.07338325001</v>
      </c>
      <c r="E24" s="218">
        <f t="shared" si="19"/>
        <v>21072.840000000004</v>
      </c>
      <c r="F24" s="218">
        <f t="shared" si="19"/>
        <v>3774.2099999999996</v>
      </c>
      <c r="G24" s="218">
        <f t="shared" si="19"/>
        <v>73844.76999999999</v>
      </c>
      <c r="H24" s="218">
        <f t="shared" si="19"/>
        <v>0</v>
      </c>
      <c r="I24" s="218">
        <f t="shared" si="19"/>
        <v>28503</v>
      </c>
      <c r="J24" s="218">
        <f t="shared" si="19"/>
        <v>5109.12</v>
      </c>
      <c r="K24" s="218">
        <f t="shared" si="19"/>
        <v>47468.72</v>
      </c>
      <c r="L24" s="218">
        <f t="shared" si="19"/>
        <v>8505.97</v>
      </c>
      <c r="M24" s="218">
        <f>'[7]Лист1'!I42</f>
        <v>241624.74</v>
      </c>
      <c r="N24" s="218">
        <f aca="true" t="shared" si="20" ref="N24:BG24">N22+N8</f>
        <v>12280.04</v>
      </c>
      <c r="O24" s="218">
        <f t="shared" si="20"/>
        <v>28380.119999999995</v>
      </c>
      <c r="P24" s="218">
        <f t="shared" si="20"/>
        <v>3019.3500000000004</v>
      </c>
      <c r="Q24" s="218">
        <f t="shared" si="20"/>
        <v>0</v>
      </c>
      <c r="R24" s="218">
        <f t="shared" si="20"/>
        <v>0</v>
      </c>
      <c r="S24" s="218">
        <f t="shared" si="20"/>
        <v>0</v>
      </c>
      <c r="T24" s="218">
        <f t="shared" si="20"/>
        <v>0</v>
      </c>
      <c r="U24" s="218">
        <f t="shared" si="20"/>
        <v>300092.19999999995</v>
      </c>
      <c r="V24" s="218">
        <f t="shared" si="20"/>
        <v>32688.689999999995</v>
      </c>
      <c r="W24" s="218">
        <f t="shared" si="20"/>
        <v>21118.760000000002</v>
      </c>
      <c r="X24" s="218">
        <f t="shared" si="20"/>
        <v>64337.01</v>
      </c>
      <c r="Y24" s="218">
        <f t="shared" si="20"/>
        <v>28562.960000000003</v>
      </c>
      <c r="Z24" s="218">
        <f t="shared" si="20"/>
        <v>47570.03</v>
      </c>
      <c r="AA24" s="218">
        <f t="shared" si="20"/>
        <v>99014.27</v>
      </c>
      <c r="AB24" s="218">
        <f t="shared" si="20"/>
        <v>27036.410000000003</v>
      </c>
      <c r="AC24" s="218">
        <f t="shared" si="20"/>
        <v>0</v>
      </c>
      <c r="AD24" s="218">
        <f t="shared" si="20"/>
        <v>0</v>
      </c>
      <c r="AE24" s="218">
        <f t="shared" si="20"/>
        <v>0</v>
      </c>
      <c r="AF24" s="218">
        <f t="shared" si="20"/>
        <v>287639.44</v>
      </c>
      <c r="AG24" s="218">
        <f t="shared" si="20"/>
        <v>362525.20338325005</v>
      </c>
      <c r="AH24" s="218">
        <f t="shared" si="20"/>
        <v>0</v>
      </c>
      <c r="AI24" s="218">
        <f t="shared" si="20"/>
        <v>0</v>
      </c>
      <c r="AJ24" s="218">
        <f t="shared" si="20"/>
        <v>266935.74864</v>
      </c>
      <c r="AK24" s="218">
        <f t="shared" si="20"/>
        <v>24125.58</v>
      </c>
      <c r="AL24" s="218">
        <f t="shared" si="20"/>
        <v>7788.525516</v>
      </c>
      <c r="AM24" s="218">
        <f t="shared" si="20"/>
        <v>38695.902996475</v>
      </c>
      <c r="AN24" s="218">
        <f t="shared" si="20"/>
        <v>2532.6000000000004</v>
      </c>
      <c r="AO24" s="218">
        <f t="shared" si="20"/>
        <v>50928.42834525499</v>
      </c>
      <c r="AP24" s="218">
        <f t="shared" si="20"/>
        <v>71854.691193907</v>
      </c>
      <c r="AQ24" s="218">
        <f t="shared" si="20"/>
        <v>9045</v>
      </c>
      <c r="AR24" s="218">
        <f t="shared" si="20"/>
        <v>9045</v>
      </c>
      <c r="AS24" s="218">
        <f t="shared" si="20"/>
        <v>6934.5</v>
      </c>
      <c r="AT24" s="218">
        <f t="shared" si="20"/>
        <v>3790.17</v>
      </c>
      <c r="AU24" s="218">
        <f t="shared" si="20"/>
        <v>49272.84</v>
      </c>
      <c r="AV24" s="218">
        <f t="shared" si="20"/>
        <v>1630</v>
      </c>
      <c r="AW24" s="217">
        <f t="shared" si="20"/>
        <v>85734.24799999999</v>
      </c>
      <c r="AX24" s="217">
        <f t="shared" si="20"/>
        <v>50963.81760000001</v>
      </c>
      <c r="AY24" s="217">
        <f t="shared" si="20"/>
        <v>5388.7724</v>
      </c>
      <c r="AZ24" s="217">
        <f t="shared" si="20"/>
        <v>0</v>
      </c>
      <c r="BA24" s="217">
        <f t="shared" si="20"/>
        <v>0</v>
      </c>
      <c r="BB24" s="217">
        <f t="shared" si="20"/>
        <v>0</v>
      </c>
      <c r="BC24" s="217">
        <f t="shared" si="20"/>
        <v>417730.076051637</v>
      </c>
      <c r="BD24" s="217">
        <f t="shared" si="20"/>
        <v>124033.5230811254</v>
      </c>
      <c r="BE24" s="217">
        <f t="shared" si="20"/>
        <v>541763.5991327624</v>
      </c>
      <c r="BF24" s="217">
        <f t="shared" si="20"/>
        <v>87697.3528904876</v>
      </c>
      <c r="BG24" s="217">
        <f t="shared" si="20"/>
        <v>-12452.760000000013</v>
      </c>
    </row>
    <row r="25" spans="1:59" ht="12.75">
      <c r="A25" s="5" t="s">
        <v>126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4"/>
      <c r="BF25" s="236"/>
      <c r="BG25" s="240"/>
    </row>
    <row r="26" spans="1:59" ht="12.75">
      <c r="A26" s="224" t="s">
        <v>43</v>
      </c>
      <c r="B26" s="235">
        <v>1005</v>
      </c>
      <c r="C26" s="189">
        <f>B26*8.55</f>
        <v>8592.75</v>
      </c>
      <c r="D26" s="533">
        <v>0</v>
      </c>
      <c r="E26" s="248"/>
      <c r="F26" s="248"/>
      <c r="G26" s="248">
        <v>5409.43</v>
      </c>
      <c r="H26" s="248"/>
      <c r="I26" s="248"/>
      <c r="J26" s="248"/>
      <c r="K26" s="248"/>
      <c r="L26" s="248"/>
      <c r="M26" s="248">
        <v>2627.45</v>
      </c>
      <c r="N26" s="248"/>
      <c r="O26" s="248">
        <v>911.82</v>
      </c>
      <c r="P26" s="248"/>
      <c r="Q26" s="248"/>
      <c r="R26" s="248"/>
      <c r="S26" s="247"/>
      <c r="T26" s="339"/>
      <c r="U26" s="332">
        <f aca="true" t="shared" si="21" ref="U26:V31">E26+G26+I26+K26+M26+O26+Q26+S26</f>
        <v>8948.7</v>
      </c>
      <c r="V26" s="333">
        <f t="shared" si="21"/>
        <v>0</v>
      </c>
      <c r="W26" s="248">
        <v>0</v>
      </c>
      <c r="X26" s="248">
        <v>4409.87</v>
      </c>
      <c r="Y26" s="248">
        <v>0</v>
      </c>
      <c r="Z26" s="248">
        <v>0</v>
      </c>
      <c r="AA26" s="248">
        <v>2016.69</v>
      </c>
      <c r="AB26" s="248">
        <v>743.55</v>
      </c>
      <c r="AC26" s="248"/>
      <c r="AD26" s="248"/>
      <c r="AE26" s="247"/>
      <c r="AF26" s="246">
        <f aca="true" t="shared" si="22" ref="AF26:AF31">SUM(W26:AE26)</f>
        <v>7170.11</v>
      </c>
      <c r="AG26" s="230">
        <f aca="true" t="shared" si="23" ref="AG26:AG37">D26+V26+AF26</f>
        <v>7170.11</v>
      </c>
      <c r="AH26" s="244">
        <f aca="true" t="shared" si="24" ref="AH26:AI37">AC26</f>
        <v>0</v>
      </c>
      <c r="AI26" s="244">
        <f t="shared" si="24"/>
        <v>0</v>
      </c>
      <c r="AJ26" s="243">
        <f>'[13]Т01'!$J$7+'[13]Т01'!$J$180</f>
        <v>9211.585000000001</v>
      </c>
      <c r="AK26" s="229">
        <f>0.67*B26</f>
        <v>673.35</v>
      </c>
      <c r="AL26" s="229">
        <f>B26*0.2</f>
        <v>201</v>
      </c>
      <c r="AM26" s="229">
        <f>B26*1</f>
        <v>1005</v>
      </c>
      <c r="AN26" s="229">
        <f>B26*0.21</f>
        <v>211.04999999999998</v>
      </c>
      <c r="AO26" s="229">
        <f>2.02*B26</f>
        <v>2030.1</v>
      </c>
      <c r="AP26" s="229">
        <f>B26*1.03</f>
        <v>1035.15</v>
      </c>
      <c r="AQ26" s="229">
        <f>B26*0.75</f>
        <v>753.75</v>
      </c>
      <c r="AR26" s="229">
        <f>B26*0.75</f>
        <v>753.75</v>
      </c>
      <c r="AS26" s="334">
        <f>B26*1.15</f>
        <v>1155.75</v>
      </c>
      <c r="AT26" s="228">
        <f>0.45*366.2</f>
        <v>164.79</v>
      </c>
      <c r="AU26" s="534"/>
      <c r="AV26" s="237"/>
      <c r="AW26" s="237"/>
      <c r="AX26" s="237"/>
      <c r="AY26" s="237"/>
      <c r="AZ26" s="237"/>
      <c r="BA26" s="197"/>
      <c r="BB26" s="228"/>
      <c r="BC26" s="326">
        <f>SUM(AK26:BB26)</f>
        <v>7983.69</v>
      </c>
      <c r="BD26" s="241">
        <f>'[13]Т01'!$S$7+'[13]Т01'!$S$180</f>
        <v>4515.5070000000005</v>
      </c>
      <c r="BE26" s="226">
        <f>BC26+BD26</f>
        <v>12499.197</v>
      </c>
      <c r="BF26" s="227">
        <f>AG26+AJ26-BE26</f>
        <v>3882.4979999999996</v>
      </c>
      <c r="BG26" s="227">
        <f>AF26-U26</f>
        <v>-1778.590000000001</v>
      </c>
    </row>
    <row r="27" spans="1:59" ht="12.75">
      <c r="A27" s="224" t="s">
        <v>44</v>
      </c>
      <c r="B27" s="235">
        <v>1005</v>
      </c>
      <c r="C27" s="189">
        <f>B27*8.55</f>
        <v>8592.75</v>
      </c>
      <c r="D27" s="533">
        <v>0</v>
      </c>
      <c r="E27" s="232"/>
      <c r="F27" s="232"/>
      <c r="G27" s="232">
        <v>5388.91</v>
      </c>
      <c r="H27" s="232"/>
      <c r="I27" s="232"/>
      <c r="J27" s="232"/>
      <c r="K27" s="232"/>
      <c r="L27" s="232"/>
      <c r="M27" s="232">
        <v>2617.37</v>
      </c>
      <c r="N27" s="232"/>
      <c r="O27" s="232">
        <v>908.22</v>
      </c>
      <c r="P27" s="232"/>
      <c r="Q27" s="232"/>
      <c r="R27" s="232"/>
      <c r="S27" s="231"/>
      <c r="T27" s="339"/>
      <c r="U27" s="332">
        <f t="shared" si="21"/>
        <v>8914.5</v>
      </c>
      <c r="V27" s="333">
        <f t="shared" si="21"/>
        <v>0</v>
      </c>
      <c r="W27" s="232">
        <v>0</v>
      </c>
      <c r="X27" s="232">
        <v>5579.97</v>
      </c>
      <c r="Y27" s="232">
        <v>0</v>
      </c>
      <c r="Z27" s="232">
        <v>0</v>
      </c>
      <c r="AA27" s="232">
        <v>5559.62</v>
      </c>
      <c r="AB27" s="232">
        <v>940.87</v>
      </c>
      <c r="AC27" s="232"/>
      <c r="AD27" s="232"/>
      <c r="AE27" s="231"/>
      <c r="AF27" s="246">
        <f t="shared" si="22"/>
        <v>12080.460000000001</v>
      </c>
      <c r="AG27" s="230">
        <f t="shared" si="23"/>
        <v>12080.460000000001</v>
      </c>
      <c r="AH27" s="244">
        <f t="shared" si="24"/>
        <v>0</v>
      </c>
      <c r="AI27" s="244">
        <f t="shared" si="24"/>
        <v>0</v>
      </c>
      <c r="AJ27" s="243">
        <f>'[13]Т01'!$J$7+'[13]Т01'!$J$180</f>
        <v>9211.585000000001</v>
      </c>
      <c r="AK27" s="258">
        <f>0.67*B27</f>
        <v>673.35</v>
      </c>
      <c r="AL27" s="229">
        <f>B27*0.2</f>
        <v>201</v>
      </c>
      <c r="AM27" s="229">
        <f>B27*1</f>
        <v>1005</v>
      </c>
      <c r="AN27" s="229">
        <f>B27*0.21</f>
        <v>211.04999999999998</v>
      </c>
      <c r="AO27" s="229">
        <f>2.02*B27</f>
        <v>2030.1</v>
      </c>
      <c r="AP27" s="229">
        <f>B27*1.03</f>
        <v>1035.15</v>
      </c>
      <c r="AQ27" s="229">
        <f>B27*0.75</f>
        <v>753.75</v>
      </c>
      <c r="AR27" s="229">
        <f>B27*0.75</f>
        <v>753.75</v>
      </c>
      <c r="AS27" s="334">
        <f>B27*1.15</f>
        <v>1155.75</v>
      </c>
      <c r="AT27" s="228">
        <f>0.45*366.2</f>
        <v>164.79</v>
      </c>
      <c r="AU27" s="534"/>
      <c r="AV27" s="237"/>
      <c r="AW27" s="237"/>
      <c r="AX27" s="237">
        <f>23</f>
        <v>23</v>
      </c>
      <c r="AY27" s="237"/>
      <c r="AZ27" s="237"/>
      <c r="BA27" s="197"/>
      <c r="BB27" s="228"/>
      <c r="BC27" s="242">
        <f>SUM(AK27:BB27)</f>
        <v>8006.69</v>
      </c>
      <c r="BD27" s="241">
        <f>'[13]Т01'!$S$7+'[13]Т01'!$S$180</f>
        <v>4515.5070000000005</v>
      </c>
      <c r="BE27" s="226">
        <f aca="true" t="shared" si="25" ref="BE27:BE37">BC27+BD27</f>
        <v>12522.197</v>
      </c>
      <c r="BF27" s="227">
        <f aca="true" t="shared" si="26" ref="BF27:BF37">AG27+AJ27-BE27</f>
        <v>8769.848000000002</v>
      </c>
      <c r="BG27" s="227">
        <f aca="true" t="shared" si="27" ref="BG27:BG37">AF27-U27</f>
        <v>3165.960000000001</v>
      </c>
    </row>
    <row r="28" spans="1:59" ht="12.75">
      <c r="A28" s="224" t="s">
        <v>45</v>
      </c>
      <c r="B28" s="235">
        <v>1005</v>
      </c>
      <c r="C28" s="189">
        <f>B28*8.55</f>
        <v>8592.75</v>
      </c>
      <c r="D28" s="533">
        <v>0</v>
      </c>
      <c r="E28" s="232"/>
      <c r="F28" s="232"/>
      <c r="G28" s="232">
        <v>5388.91</v>
      </c>
      <c r="H28" s="232"/>
      <c r="I28" s="232"/>
      <c r="J28" s="232"/>
      <c r="K28" s="232"/>
      <c r="L28" s="232"/>
      <c r="M28" s="232">
        <v>2617.37</v>
      </c>
      <c r="N28" s="232"/>
      <c r="O28" s="232">
        <v>908.22</v>
      </c>
      <c r="P28" s="232"/>
      <c r="Q28" s="232"/>
      <c r="R28" s="232"/>
      <c r="S28" s="231"/>
      <c r="T28" s="339"/>
      <c r="U28" s="332">
        <f t="shared" si="21"/>
        <v>8914.5</v>
      </c>
      <c r="V28" s="333">
        <f t="shared" si="21"/>
        <v>0</v>
      </c>
      <c r="W28" s="248">
        <v>0</v>
      </c>
      <c r="X28" s="248">
        <v>2544.46</v>
      </c>
      <c r="Y28" s="248">
        <v>0</v>
      </c>
      <c r="Z28" s="248">
        <v>0</v>
      </c>
      <c r="AA28" s="248">
        <v>2191.55</v>
      </c>
      <c r="AB28" s="248">
        <v>760.37</v>
      </c>
      <c r="AC28" s="248"/>
      <c r="AD28" s="248"/>
      <c r="AE28" s="247"/>
      <c r="AF28" s="246">
        <f t="shared" si="22"/>
        <v>5496.38</v>
      </c>
      <c r="AG28" s="230">
        <f t="shared" si="23"/>
        <v>5496.38</v>
      </c>
      <c r="AH28" s="244">
        <f t="shared" si="24"/>
        <v>0</v>
      </c>
      <c r="AI28" s="244">
        <f t="shared" si="24"/>
        <v>0</v>
      </c>
      <c r="AJ28" s="243">
        <f>'[13]Т01'!$J$7+'[13]Т01'!$J$180</f>
        <v>9211.585000000001</v>
      </c>
      <c r="AK28" s="258">
        <f>0.67*B28</f>
        <v>673.35</v>
      </c>
      <c r="AL28" s="229">
        <f>B28*0.2</f>
        <v>201</v>
      </c>
      <c r="AM28" s="229">
        <f>B28*1</f>
        <v>1005</v>
      </c>
      <c r="AN28" s="229">
        <f>B28*0.21</f>
        <v>211.04999999999998</v>
      </c>
      <c r="AO28" s="229">
        <f>2.02*B28</f>
        <v>2030.1</v>
      </c>
      <c r="AP28" s="229">
        <f>B28*1.03</f>
        <v>1035.15</v>
      </c>
      <c r="AQ28" s="229">
        <f>B28*0.75</f>
        <v>753.75</v>
      </c>
      <c r="AR28" s="229">
        <f>B28*0.75</f>
        <v>753.75</v>
      </c>
      <c r="AS28" s="334">
        <f>B28*1.15</f>
        <v>1155.75</v>
      </c>
      <c r="AT28" s="228">
        <f>0.45*366.2</f>
        <v>164.79</v>
      </c>
      <c r="AU28" s="237"/>
      <c r="AV28" s="237"/>
      <c r="AW28" s="237">
        <v>1704.6</v>
      </c>
      <c r="AX28" s="237">
        <f>1357.5</f>
        <v>1357.5</v>
      </c>
      <c r="AY28" s="237"/>
      <c r="AZ28" s="237"/>
      <c r="BA28" s="197"/>
      <c r="BB28" s="228"/>
      <c r="BC28" s="326">
        <f>SUM(AK28:BB28)</f>
        <v>11045.789999999999</v>
      </c>
      <c r="BD28" s="241">
        <f>'[13]Т01'!$S$7+'[13]Т01'!$S$180</f>
        <v>4515.5070000000005</v>
      </c>
      <c r="BE28" s="226">
        <f t="shared" si="25"/>
        <v>15561.296999999999</v>
      </c>
      <c r="BF28" s="227">
        <f t="shared" si="26"/>
        <v>-853.3319999999985</v>
      </c>
      <c r="BG28" s="227">
        <f t="shared" si="27"/>
        <v>-3418.12</v>
      </c>
    </row>
    <row r="29" spans="1:59" ht="12.75">
      <c r="A29" s="224" t="s">
        <v>46</v>
      </c>
      <c r="B29" s="235">
        <v>1005</v>
      </c>
      <c r="C29" s="189">
        <f>B29*8.55</f>
        <v>8592.75</v>
      </c>
      <c r="D29" s="533">
        <v>0</v>
      </c>
      <c r="E29" s="232"/>
      <c r="F29" s="232"/>
      <c r="G29" s="232">
        <v>5388.91</v>
      </c>
      <c r="H29" s="232"/>
      <c r="I29" s="232"/>
      <c r="J29" s="232"/>
      <c r="K29" s="232"/>
      <c r="L29" s="232"/>
      <c r="M29" s="232">
        <v>2617.37</v>
      </c>
      <c r="N29" s="232"/>
      <c r="O29" s="232">
        <v>908.22</v>
      </c>
      <c r="P29" s="232"/>
      <c r="Q29" s="232"/>
      <c r="R29" s="232"/>
      <c r="S29" s="231"/>
      <c r="T29" s="339"/>
      <c r="U29" s="332">
        <f t="shared" si="21"/>
        <v>8914.5</v>
      </c>
      <c r="V29" s="333">
        <f t="shared" si="21"/>
        <v>0</v>
      </c>
      <c r="W29" s="337">
        <v>0</v>
      </c>
      <c r="X29" s="337">
        <v>4459.05</v>
      </c>
      <c r="Y29" s="337">
        <v>0</v>
      </c>
      <c r="Z29" s="337">
        <v>0</v>
      </c>
      <c r="AA29" s="337">
        <v>2331.67</v>
      </c>
      <c r="AB29" s="337">
        <v>1809</v>
      </c>
      <c r="AC29" s="337"/>
      <c r="AD29" s="337"/>
      <c r="AE29" s="338"/>
      <c r="AF29" s="246">
        <f t="shared" si="22"/>
        <v>8599.720000000001</v>
      </c>
      <c r="AG29" s="230">
        <f t="shared" si="23"/>
        <v>8599.720000000001</v>
      </c>
      <c r="AH29" s="244">
        <f t="shared" si="24"/>
        <v>0</v>
      </c>
      <c r="AI29" s="244">
        <f t="shared" si="24"/>
        <v>0</v>
      </c>
      <c r="AJ29" s="243">
        <f>'[13]Т01'!$J$7+'[13]Т01'!$J$180</f>
        <v>9211.585000000001</v>
      </c>
      <c r="AK29" s="258">
        <f>0.67*B29</f>
        <v>673.35</v>
      </c>
      <c r="AL29" s="229">
        <f>B29*0.2</f>
        <v>201</v>
      </c>
      <c r="AM29" s="229">
        <f>B29*1</f>
        <v>1005</v>
      </c>
      <c r="AN29" s="229">
        <f>B29*0.21</f>
        <v>211.04999999999998</v>
      </c>
      <c r="AO29" s="229">
        <f>2.02*B29</f>
        <v>2030.1</v>
      </c>
      <c r="AP29" s="229">
        <f>B29*1.03</f>
        <v>1035.15</v>
      </c>
      <c r="AQ29" s="229">
        <f>B29*0.75</f>
        <v>753.75</v>
      </c>
      <c r="AR29" s="229">
        <f>B29*0.75</f>
        <v>753.75</v>
      </c>
      <c r="AS29" s="334"/>
      <c r="AT29" s="228">
        <f>0.45*366.2</f>
        <v>164.79</v>
      </c>
      <c r="AU29" s="237"/>
      <c r="AV29" s="237"/>
      <c r="AW29" s="237">
        <v>10288.6</v>
      </c>
      <c r="AX29" s="237"/>
      <c r="AY29" s="237"/>
      <c r="AZ29" s="237"/>
      <c r="BA29" s="197"/>
      <c r="BB29" s="228"/>
      <c r="BC29" s="326">
        <f>SUM(AK29:BB29)</f>
        <v>17116.54</v>
      </c>
      <c r="BD29" s="241">
        <f>'[13]Т01'!$S$7+'[13]Т01'!$S$180</f>
        <v>4515.5070000000005</v>
      </c>
      <c r="BE29" s="226">
        <f t="shared" si="25"/>
        <v>21632.047000000002</v>
      </c>
      <c r="BF29" s="227">
        <f t="shared" si="26"/>
        <v>-3820.742000000002</v>
      </c>
      <c r="BG29" s="227">
        <f t="shared" si="27"/>
        <v>-314.77999999999884</v>
      </c>
    </row>
    <row r="30" spans="1:59" ht="12.75">
      <c r="A30" s="224" t="s">
        <v>47</v>
      </c>
      <c r="B30" s="235">
        <v>1005</v>
      </c>
      <c r="C30" s="189">
        <f>B30*8.55</f>
        <v>8592.75</v>
      </c>
      <c r="D30" s="533">
        <v>0</v>
      </c>
      <c r="E30" s="232"/>
      <c r="F30" s="232"/>
      <c r="G30" s="232">
        <v>5388.91</v>
      </c>
      <c r="H30" s="232"/>
      <c r="I30" s="232"/>
      <c r="J30" s="232"/>
      <c r="K30" s="232"/>
      <c r="L30" s="232"/>
      <c r="M30" s="232">
        <v>2617.37</v>
      </c>
      <c r="N30" s="232"/>
      <c r="O30" s="232">
        <v>908.22</v>
      </c>
      <c r="P30" s="232"/>
      <c r="Q30" s="232"/>
      <c r="R30" s="232"/>
      <c r="S30" s="231"/>
      <c r="T30" s="339"/>
      <c r="U30" s="332">
        <f t="shared" si="21"/>
        <v>8914.5</v>
      </c>
      <c r="V30" s="333">
        <f t="shared" si="21"/>
        <v>0</v>
      </c>
      <c r="W30" s="337">
        <v>0</v>
      </c>
      <c r="X30" s="337">
        <v>3342.48</v>
      </c>
      <c r="Y30" s="337">
        <v>0</v>
      </c>
      <c r="Z30" s="337">
        <v>0</v>
      </c>
      <c r="AA30" s="337">
        <v>2052.25</v>
      </c>
      <c r="AB30" s="337">
        <v>920.25</v>
      </c>
      <c r="AC30" s="337"/>
      <c r="AD30" s="337"/>
      <c r="AE30" s="337"/>
      <c r="AF30" s="246">
        <f t="shared" si="22"/>
        <v>6314.98</v>
      </c>
      <c r="AG30" s="230">
        <f t="shared" si="23"/>
        <v>6314.98</v>
      </c>
      <c r="AH30" s="244">
        <f t="shared" si="24"/>
        <v>0</v>
      </c>
      <c r="AI30" s="244">
        <f t="shared" si="24"/>
        <v>0</v>
      </c>
      <c r="AJ30" s="243">
        <f>'[13]Т05'!$J$7+'[13]Т05'!$J$181</f>
        <v>9211.585000000001</v>
      </c>
      <c r="AK30" s="258">
        <f>0.67*B30</f>
        <v>673.35</v>
      </c>
      <c r="AL30" s="229">
        <f>B30*0.2</f>
        <v>201</v>
      </c>
      <c r="AM30" s="229">
        <f>B30*1</f>
        <v>1005</v>
      </c>
      <c r="AN30" s="229">
        <f>B30*0.21</f>
        <v>211.04999999999998</v>
      </c>
      <c r="AO30" s="229">
        <f>2.02*B30</f>
        <v>2030.1</v>
      </c>
      <c r="AP30" s="229">
        <f>B30*1.03</f>
        <v>1035.15</v>
      </c>
      <c r="AQ30" s="229">
        <f>B30*0.75</f>
        <v>753.75</v>
      </c>
      <c r="AR30" s="229">
        <f>B30*0.75</f>
        <v>753.75</v>
      </c>
      <c r="AS30" s="334"/>
      <c r="AT30" s="228">
        <f>0.45*366.2</f>
        <v>164.79</v>
      </c>
      <c r="AU30" s="237"/>
      <c r="AV30" s="237"/>
      <c r="AW30" s="237"/>
      <c r="AX30" s="237">
        <f>162.5</f>
        <v>162.5</v>
      </c>
      <c r="AY30" s="237"/>
      <c r="AZ30" s="237"/>
      <c r="BA30" s="197"/>
      <c r="BB30" s="228"/>
      <c r="BC30" s="326">
        <f>SUM(AK30:BB30)</f>
        <v>6990.44</v>
      </c>
      <c r="BD30" s="241">
        <f>'[13]Т05'!$S$7+'[13]Т05'!$S$181</f>
        <v>4515.5070000000005</v>
      </c>
      <c r="BE30" s="226">
        <f t="shared" si="25"/>
        <v>11505.947</v>
      </c>
      <c r="BF30" s="227">
        <f t="shared" si="26"/>
        <v>4020.6180000000004</v>
      </c>
      <c r="BG30" s="227">
        <f t="shared" si="27"/>
        <v>-2599.5200000000004</v>
      </c>
    </row>
    <row r="31" spans="1:59" ht="12.75">
      <c r="A31" s="224" t="s">
        <v>48</v>
      </c>
      <c r="B31" s="235">
        <v>1005</v>
      </c>
      <c r="C31" s="189">
        <f>B31*8.55</f>
        <v>8592.75</v>
      </c>
      <c r="D31" s="533">
        <v>0</v>
      </c>
      <c r="E31" s="232"/>
      <c r="F31" s="232"/>
      <c r="G31" s="232">
        <v>5374.09</v>
      </c>
      <c r="H31" s="232"/>
      <c r="I31" s="232"/>
      <c r="J31" s="232"/>
      <c r="K31" s="232"/>
      <c r="L31" s="232"/>
      <c r="M31" s="232">
        <v>2610.09</v>
      </c>
      <c r="N31" s="232"/>
      <c r="O31" s="232">
        <v>905.62</v>
      </c>
      <c r="P31" s="232"/>
      <c r="Q31" s="232"/>
      <c r="R31" s="232"/>
      <c r="S31" s="231"/>
      <c r="T31" s="339"/>
      <c r="U31" s="332">
        <f t="shared" si="21"/>
        <v>8889.800000000001</v>
      </c>
      <c r="V31" s="333">
        <f t="shared" si="21"/>
        <v>0</v>
      </c>
      <c r="W31" s="337"/>
      <c r="X31" s="535">
        <v>4144.86</v>
      </c>
      <c r="Y31" s="337"/>
      <c r="Z31" s="337"/>
      <c r="AA31" s="535">
        <v>2102.11</v>
      </c>
      <c r="AB31" s="535">
        <v>729.05</v>
      </c>
      <c r="AC31" s="337"/>
      <c r="AD31" s="535"/>
      <c r="AE31" s="536"/>
      <c r="AF31" s="246">
        <f t="shared" si="22"/>
        <v>6976.0199999999995</v>
      </c>
      <c r="AG31" s="230">
        <f t="shared" si="23"/>
        <v>6976.0199999999995</v>
      </c>
      <c r="AH31" s="244">
        <f t="shared" si="24"/>
        <v>0</v>
      </c>
      <c r="AI31" s="244">
        <f t="shared" si="24"/>
        <v>0</v>
      </c>
      <c r="AJ31" s="243">
        <f>'[13]Т06'!$J$7+'[13]Т06'!$J$212</f>
        <v>9211.585000000001</v>
      </c>
      <c r="AK31" s="258">
        <f>0.67*B31</f>
        <v>673.35</v>
      </c>
      <c r="AL31" s="229">
        <f>B31*0.2</f>
        <v>201</v>
      </c>
      <c r="AM31" s="229">
        <f>B31*1</f>
        <v>1005</v>
      </c>
      <c r="AN31" s="229">
        <f>B31*0.21</f>
        <v>211.04999999999998</v>
      </c>
      <c r="AO31" s="229">
        <f>2.02*B31</f>
        <v>2030.1</v>
      </c>
      <c r="AP31" s="229">
        <f>B31*1.03</f>
        <v>1035.15</v>
      </c>
      <c r="AQ31" s="229">
        <f>B31*0.75</f>
        <v>753.75</v>
      </c>
      <c r="AR31" s="229">
        <f>B31*0.75</f>
        <v>753.75</v>
      </c>
      <c r="AS31" s="334"/>
      <c r="AT31" s="228">
        <f>0.45*366.2</f>
        <v>164.79</v>
      </c>
      <c r="AU31" s="237"/>
      <c r="AV31" s="237"/>
      <c r="AW31" s="237">
        <v>4032</v>
      </c>
      <c r="AX31" s="237"/>
      <c r="AY31" s="237"/>
      <c r="AZ31" s="237"/>
      <c r="BA31" s="197"/>
      <c r="BB31" s="228"/>
      <c r="BC31" s="326">
        <f>SUM(AK31:BB31)</f>
        <v>10859.939999999999</v>
      </c>
      <c r="BD31" s="241">
        <f>'[13]Т06'!$S$212+'[13]Т06'!$S$7</f>
        <v>4515.5070000000005</v>
      </c>
      <c r="BE31" s="226">
        <f t="shared" si="25"/>
        <v>15375.447</v>
      </c>
      <c r="BF31" s="227">
        <f t="shared" si="26"/>
        <v>812.1579999999994</v>
      </c>
      <c r="BG31" s="227">
        <f t="shared" si="27"/>
        <v>-1913.7800000000016</v>
      </c>
    </row>
    <row r="32" spans="1:59" ht="12.75">
      <c r="A32" s="224" t="s">
        <v>49</v>
      </c>
      <c r="B32" s="235">
        <v>1005</v>
      </c>
      <c r="C32" s="189">
        <f>B32*9.51</f>
        <v>9557.55</v>
      </c>
      <c r="D32" s="533">
        <v>0</v>
      </c>
      <c r="E32" s="232"/>
      <c r="F32" s="232"/>
      <c r="G32" s="232">
        <v>9852.95</v>
      </c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1"/>
      <c r="T32" s="339"/>
      <c r="U32" s="332">
        <f aca="true" t="shared" si="28" ref="U32:V37">G32+M32+O32+Q32+S32</f>
        <v>9852.95</v>
      </c>
      <c r="V32" s="537">
        <f t="shared" si="28"/>
        <v>0</v>
      </c>
      <c r="W32" s="337"/>
      <c r="X32" s="248">
        <v>4239.76</v>
      </c>
      <c r="Y32" s="337"/>
      <c r="Z32" s="337"/>
      <c r="AA32" s="248">
        <v>1978.08</v>
      </c>
      <c r="AB32" s="248">
        <v>686.58</v>
      </c>
      <c r="AC32" s="337"/>
      <c r="AD32" s="248"/>
      <c r="AE32" s="247"/>
      <c r="AF32" s="246">
        <f aca="true" t="shared" si="29" ref="AF32:AF37">SUM(X32:AE32)</f>
        <v>6904.42</v>
      </c>
      <c r="AG32" s="230">
        <f t="shared" si="23"/>
        <v>6904.42</v>
      </c>
      <c r="AH32" s="538">
        <v>0</v>
      </c>
      <c r="AI32" s="244">
        <f t="shared" si="24"/>
        <v>0</v>
      </c>
      <c r="AJ32" s="243">
        <f>'[13]Т07'!$J$7+'[13]Т07'!$J$214</f>
        <v>9211.585000000001</v>
      </c>
      <c r="AK32" s="229">
        <f>0.75*B32</f>
        <v>753.75</v>
      </c>
      <c r="AL32" s="229">
        <f>B32*0.2</f>
        <v>201</v>
      </c>
      <c r="AM32" s="229">
        <f>B32*1</f>
        <v>1005</v>
      </c>
      <c r="AN32" s="229">
        <f>B32*0.21</f>
        <v>211.04999999999998</v>
      </c>
      <c r="AO32" s="229">
        <f>2.02*B32</f>
        <v>2030.1</v>
      </c>
      <c r="AP32" s="229">
        <f>B32*1.03</f>
        <v>1035.15</v>
      </c>
      <c r="AQ32" s="229">
        <f>B32*0.75</f>
        <v>753.75</v>
      </c>
      <c r="AR32" s="229">
        <f>B32*0.75</f>
        <v>753.75</v>
      </c>
      <c r="AS32" s="334"/>
      <c r="AT32" s="228">
        <f>0.45*366.2</f>
        <v>164.79</v>
      </c>
      <c r="AU32" s="237"/>
      <c r="AV32" s="237"/>
      <c r="AW32" s="237"/>
      <c r="AX32" s="237"/>
      <c r="AY32" s="237"/>
      <c r="AZ32" s="237"/>
      <c r="BA32" s="197"/>
      <c r="BB32" s="228"/>
      <c r="BC32" s="326">
        <f>SUM(AK32:BB32)</f>
        <v>6908.339999999999</v>
      </c>
      <c r="BD32" s="241">
        <f>'[13]Т07'!$S$7+'[13]Т07'!$S$214</f>
        <v>4515.5070000000005</v>
      </c>
      <c r="BE32" s="226">
        <f t="shared" si="25"/>
        <v>11423.847</v>
      </c>
      <c r="BF32" s="227">
        <f t="shared" si="26"/>
        <v>4692.158000000001</v>
      </c>
      <c r="BG32" s="227">
        <f t="shared" si="27"/>
        <v>-2948.5300000000007</v>
      </c>
    </row>
    <row r="33" spans="1:59" ht="12.75">
      <c r="A33" s="224" t="s">
        <v>50</v>
      </c>
      <c r="B33" s="235">
        <v>1005</v>
      </c>
      <c r="C33" s="189">
        <f>B33*9.51</f>
        <v>9557.55</v>
      </c>
      <c r="D33" s="533"/>
      <c r="E33" s="232"/>
      <c r="F33" s="232"/>
      <c r="G33" s="232">
        <v>9852.95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1"/>
      <c r="T33" s="339"/>
      <c r="U33" s="332">
        <f t="shared" si="28"/>
        <v>9852.95</v>
      </c>
      <c r="V33" s="537">
        <f t="shared" si="28"/>
        <v>0</v>
      </c>
      <c r="W33" s="337"/>
      <c r="X33" s="248">
        <v>8336.31</v>
      </c>
      <c r="Y33" s="337"/>
      <c r="Z33" s="337"/>
      <c r="AA33" s="248">
        <v>1126.36</v>
      </c>
      <c r="AB33" s="248">
        <v>391.23</v>
      </c>
      <c r="AC33" s="337"/>
      <c r="AD33" s="248"/>
      <c r="AE33" s="247"/>
      <c r="AF33" s="246">
        <f t="shared" si="29"/>
        <v>9853.9</v>
      </c>
      <c r="AG33" s="230">
        <f t="shared" si="23"/>
        <v>9853.9</v>
      </c>
      <c r="AH33" s="538">
        <v>0</v>
      </c>
      <c r="AI33" s="244">
        <f t="shared" si="24"/>
        <v>0</v>
      </c>
      <c r="AJ33" s="243">
        <f>'[13]Т08'!$J$7+'[13]Т08'!$J$214</f>
        <v>9211.585000000001</v>
      </c>
      <c r="AK33" s="229">
        <f>0.75*B33</f>
        <v>753.75</v>
      </c>
      <c r="AL33" s="229">
        <f>B33*0.2</f>
        <v>201</v>
      </c>
      <c r="AM33" s="229">
        <f>B33*1</f>
        <v>1005</v>
      </c>
      <c r="AN33" s="229">
        <f>B33*0.21</f>
        <v>211.04999999999998</v>
      </c>
      <c r="AO33" s="229">
        <f>2.02*B33</f>
        <v>2030.1</v>
      </c>
      <c r="AP33" s="229">
        <f>B33*1.03</f>
        <v>1035.15</v>
      </c>
      <c r="AQ33" s="229">
        <f>B33*0.75</f>
        <v>753.75</v>
      </c>
      <c r="AR33" s="229">
        <f>B33*0.75</f>
        <v>753.75</v>
      </c>
      <c r="AS33" s="334"/>
      <c r="AT33" s="228">
        <f>0.45*366.2</f>
        <v>164.79</v>
      </c>
      <c r="AU33" s="237"/>
      <c r="AV33" s="237"/>
      <c r="AW33" s="237"/>
      <c r="AX33" s="237"/>
      <c r="AY33" s="237"/>
      <c r="AZ33" s="237"/>
      <c r="BA33" s="197"/>
      <c r="BB33" s="228"/>
      <c r="BC33" s="326">
        <f>SUM(AK33:BB33)</f>
        <v>6908.339999999999</v>
      </c>
      <c r="BD33" s="241">
        <f>'[13]Т08'!$S$7+'[13]Т08'!$S$214</f>
        <v>4515.5070000000005</v>
      </c>
      <c r="BE33" s="226">
        <f t="shared" si="25"/>
        <v>11423.847</v>
      </c>
      <c r="BF33" s="227">
        <f t="shared" si="26"/>
        <v>7641.638000000001</v>
      </c>
      <c r="BG33" s="227">
        <f t="shared" si="27"/>
        <v>0.9499999999989086</v>
      </c>
    </row>
    <row r="34" spans="1:59" ht="12.75">
      <c r="A34" s="224" t="s">
        <v>51</v>
      </c>
      <c r="B34" s="235">
        <v>1005</v>
      </c>
      <c r="C34" s="189">
        <f>B34*9.51</f>
        <v>9557.55</v>
      </c>
      <c r="D34" s="533"/>
      <c r="E34" s="232"/>
      <c r="F34" s="232"/>
      <c r="G34" s="232">
        <v>9852.95</v>
      </c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1"/>
      <c r="T34" s="339"/>
      <c r="U34" s="332">
        <f t="shared" si="28"/>
        <v>9852.95</v>
      </c>
      <c r="V34" s="537">
        <f t="shared" si="28"/>
        <v>0</v>
      </c>
      <c r="W34" s="337"/>
      <c r="X34" s="248">
        <v>7820.84</v>
      </c>
      <c r="Y34" s="337"/>
      <c r="Z34" s="337"/>
      <c r="AA34" s="248">
        <v>0</v>
      </c>
      <c r="AB34" s="248">
        <v>0</v>
      </c>
      <c r="AC34" s="337"/>
      <c r="AD34" s="248"/>
      <c r="AE34" s="247"/>
      <c r="AF34" s="246">
        <f t="shared" si="29"/>
        <v>7820.84</v>
      </c>
      <c r="AG34" s="230">
        <f t="shared" si="23"/>
        <v>7820.84</v>
      </c>
      <c r="AH34" s="538">
        <v>0</v>
      </c>
      <c r="AI34" s="244">
        <f t="shared" si="24"/>
        <v>0</v>
      </c>
      <c r="AJ34" s="243">
        <f>'[13]Т09'!$J$7+'[13]Т09'!$J$214</f>
        <v>9211.585000000001</v>
      </c>
      <c r="AK34" s="229">
        <f>0.75*B34</f>
        <v>753.75</v>
      </c>
      <c r="AL34" s="229">
        <f>B34*0.2</f>
        <v>201</v>
      </c>
      <c r="AM34" s="229">
        <f>B34*1</f>
        <v>1005</v>
      </c>
      <c r="AN34" s="229">
        <f>B34*0.21</f>
        <v>211.04999999999998</v>
      </c>
      <c r="AO34" s="229">
        <f>2.02*B34</f>
        <v>2030.1</v>
      </c>
      <c r="AP34" s="229">
        <f>B34*1.03</f>
        <v>1035.15</v>
      </c>
      <c r="AQ34" s="229">
        <f>B34*0.75</f>
        <v>753.75</v>
      </c>
      <c r="AR34" s="229">
        <f>B34*0.75</f>
        <v>753.75</v>
      </c>
      <c r="AS34" s="334"/>
      <c r="AT34" s="228">
        <f>0.45*366.2</f>
        <v>164.79</v>
      </c>
      <c r="AU34" s="237">
        <v>2162</v>
      </c>
      <c r="AV34" s="237"/>
      <c r="AW34" s="237">
        <v>467</v>
      </c>
      <c r="AX34" s="237">
        <f>327</f>
        <v>327</v>
      </c>
      <c r="AY34" s="237"/>
      <c r="AZ34" s="237"/>
      <c r="BA34" s="197"/>
      <c r="BB34" s="228"/>
      <c r="BC34" s="326">
        <f>SUM(AK34:BB34)</f>
        <v>9864.34</v>
      </c>
      <c r="BD34" s="241">
        <f>'[13]Т09'!$S$7+'[13]Т09'!$S$214</f>
        <v>4515.5070000000005</v>
      </c>
      <c r="BE34" s="226">
        <f t="shared" si="25"/>
        <v>14379.847000000002</v>
      </c>
      <c r="BF34" s="227">
        <f t="shared" si="26"/>
        <v>2652.5780000000013</v>
      </c>
      <c r="BG34" s="227">
        <f t="shared" si="27"/>
        <v>-2032.1100000000006</v>
      </c>
    </row>
    <row r="35" spans="1:59" ht="12.75">
      <c r="A35" s="224" t="s">
        <v>39</v>
      </c>
      <c r="B35" s="235">
        <v>1005</v>
      </c>
      <c r="C35" s="189">
        <f>B35*9.51</f>
        <v>9557.55</v>
      </c>
      <c r="D35" s="533"/>
      <c r="E35" s="232"/>
      <c r="F35" s="232"/>
      <c r="G35" s="232">
        <v>9852.95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1"/>
      <c r="T35" s="339"/>
      <c r="U35" s="332">
        <f t="shared" si="28"/>
        <v>9852.95</v>
      </c>
      <c r="V35" s="537">
        <f t="shared" si="28"/>
        <v>0</v>
      </c>
      <c r="W35" s="337"/>
      <c r="X35" s="248">
        <v>9755.96</v>
      </c>
      <c r="Y35" s="337"/>
      <c r="Z35" s="337"/>
      <c r="AA35" s="248">
        <v>91.32</v>
      </c>
      <c r="AB35" s="248">
        <v>31.68</v>
      </c>
      <c r="AC35" s="337"/>
      <c r="AD35" s="248"/>
      <c r="AE35" s="247"/>
      <c r="AF35" s="246">
        <f t="shared" si="29"/>
        <v>9878.96</v>
      </c>
      <c r="AG35" s="230">
        <f t="shared" si="23"/>
        <v>9878.96</v>
      </c>
      <c r="AH35" s="538">
        <v>0</v>
      </c>
      <c r="AI35" s="244">
        <f t="shared" si="24"/>
        <v>0</v>
      </c>
      <c r="AJ35" s="243">
        <f>'[13]Т10'!$J$7+'[13]Т10'!$J$213</f>
        <v>9211.585000000001</v>
      </c>
      <c r="AK35" s="229">
        <f>0.75*B35</f>
        <v>753.75</v>
      </c>
      <c r="AL35" s="229">
        <f>B35*0.2</f>
        <v>201</v>
      </c>
      <c r="AM35" s="229">
        <f>B35*1</f>
        <v>1005</v>
      </c>
      <c r="AN35" s="229">
        <f>B35*0.21</f>
        <v>211.04999999999998</v>
      </c>
      <c r="AO35" s="229">
        <f>2.02*B35</f>
        <v>2030.1</v>
      </c>
      <c r="AP35" s="229">
        <f>B35*1.03</f>
        <v>1035.15</v>
      </c>
      <c r="AQ35" s="229">
        <f>B35*0.75</f>
        <v>753.75</v>
      </c>
      <c r="AR35" s="229">
        <f>B35*0.75</f>
        <v>753.75</v>
      </c>
      <c r="AS35" s="334">
        <f>B35*1.15</f>
        <v>1155.75</v>
      </c>
      <c r="AT35" s="228">
        <f>0.45*366.2</f>
        <v>164.79</v>
      </c>
      <c r="AU35" s="539"/>
      <c r="AV35" s="237"/>
      <c r="AW35" s="237"/>
      <c r="AX35" s="237">
        <f>35+18</f>
        <v>53</v>
      </c>
      <c r="AY35" s="237"/>
      <c r="AZ35" s="237"/>
      <c r="BA35" s="197"/>
      <c r="BB35" s="228"/>
      <c r="BC35" s="326">
        <f>SUM(AK35:BB35)</f>
        <v>8117.089999999999</v>
      </c>
      <c r="BD35" s="241">
        <f>'[13]Т10'!$S$7+'[13]Т10'!$S$213</f>
        <v>4515.5070000000005</v>
      </c>
      <c r="BE35" s="226">
        <f t="shared" si="25"/>
        <v>12632.597</v>
      </c>
      <c r="BF35" s="227">
        <f t="shared" si="26"/>
        <v>6457.9479999999985</v>
      </c>
      <c r="BG35" s="227">
        <f t="shared" si="27"/>
        <v>26.0099999999984</v>
      </c>
    </row>
    <row r="36" spans="1:59" ht="12.75">
      <c r="A36" s="224" t="s">
        <v>40</v>
      </c>
      <c r="B36" s="540">
        <v>1005</v>
      </c>
      <c r="C36" s="189">
        <f>B36*9.51</f>
        <v>9557.55</v>
      </c>
      <c r="D36" s="533"/>
      <c r="E36" s="232"/>
      <c r="F36" s="232"/>
      <c r="G36" s="248">
        <v>9852.95</v>
      </c>
      <c r="H36" s="248"/>
      <c r="I36" s="232"/>
      <c r="J36" s="232"/>
      <c r="K36" s="232"/>
      <c r="L36" s="232"/>
      <c r="M36" s="248"/>
      <c r="N36" s="248"/>
      <c r="O36" s="248"/>
      <c r="P36" s="248"/>
      <c r="Q36" s="248"/>
      <c r="R36" s="248"/>
      <c r="S36" s="247"/>
      <c r="T36" s="339"/>
      <c r="U36" s="332">
        <f t="shared" si="28"/>
        <v>9852.95</v>
      </c>
      <c r="V36" s="537">
        <f t="shared" si="28"/>
        <v>0</v>
      </c>
      <c r="W36" s="337"/>
      <c r="X36" s="248">
        <v>10312.01</v>
      </c>
      <c r="Y36" s="337"/>
      <c r="Z36" s="337"/>
      <c r="AA36" s="248">
        <v>47</v>
      </c>
      <c r="AB36" s="248">
        <v>78.27</v>
      </c>
      <c r="AC36" s="337"/>
      <c r="AD36" s="248"/>
      <c r="AE36" s="247"/>
      <c r="AF36" s="246">
        <f t="shared" si="29"/>
        <v>10437.28</v>
      </c>
      <c r="AG36" s="230">
        <f t="shared" si="23"/>
        <v>10437.28</v>
      </c>
      <c r="AH36" s="538">
        <v>0</v>
      </c>
      <c r="AI36" s="244">
        <f t="shared" si="24"/>
        <v>0</v>
      </c>
      <c r="AJ36" s="243">
        <f>'[13]Т11'!$J$7+'[13]Т11'!$J$215</f>
        <v>9211.585000000001</v>
      </c>
      <c r="AK36" s="229">
        <f>0.75*B36</f>
        <v>753.75</v>
      </c>
      <c r="AL36" s="229">
        <f>B36*0.2</f>
        <v>201</v>
      </c>
      <c r="AM36" s="229">
        <f>B36*1</f>
        <v>1005</v>
      </c>
      <c r="AN36" s="229">
        <f>B36*0.21</f>
        <v>211.04999999999998</v>
      </c>
      <c r="AO36" s="229">
        <f>2.02*B36</f>
        <v>2030.1</v>
      </c>
      <c r="AP36" s="229">
        <f>B36*1.03</f>
        <v>1035.15</v>
      </c>
      <c r="AQ36" s="229">
        <f>B36*0.75</f>
        <v>753.75</v>
      </c>
      <c r="AR36" s="229">
        <f>B36*0.75</f>
        <v>753.75</v>
      </c>
      <c r="AS36" s="334">
        <f>B36*1.15</f>
        <v>1155.75</v>
      </c>
      <c r="AT36" s="228">
        <f>0.45*366.2</f>
        <v>164.79</v>
      </c>
      <c r="AU36" s="237"/>
      <c r="AV36" s="237"/>
      <c r="AW36" s="237"/>
      <c r="AX36" s="237"/>
      <c r="AY36" s="237"/>
      <c r="AZ36" s="237"/>
      <c r="BA36" s="197"/>
      <c r="BB36" s="228"/>
      <c r="BC36" s="326">
        <f>SUM(AK36:BB36)</f>
        <v>8064.089999999999</v>
      </c>
      <c r="BD36" s="241">
        <f>'[13]Т11'!$S$7+'[13]Т11'!$S$215</f>
        <v>4515.5070000000005</v>
      </c>
      <c r="BE36" s="226">
        <f t="shared" si="25"/>
        <v>12579.597</v>
      </c>
      <c r="BF36" s="227">
        <f t="shared" si="26"/>
        <v>7069.268000000002</v>
      </c>
      <c r="BG36" s="227">
        <f t="shared" si="27"/>
        <v>584.3299999999999</v>
      </c>
    </row>
    <row r="37" spans="1:59" ht="13.5" thickBot="1">
      <c r="A37" s="224" t="s">
        <v>41</v>
      </c>
      <c r="B37" s="540">
        <v>1005</v>
      </c>
      <c r="C37" s="189">
        <f>B37*9.51</f>
        <v>9557.55</v>
      </c>
      <c r="D37" s="533"/>
      <c r="E37" s="248"/>
      <c r="F37" s="248"/>
      <c r="G37" s="248">
        <v>9877.88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7"/>
      <c r="T37" s="339"/>
      <c r="U37" s="332">
        <f t="shared" si="28"/>
        <v>9877.88</v>
      </c>
      <c r="V37" s="537">
        <f t="shared" si="28"/>
        <v>0</v>
      </c>
      <c r="W37" s="337"/>
      <c r="X37" s="248">
        <v>12603.14</v>
      </c>
      <c r="Y37" s="248"/>
      <c r="Z37" s="248"/>
      <c r="AA37" s="248">
        <v>20.04</v>
      </c>
      <c r="AB37" s="248">
        <v>45.82</v>
      </c>
      <c r="AC37" s="248"/>
      <c r="AD37" s="248"/>
      <c r="AE37" s="247"/>
      <c r="AF37" s="246">
        <f t="shared" si="29"/>
        <v>12669</v>
      </c>
      <c r="AG37" s="230">
        <f t="shared" si="23"/>
        <v>12669</v>
      </c>
      <c r="AH37" s="538">
        <v>0</v>
      </c>
      <c r="AI37" s="244">
        <f t="shared" si="24"/>
        <v>0</v>
      </c>
      <c r="AJ37" s="243">
        <f>'[13]Т12'!$J$7+'[13]Т12'!$J$218</f>
        <v>9211.585000000001</v>
      </c>
      <c r="AK37" s="229">
        <f>0.75*B37</f>
        <v>753.75</v>
      </c>
      <c r="AL37" s="229">
        <f>B37*0.2</f>
        <v>201</v>
      </c>
      <c r="AM37" s="229">
        <f>B37*1</f>
        <v>1005</v>
      </c>
      <c r="AN37" s="229">
        <f>B37*0.21</f>
        <v>211.04999999999998</v>
      </c>
      <c r="AO37" s="229">
        <f>2.02*B37</f>
        <v>2030.1</v>
      </c>
      <c r="AP37" s="229">
        <f>B37*1.03</f>
        <v>1035.15</v>
      </c>
      <c r="AQ37" s="229">
        <f>B37*0.75</f>
        <v>753.75</v>
      </c>
      <c r="AR37" s="229">
        <f>B37*0.75</f>
        <v>753.75</v>
      </c>
      <c r="AS37" s="334">
        <f>B37*1.15</f>
        <v>1155.75</v>
      </c>
      <c r="AT37" s="228">
        <f>0.45*366.2</f>
        <v>164.79</v>
      </c>
      <c r="AU37" s="237"/>
      <c r="AV37" s="237"/>
      <c r="AW37" s="237"/>
      <c r="AX37" s="237">
        <f>53</f>
        <v>53</v>
      </c>
      <c r="AY37" s="237"/>
      <c r="AZ37" s="237"/>
      <c r="BA37" s="197"/>
      <c r="BB37" s="228"/>
      <c r="BC37" s="326">
        <f>SUM(AK37:BB37)</f>
        <v>8117.089999999999</v>
      </c>
      <c r="BD37" s="241">
        <f>'[13]Т12'!$S$7+'[13]Т12'!$S$218</f>
        <v>4515.5070000000005</v>
      </c>
      <c r="BE37" s="226">
        <f t="shared" si="25"/>
        <v>12632.597</v>
      </c>
      <c r="BF37" s="227">
        <f t="shared" si="26"/>
        <v>9247.988</v>
      </c>
      <c r="BG37" s="227">
        <f t="shared" si="27"/>
        <v>2791.120000000001</v>
      </c>
    </row>
    <row r="38" spans="1:59" s="22" customFormat="1" ht="13.5" thickBot="1">
      <c r="A38" s="223" t="s">
        <v>3</v>
      </c>
      <c r="B38" s="219"/>
      <c r="C38" s="217">
        <f aca="true" t="shared" si="30" ref="C38:AX38">SUM(C26:C37)</f>
        <v>108901.80000000002</v>
      </c>
      <c r="D38" s="217">
        <f t="shared" si="30"/>
        <v>0</v>
      </c>
      <c r="E38" s="217">
        <f t="shared" si="30"/>
        <v>0</v>
      </c>
      <c r="F38" s="217">
        <f t="shared" si="30"/>
        <v>0</v>
      </c>
      <c r="G38" s="217">
        <f t="shared" si="30"/>
        <v>91481.79</v>
      </c>
      <c r="H38" s="217">
        <f t="shared" si="30"/>
        <v>0</v>
      </c>
      <c r="I38" s="217">
        <f t="shared" si="30"/>
        <v>0</v>
      </c>
      <c r="J38" s="217">
        <f t="shared" si="30"/>
        <v>0</v>
      </c>
      <c r="K38" s="217">
        <f t="shared" si="30"/>
        <v>0</v>
      </c>
      <c r="L38" s="217">
        <f t="shared" si="30"/>
        <v>0</v>
      </c>
      <c r="M38" s="217">
        <f t="shared" si="30"/>
        <v>15707.02</v>
      </c>
      <c r="N38" s="217">
        <f t="shared" si="30"/>
        <v>0</v>
      </c>
      <c r="O38" s="217">
        <f t="shared" si="30"/>
        <v>5450.320000000001</v>
      </c>
      <c r="P38" s="217">
        <f t="shared" si="30"/>
        <v>0</v>
      </c>
      <c r="Q38" s="217">
        <f t="shared" si="30"/>
        <v>0</v>
      </c>
      <c r="R38" s="217">
        <f t="shared" si="30"/>
        <v>0</v>
      </c>
      <c r="S38" s="217">
        <f t="shared" si="30"/>
        <v>0</v>
      </c>
      <c r="T38" s="217">
        <f t="shared" si="30"/>
        <v>0</v>
      </c>
      <c r="U38" s="217">
        <f t="shared" si="30"/>
        <v>112639.12999999999</v>
      </c>
      <c r="V38" s="217">
        <f t="shared" si="30"/>
        <v>0</v>
      </c>
      <c r="W38" s="217">
        <f t="shared" si="30"/>
        <v>0</v>
      </c>
      <c r="X38" s="217">
        <f t="shared" si="30"/>
        <v>77548.70999999999</v>
      </c>
      <c r="Y38" s="217">
        <f t="shared" si="30"/>
        <v>0</v>
      </c>
      <c r="Z38" s="217">
        <f t="shared" si="30"/>
        <v>0</v>
      </c>
      <c r="AA38" s="217">
        <f t="shared" si="30"/>
        <v>19516.690000000002</v>
      </c>
      <c r="AB38" s="217">
        <f t="shared" si="30"/>
        <v>7136.67</v>
      </c>
      <c r="AC38" s="217">
        <f t="shared" si="30"/>
        <v>0</v>
      </c>
      <c r="AD38" s="217">
        <f t="shared" si="30"/>
        <v>0</v>
      </c>
      <c r="AE38" s="217">
        <f t="shared" si="30"/>
        <v>0</v>
      </c>
      <c r="AF38" s="217">
        <f t="shared" si="30"/>
        <v>104202.06999999998</v>
      </c>
      <c r="AG38" s="217">
        <f t="shared" si="30"/>
        <v>104202.06999999998</v>
      </c>
      <c r="AH38" s="217">
        <f t="shared" si="30"/>
        <v>0</v>
      </c>
      <c r="AI38" s="217">
        <f t="shared" si="30"/>
        <v>0</v>
      </c>
      <c r="AJ38" s="217">
        <f t="shared" si="30"/>
        <v>110539.02000000003</v>
      </c>
      <c r="AK38" s="217">
        <f t="shared" si="30"/>
        <v>8562.6</v>
      </c>
      <c r="AL38" s="217">
        <f t="shared" si="30"/>
        <v>2412</v>
      </c>
      <c r="AM38" s="217">
        <f t="shared" si="30"/>
        <v>12060</v>
      </c>
      <c r="AN38" s="217">
        <f t="shared" si="30"/>
        <v>2532.6000000000004</v>
      </c>
      <c r="AO38" s="217">
        <f t="shared" si="30"/>
        <v>24361.199999999997</v>
      </c>
      <c r="AP38" s="217">
        <f t="shared" si="30"/>
        <v>12421.799999999997</v>
      </c>
      <c r="AQ38" s="217">
        <f t="shared" si="30"/>
        <v>9045</v>
      </c>
      <c r="AR38" s="217">
        <f t="shared" si="30"/>
        <v>9045</v>
      </c>
      <c r="AS38" s="217">
        <f t="shared" si="30"/>
        <v>6934.5</v>
      </c>
      <c r="AT38" s="217">
        <f t="shared" si="30"/>
        <v>1977.4799999999998</v>
      </c>
      <c r="AU38" s="217">
        <f t="shared" si="30"/>
        <v>2162</v>
      </c>
      <c r="AV38" s="217">
        <f t="shared" si="30"/>
        <v>0</v>
      </c>
      <c r="AW38" s="217">
        <f t="shared" si="30"/>
        <v>16492.2</v>
      </c>
      <c r="AX38" s="217">
        <f t="shared" si="30"/>
        <v>1976</v>
      </c>
      <c r="AY38" s="217">
        <f>SUM(BA26:BA37)</f>
        <v>0</v>
      </c>
      <c r="AZ38" s="217">
        <f>SUM(BB26:BB37)</f>
        <v>0</v>
      </c>
      <c r="BA38" s="217">
        <f>SUM(BC26:BC37)</f>
        <v>109982.37999999998</v>
      </c>
      <c r="BB38" s="217">
        <f>SUM(BB26:BB37)</f>
        <v>0</v>
      </c>
      <c r="BC38" s="217">
        <f>SUM(BC26:BC37)</f>
        <v>109982.37999999998</v>
      </c>
      <c r="BD38" s="217">
        <f>SUM(BD26:BD37)</f>
        <v>54186.083999999995</v>
      </c>
      <c r="BE38" s="217">
        <f>SUM(BE26:BE37)</f>
        <v>164168.464</v>
      </c>
      <c r="BF38" s="217">
        <f>SUM(BF26:BF37)</f>
        <v>50572.626000000004</v>
      </c>
      <c r="BG38" s="217">
        <f>SUM(BG26:BG37)</f>
        <v>-8437.060000000003</v>
      </c>
    </row>
    <row r="39" spans="1:59" s="22" customFormat="1" ht="13.5" thickBot="1">
      <c r="A39" s="222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21"/>
      <c r="BF39" s="219"/>
      <c r="BG39" s="220"/>
    </row>
    <row r="40" spans="1:59" s="22" customFormat="1" ht="13.5" thickBot="1">
      <c r="A40" s="25" t="s">
        <v>52</v>
      </c>
      <c r="B40" s="219"/>
      <c r="C40" s="218">
        <f aca="true" t="shared" si="31" ref="C40:L40">C38+C24</f>
        <v>446814.725</v>
      </c>
      <c r="D40" s="218">
        <f t="shared" si="31"/>
        <v>42197.07338325001</v>
      </c>
      <c r="E40" s="218">
        <f t="shared" si="31"/>
        <v>21072.840000000004</v>
      </c>
      <c r="F40" s="218">
        <f t="shared" si="31"/>
        <v>3774.2099999999996</v>
      </c>
      <c r="G40" s="218">
        <f t="shared" si="31"/>
        <v>165326.56</v>
      </c>
      <c r="H40" s="218">
        <f t="shared" si="31"/>
        <v>0</v>
      </c>
      <c r="I40" s="218">
        <f t="shared" si="31"/>
        <v>28503</v>
      </c>
      <c r="J40" s="218">
        <f t="shared" si="31"/>
        <v>5109.12</v>
      </c>
      <c r="K40" s="218">
        <f t="shared" si="31"/>
        <v>47468.72</v>
      </c>
      <c r="L40" s="218">
        <f t="shared" si="31"/>
        <v>8505.97</v>
      </c>
      <c r="M40" s="218" t="e">
        <f>'[7]Лист1'!I58</f>
        <v>#REF!</v>
      </c>
      <c r="N40" s="218">
        <f aca="true" t="shared" si="32" ref="N40:BG40">N38+N24</f>
        <v>12280.04</v>
      </c>
      <c r="O40" s="218">
        <f t="shared" si="32"/>
        <v>33830.439999999995</v>
      </c>
      <c r="P40" s="218">
        <f t="shared" si="32"/>
        <v>3019.3500000000004</v>
      </c>
      <c r="Q40" s="218">
        <f t="shared" si="32"/>
        <v>0</v>
      </c>
      <c r="R40" s="218">
        <f t="shared" si="32"/>
        <v>0</v>
      </c>
      <c r="S40" s="218">
        <f t="shared" si="32"/>
        <v>0</v>
      </c>
      <c r="T40" s="218">
        <f t="shared" si="32"/>
        <v>0</v>
      </c>
      <c r="U40" s="218">
        <f t="shared" si="32"/>
        <v>412731.32999999996</v>
      </c>
      <c r="V40" s="218">
        <f t="shared" si="32"/>
        <v>32688.689999999995</v>
      </c>
      <c r="W40" s="218">
        <f t="shared" si="32"/>
        <v>21118.760000000002</v>
      </c>
      <c r="X40" s="218">
        <f t="shared" si="32"/>
        <v>141885.72</v>
      </c>
      <c r="Y40" s="218">
        <f t="shared" si="32"/>
        <v>28562.960000000003</v>
      </c>
      <c r="Z40" s="218">
        <f t="shared" si="32"/>
        <v>47570.03</v>
      </c>
      <c r="AA40" s="218">
        <f t="shared" si="32"/>
        <v>118530.96</v>
      </c>
      <c r="AB40" s="218">
        <f t="shared" si="32"/>
        <v>34173.08</v>
      </c>
      <c r="AC40" s="218">
        <f t="shared" si="32"/>
        <v>0</v>
      </c>
      <c r="AD40" s="218">
        <f t="shared" si="32"/>
        <v>0</v>
      </c>
      <c r="AE40" s="218">
        <f t="shared" si="32"/>
        <v>0</v>
      </c>
      <c r="AF40" s="218">
        <f t="shared" si="32"/>
        <v>391841.51</v>
      </c>
      <c r="AG40" s="218">
        <f t="shared" si="32"/>
        <v>466727.27338325</v>
      </c>
      <c r="AH40" s="218">
        <f t="shared" si="32"/>
        <v>0</v>
      </c>
      <c r="AI40" s="218">
        <f t="shared" si="32"/>
        <v>0</v>
      </c>
      <c r="AJ40" s="218">
        <f t="shared" si="32"/>
        <v>377474.76864</v>
      </c>
      <c r="AK40" s="218">
        <f t="shared" si="32"/>
        <v>32688.18</v>
      </c>
      <c r="AL40" s="218">
        <f t="shared" si="32"/>
        <v>10200.525516</v>
      </c>
      <c r="AM40" s="218">
        <f t="shared" si="32"/>
        <v>50755.902996475</v>
      </c>
      <c r="AN40" s="218">
        <f t="shared" si="32"/>
        <v>5065.200000000001</v>
      </c>
      <c r="AO40" s="218">
        <f t="shared" si="32"/>
        <v>75289.62834525498</v>
      </c>
      <c r="AP40" s="218">
        <f t="shared" si="32"/>
        <v>84276.491193907</v>
      </c>
      <c r="AQ40" s="218">
        <f t="shared" si="32"/>
        <v>18090</v>
      </c>
      <c r="AR40" s="218">
        <f t="shared" si="32"/>
        <v>18090</v>
      </c>
      <c r="AS40" s="218">
        <f t="shared" si="32"/>
        <v>13869</v>
      </c>
      <c r="AT40" s="218">
        <f t="shared" si="32"/>
        <v>5767.65</v>
      </c>
      <c r="AU40" s="218">
        <f t="shared" si="32"/>
        <v>51434.84</v>
      </c>
      <c r="AV40" s="218">
        <f t="shared" si="32"/>
        <v>1630</v>
      </c>
      <c r="AW40" s="217">
        <f t="shared" si="32"/>
        <v>102226.44799999999</v>
      </c>
      <c r="AX40" s="217">
        <f t="shared" si="32"/>
        <v>52939.81760000001</v>
      </c>
      <c r="AY40" s="217">
        <f t="shared" si="32"/>
        <v>5388.7724</v>
      </c>
      <c r="AZ40" s="217">
        <f t="shared" si="32"/>
        <v>0</v>
      </c>
      <c r="BA40" s="217">
        <f t="shared" si="32"/>
        <v>109982.37999999998</v>
      </c>
      <c r="BB40" s="217">
        <f t="shared" si="32"/>
        <v>0</v>
      </c>
      <c r="BC40" s="217">
        <f t="shared" si="32"/>
        <v>527712.456051637</v>
      </c>
      <c r="BD40" s="217">
        <f t="shared" si="32"/>
        <v>178219.6070811254</v>
      </c>
      <c r="BE40" s="217">
        <f t="shared" si="32"/>
        <v>705932.0631327624</v>
      </c>
      <c r="BF40" s="217">
        <f t="shared" si="32"/>
        <v>138269.9788904876</v>
      </c>
      <c r="BG40" s="217">
        <f t="shared" si="32"/>
        <v>-20889.820000000014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3">
      <selection activeCell="C8" sqref="C8:C11"/>
    </sheetView>
  </sheetViews>
  <sheetFormatPr defaultColWidth="9.00390625" defaultRowHeight="12.75"/>
  <cols>
    <col min="1" max="1" width="10.00390625" style="216" customWidth="1"/>
    <col min="2" max="2" width="8.375" style="216" customWidth="1"/>
    <col min="3" max="3" width="11.875" style="216" customWidth="1"/>
    <col min="4" max="4" width="10.75390625" style="216" customWidth="1"/>
    <col min="5" max="5" width="11.625" style="216" customWidth="1"/>
    <col min="6" max="6" width="9.875" style="216" customWidth="1"/>
    <col min="7" max="7" width="11.875" style="216" customWidth="1"/>
    <col min="8" max="9" width="11.375" style="216" customWidth="1"/>
    <col min="10" max="10" width="9.25390625" style="216" customWidth="1"/>
    <col min="11" max="11" width="9.875" style="216" customWidth="1"/>
    <col min="12" max="12" width="10.875" style="216" customWidth="1"/>
    <col min="13" max="13" width="10.125" style="216" customWidth="1"/>
    <col min="14" max="14" width="9.375" style="216" hidden="1" customWidth="1"/>
    <col min="15" max="15" width="11.625" style="216" hidden="1" customWidth="1"/>
    <col min="16" max="16" width="11.375" style="216" customWidth="1"/>
    <col min="17" max="17" width="12.625" style="216" customWidth="1"/>
    <col min="18" max="18" width="10.375" style="216" customWidth="1"/>
    <col min="19" max="19" width="10.75390625" style="216" customWidth="1"/>
    <col min="20" max="16384" width="9.125" style="216" customWidth="1"/>
  </cols>
  <sheetData>
    <row r="1" spans="2:9" ht="20.25" customHeight="1">
      <c r="B1" s="504" t="s">
        <v>53</v>
      </c>
      <c r="C1" s="504"/>
      <c r="D1" s="504"/>
      <c r="E1" s="504"/>
      <c r="F1" s="504"/>
      <c r="G1" s="504"/>
      <c r="H1" s="504"/>
      <c r="I1" s="27"/>
    </row>
    <row r="2" spans="2:12" ht="21" customHeight="1">
      <c r="B2" s="504" t="s">
        <v>54</v>
      </c>
      <c r="C2" s="504"/>
      <c r="D2" s="504"/>
      <c r="E2" s="504"/>
      <c r="F2" s="504"/>
      <c r="G2" s="504"/>
      <c r="H2" s="504"/>
      <c r="I2" s="27"/>
      <c r="K2" s="290"/>
      <c r="L2" s="290"/>
    </row>
    <row r="5" spans="1:16" ht="12.75">
      <c r="A5" s="445" t="s">
        <v>124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</row>
    <row r="6" spans="1:16" ht="12.75">
      <c r="A6" s="505" t="s">
        <v>129</v>
      </c>
      <c r="B6" s="505"/>
      <c r="C6" s="505"/>
      <c r="D6" s="505"/>
      <c r="E6" s="505"/>
      <c r="F6" s="505"/>
      <c r="G6" s="505"/>
      <c r="H6" s="112"/>
      <c r="I6" s="112"/>
      <c r="J6" s="112"/>
      <c r="K6" s="112"/>
      <c r="L6" s="112"/>
      <c r="M6" s="112"/>
      <c r="N6" s="112"/>
      <c r="O6" s="112"/>
      <c r="P6" s="112"/>
    </row>
    <row r="7" spans="1:17" ht="13.5" thickBot="1">
      <c r="A7" s="506" t="s">
        <v>55</v>
      </c>
      <c r="B7" s="506"/>
      <c r="C7" s="506"/>
      <c r="D7" s="506"/>
      <c r="E7" s="506">
        <v>9.51</v>
      </c>
      <c r="F7" s="506"/>
      <c r="I7" s="293"/>
      <c r="J7" s="293"/>
      <c r="K7" s="293"/>
      <c r="L7" s="293"/>
      <c r="M7" s="293"/>
      <c r="N7" s="293"/>
      <c r="O7" s="293"/>
      <c r="P7" s="293"/>
      <c r="Q7" s="293"/>
    </row>
    <row r="8" spans="1:19" ht="12.75" customHeight="1">
      <c r="A8" s="446" t="s">
        <v>56</v>
      </c>
      <c r="B8" s="449" t="s">
        <v>0</v>
      </c>
      <c r="C8" s="524" t="s">
        <v>128</v>
      </c>
      <c r="D8" s="527" t="s">
        <v>2</v>
      </c>
      <c r="E8" s="530" t="s">
        <v>58</v>
      </c>
      <c r="F8" s="372"/>
      <c r="G8" s="500" t="s">
        <v>116</v>
      </c>
      <c r="H8" s="501"/>
      <c r="I8" s="294"/>
      <c r="J8" s="507" t="s">
        <v>8</v>
      </c>
      <c r="K8" s="508"/>
      <c r="L8" s="508"/>
      <c r="M8" s="508"/>
      <c r="N8" s="508"/>
      <c r="O8" s="508"/>
      <c r="P8" s="508"/>
      <c r="Q8" s="509"/>
      <c r="R8" s="512" t="s">
        <v>59</v>
      </c>
      <c r="S8" s="512" t="s">
        <v>10</v>
      </c>
    </row>
    <row r="9" spans="1:19" ht="12.75">
      <c r="A9" s="447"/>
      <c r="B9" s="450"/>
      <c r="C9" s="525"/>
      <c r="D9" s="528"/>
      <c r="E9" s="531"/>
      <c r="F9" s="532"/>
      <c r="G9" s="502"/>
      <c r="H9" s="503"/>
      <c r="I9" s="295"/>
      <c r="J9" s="510"/>
      <c r="K9" s="511"/>
      <c r="L9" s="511"/>
      <c r="M9" s="511"/>
      <c r="N9" s="511"/>
      <c r="O9" s="511"/>
      <c r="P9" s="511"/>
      <c r="Q9" s="375"/>
      <c r="R9" s="513"/>
      <c r="S9" s="513"/>
    </row>
    <row r="10" spans="1:19" ht="26.25" customHeight="1">
      <c r="A10" s="447"/>
      <c r="B10" s="450"/>
      <c r="C10" s="525"/>
      <c r="D10" s="528"/>
      <c r="E10" s="515" t="s">
        <v>60</v>
      </c>
      <c r="F10" s="404"/>
      <c r="G10" s="139" t="s">
        <v>61</v>
      </c>
      <c r="H10" s="516" t="s">
        <v>5</v>
      </c>
      <c r="I10" s="518" t="s">
        <v>117</v>
      </c>
      <c r="J10" s="434" t="s">
        <v>62</v>
      </c>
      <c r="K10" s="417" t="s">
        <v>118</v>
      </c>
      <c r="L10" s="417" t="s">
        <v>63</v>
      </c>
      <c r="M10" s="417" t="s">
        <v>35</v>
      </c>
      <c r="N10" s="417" t="s">
        <v>64</v>
      </c>
      <c r="O10" s="418" t="s">
        <v>36</v>
      </c>
      <c r="P10" s="418" t="s">
        <v>119</v>
      </c>
      <c r="Q10" s="517" t="s">
        <v>37</v>
      </c>
      <c r="R10" s="513"/>
      <c r="S10" s="513"/>
    </row>
    <row r="11" spans="1:19" ht="66.75" customHeight="1" thickBot="1">
      <c r="A11" s="448"/>
      <c r="B11" s="451"/>
      <c r="C11" s="526"/>
      <c r="D11" s="529"/>
      <c r="E11" s="296" t="s">
        <v>65</v>
      </c>
      <c r="F11" s="297" t="s">
        <v>19</v>
      </c>
      <c r="G11" s="215" t="s">
        <v>120</v>
      </c>
      <c r="H11" s="517"/>
      <c r="I11" s="519"/>
      <c r="J11" s="435"/>
      <c r="K11" s="418"/>
      <c r="L11" s="418"/>
      <c r="M11" s="418"/>
      <c r="N11" s="418"/>
      <c r="O11" s="520"/>
      <c r="P11" s="520"/>
      <c r="Q11" s="521"/>
      <c r="R11" s="514"/>
      <c r="S11" s="514"/>
    </row>
    <row r="12" spans="1:19" ht="13.5" thickBot="1">
      <c r="A12" s="32">
        <v>1</v>
      </c>
      <c r="B12" s="33">
        <v>2</v>
      </c>
      <c r="C12" s="32">
        <v>3</v>
      </c>
      <c r="D12" s="33">
        <v>4</v>
      </c>
      <c r="E12" s="32">
        <v>5</v>
      </c>
      <c r="F12" s="33">
        <v>6</v>
      </c>
      <c r="G12" s="32">
        <v>7</v>
      </c>
      <c r="H12" s="33">
        <v>8</v>
      </c>
      <c r="I12" s="32">
        <v>9</v>
      </c>
      <c r="J12" s="33">
        <v>10</v>
      </c>
      <c r="K12" s="32">
        <v>11</v>
      </c>
      <c r="L12" s="33">
        <v>12</v>
      </c>
      <c r="M12" s="32">
        <v>13</v>
      </c>
      <c r="N12" s="33">
        <v>14</v>
      </c>
      <c r="O12" s="32">
        <v>15</v>
      </c>
      <c r="P12" s="33">
        <v>14</v>
      </c>
      <c r="Q12" s="32">
        <v>15</v>
      </c>
      <c r="R12" s="33">
        <v>16</v>
      </c>
      <c r="S12" s="32">
        <v>17</v>
      </c>
    </row>
    <row r="13" spans="1:19" ht="13.5" hidden="1" thickBot="1">
      <c r="A13" s="522" t="s">
        <v>121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298"/>
      <c r="R13" s="299"/>
      <c r="S13" s="299"/>
    </row>
    <row r="14" spans="1:21" s="22" customFormat="1" ht="13.5" hidden="1" thickBot="1">
      <c r="A14" s="57" t="s">
        <v>52</v>
      </c>
      <c r="B14" s="58"/>
      <c r="C14" s="59">
        <f>'2012 полн'!C8</f>
        <v>234799.925</v>
      </c>
      <c r="D14" s="59">
        <f>'2012 полн'!D8</f>
        <v>22197.07338325001</v>
      </c>
      <c r="E14" s="59">
        <f>'2012 полн'!U8</f>
        <v>182444.68999999997</v>
      </c>
      <c r="F14" s="59">
        <f>'2012 полн'!V8</f>
        <v>32688.689999999995</v>
      </c>
      <c r="G14" s="59">
        <f>'2012 полн'!AF8</f>
        <v>176389.57</v>
      </c>
      <c r="H14" s="59">
        <f>'2012 полн'!AG8</f>
        <v>231275.33338325002</v>
      </c>
      <c r="I14" s="59">
        <f>'2012 полн'!AJ8</f>
        <v>177310.79664000002</v>
      </c>
      <c r="J14" s="59">
        <f>'2012 полн'!AK8</f>
        <v>16045.380000000001</v>
      </c>
      <c r="K14" s="59">
        <f>'2012 полн'!AL8</f>
        <v>5376.525516</v>
      </c>
      <c r="L14" s="59">
        <f>'2012 полн'!AM8+'2012 полн'!AO8+'2012 полн'!AP8+'2012 полн'!AS8+'2012 полн'!AX8+'2012 полн'!AT8+5388.77</f>
        <v>128236.270135637</v>
      </c>
      <c r="M14" s="59">
        <f>'2012 полн'!AU8+'2012 полн'!AW8</f>
        <v>123268.08799999999</v>
      </c>
      <c r="N14" s="59">
        <v>0</v>
      </c>
      <c r="O14" s="59"/>
      <c r="P14" s="59">
        <f>'2012 полн'!BD8</f>
        <v>69847.4390811254</v>
      </c>
      <c r="Q14" s="59">
        <f>SUM(J14:P14)</f>
        <v>342773.70273276244</v>
      </c>
      <c r="R14" s="59">
        <f>'2012 полн'!BF8</f>
        <v>65812.4248904876</v>
      </c>
      <c r="S14" s="59">
        <f>'2012 полн'!BG8</f>
        <v>-6055.120000000005</v>
      </c>
      <c r="T14" s="62"/>
      <c r="U14" s="52"/>
    </row>
    <row r="15" spans="1:21" ht="12.75" hidden="1">
      <c r="A15" s="8" t="s">
        <v>94</v>
      </c>
      <c r="B15" s="300"/>
      <c r="C15" s="301"/>
      <c r="D15" s="302"/>
      <c r="E15" s="303"/>
      <c r="F15" s="304"/>
      <c r="G15" s="305"/>
      <c r="H15" s="304"/>
      <c r="I15" s="306"/>
      <c r="J15" s="305"/>
      <c r="K15" s="307"/>
      <c r="L15" s="307"/>
      <c r="M15" s="308"/>
      <c r="N15" s="309"/>
      <c r="O15" s="310"/>
      <c r="P15" s="310"/>
      <c r="Q15" s="311"/>
      <c r="R15" s="312"/>
      <c r="S15" s="312"/>
      <c r="T15" s="290"/>
      <c r="U15" s="290"/>
    </row>
    <row r="16" spans="1:21" ht="12.75" hidden="1">
      <c r="A16" s="224" t="s">
        <v>43</v>
      </c>
      <c r="B16" s="313">
        <f>'2012 полн'!B10</f>
        <v>1005</v>
      </c>
      <c r="C16" s="314">
        <f>'2012 полн'!C10</f>
        <v>8592.75</v>
      </c>
      <c r="D16" s="315">
        <f>'2012 полн'!D10</f>
        <v>0</v>
      </c>
      <c r="E16" s="307">
        <f>'2012 полн'!U10</f>
        <v>8939.69</v>
      </c>
      <c r="F16" s="307">
        <f>'2012 полн'!V10</f>
        <v>0</v>
      </c>
      <c r="G16" s="316">
        <f>'2012 полн'!AF10</f>
        <v>5521.349999999999</v>
      </c>
      <c r="H16" s="316">
        <f>'2012 полн'!AG10</f>
        <v>5521.349999999999</v>
      </c>
      <c r="I16" s="316">
        <f>'2012 полн'!AJ10</f>
        <v>7468.746000000001</v>
      </c>
      <c r="J16" s="316">
        <f>'2012 полн'!AK10</f>
        <v>673.35</v>
      </c>
      <c r="K16" s="307">
        <f>'2012 полн'!AL10</f>
        <v>201</v>
      </c>
      <c r="L16" s="307">
        <f>'2012 полн'!AM10+'2012 полн'!AN10+'2012 полн'!AO10+'2012 полн'!AP10+'2012 полн'!AQ10+'2012 полн'!AR10+'2012 полн'!AS10+'2012 полн'!AT10+'2012 полн'!AX10</f>
        <v>7613.049999999999</v>
      </c>
      <c r="M16" s="308">
        <f>'2012 полн'!AU10+'2012 полн'!AV10+'2012 полн'!AW10</f>
        <v>1630</v>
      </c>
      <c r="N16" s="308">
        <v>0</v>
      </c>
      <c r="O16" s="317"/>
      <c r="P16" s="317">
        <f>'2012 полн'!BD10</f>
        <v>4515.5070000000005</v>
      </c>
      <c r="Q16" s="311">
        <f>'2012 полн'!BE10</f>
        <v>14632.907</v>
      </c>
      <c r="R16" s="312">
        <f>'2012 полн'!BF10</f>
        <v>-1642.8109999999979</v>
      </c>
      <c r="S16" s="312">
        <f>'2012 полн'!BG10</f>
        <v>-3418.340000000001</v>
      </c>
      <c r="T16" s="290"/>
      <c r="U16" s="290"/>
    </row>
    <row r="17" spans="1:21" ht="12.75" hidden="1">
      <c r="A17" s="224" t="s">
        <v>44</v>
      </c>
      <c r="B17" s="313">
        <f>'2012 полн'!B11</f>
        <v>1005</v>
      </c>
      <c r="C17" s="314">
        <f>'2012 полн'!C11</f>
        <v>8592.75</v>
      </c>
      <c r="D17" s="315">
        <f>'2012 полн'!D11</f>
        <v>0</v>
      </c>
      <c r="E17" s="307">
        <f>'2012 полн'!U11</f>
        <v>8939.69</v>
      </c>
      <c r="F17" s="307">
        <f>'2012 полн'!V11</f>
        <v>0</v>
      </c>
      <c r="G17" s="316">
        <f>'2012 полн'!AF11</f>
        <v>10266.29</v>
      </c>
      <c r="H17" s="316">
        <f>'2012 полн'!AG11</f>
        <v>10266.29</v>
      </c>
      <c r="I17" s="316">
        <f>'2012 полн'!AJ11</f>
        <v>7468.746000000001</v>
      </c>
      <c r="J17" s="316">
        <f>'2012 полн'!AK11</f>
        <v>673.35</v>
      </c>
      <c r="K17" s="307">
        <f>'2012 полн'!AL11</f>
        <v>201</v>
      </c>
      <c r="L17" s="307">
        <f>'2012 полн'!AM11+'2012 полн'!AN11+'2012 полн'!AO11+'2012 полн'!AP11+'2012 полн'!AQ11+'2012 полн'!AR11+'2012 полн'!AS11+'2012 полн'!AT11+'2012 полн'!AX11</f>
        <v>7131.9</v>
      </c>
      <c r="M17" s="308">
        <f>'2012 полн'!AU11+'2012 полн'!AV11+'2012 полн'!AW11</f>
        <v>0</v>
      </c>
      <c r="N17" s="308">
        <v>0</v>
      </c>
      <c r="O17" s="317"/>
      <c r="P17" s="317">
        <f>'2012 полн'!BD11</f>
        <v>4515.5070000000005</v>
      </c>
      <c r="Q17" s="311">
        <f>'2012 полн'!BE11</f>
        <v>12521.757000000001</v>
      </c>
      <c r="R17" s="312">
        <f>'2012 полн'!BF11</f>
        <v>5213.278999999999</v>
      </c>
      <c r="S17" s="312">
        <f>'2012 полн'!BG11</f>
        <v>1326.6000000000004</v>
      </c>
      <c r="T17" s="290"/>
      <c r="U17" s="290"/>
    </row>
    <row r="18" spans="1:21" ht="12.75" hidden="1">
      <c r="A18" s="224" t="s">
        <v>45</v>
      </c>
      <c r="B18" s="313">
        <f>'2012 полн'!B12</f>
        <v>1005</v>
      </c>
      <c r="C18" s="314">
        <f>'2012 полн'!C12</f>
        <v>8592.75</v>
      </c>
      <c r="D18" s="315">
        <f>'2012 полн'!D12</f>
        <v>0</v>
      </c>
      <c r="E18" s="307">
        <f>'2012 полн'!U12</f>
        <v>8939.69</v>
      </c>
      <c r="F18" s="307">
        <f>'2012 полн'!V12</f>
        <v>0</v>
      </c>
      <c r="G18" s="316">
        <f>'2012 полн'!AF12</f>
        <v>9995.78</v>
      </c>
      <c r="H18" s="316">
        <f>'2012 полн'!AG12</f>
        <v>9995.78</v>
      </c>
      <c r="I18" s="316">
        <f>'2012 полн'!AJ12</f>
        <v>7468.746000000001</v>
      </c>
      <c r="J18" s="316">
        <f>'2012 полн'!AK12</f>
        <v>673.35</v>
      </c>
      <c r="K18" s="307">
        <f>'2012 полн'!AL12</f>
        <v>201</v>
      </c>
      <c r="L18" s="307">
        <f>'2012 полн'!AM12+'2012 полн'!AN12+'2012 полн'!AO12+'2012 полн'!AP12+'2012 полн'!AQ12+'2012 полн'!AR12+'2012 полн'!AS12+'2012 полн'!AT12+'2012 полн'!AX12</f>
        <v>7109.339999999999</v>
      </c>
      <c r="M18" s="308">
        <f>'2012 полн'!AU12+'2012 полн'!AV12+'2012 полн'!AW12</f>
        <v>0</v>
      </c>
      <c r="N18" s="308">
        <v>0</v>
      </c>
      <c r="O18" s="317"/>
      <c r="P18" s="317">
        <f>'2012 полн'!BD12</f>
        <v>4515.5070000000005</v>
      </c>
      <c r="Q18" s="311">
        <f>'2012 полн'!BE12</f>
        <v>12499.197</v>
      </c>
      <c r="R18" s="312">
        <f>'2012 полн'!BF12</f>
        <v>4965.3290000000015</v>
      </c>
      <c r="S18" s="312">
        <f>'2012 полн'!BG12</f>
        <v>1056.0900000000001</v>
      </c>
      <c r="T18" s="290"/>
      <c r="U18" s="290"/>
    </row>
    <row r="19" spans="1:21" ht="12.75" hidden="1">
      <c r="A19" s="224" t="s">
        <v>46</v>
      </c>
      <c r="B19" s="313">
        <f>'2012 полн'!B13</f>
        <v>1005</v>
      </c>
      <c r="C19" s="314">
        <f>'2012 полн'!C13</f>
        <v>8592.75</v>
      </c>
      <c r="D19" s="315">
        <f>'2012 полн'!D13</f>
        <v>0</v>
      </c>
      <c r="E19" s="307">
        <f>'2012 полн'!U13</f>
        <v>8939.69</v>
      </c>
      <c r="F19" s="307">
        <f>'2012 полн'!V13</f>
        <v>0</v>
      </c>
      <c r="G19" s="316">
        <f>'2012 полн'!AF13</f>
        <v>7537.63</v>
      </c>
      <c r="H19" s="316">
        <f>'2012 полн'!AG13</f>
        <v>7537.63</v>
      </c>
      <c r="I19" s="316">
        <f>'2012 полн'!AJ13</f>
        <v>7468.746000000001</v>
      </c>
      <c r="J19" s="316">
        <f>'2012 полн'!AK13</f>
        <v>673.35</v>
      </c>
      <c r="K19" s="307">
        <f>'2012 полн'!AL13</f>
        <v>201</v>
      </c>
      <c r="L19" s="307">
        <f>'2012 полн'!AM13+'2012 полн'!AN13+'2012 полн'!AO13+'2012 полн'!AP13+'2012 полн'!AQ13+'2012 полн'!AR13+'2012 полн'!AS13+'2012 полн'!AT13+'2012 полн'!AX13</f>
        <v>5998.589999999999</v>
      </c>
      <c r="M19" s="308">
        <f>'2012 полн'!AU13+'2012 полн'!AV13+'2012 полн'!AW13</f>
        <v>0</v>
      </c>
      <c r="N19" s="308">
        <v>0</v>
      </c>
      <c r="O19" s="317"/>
      <c r="P19" s="317">
        <f>'2012 полн'!BD13</f>
        <v>4515.5070000000005</v>
      </c>
      <c r="Q19" s="311">
        <f>'2012 полн'!BE13</f>
        <v>11388.447</v>
      </c>
      <c r="R19" s="312">
        <f>'2012 полн'!BF13</f>
        <v>3617.929</v>
      </c>
      <c r="S19" s="312">
        <f>'2012 полн'!BG13</f>
        <v>-1402.0600000000004</v>
      </c>
      <c r="T19" s="290"/>
      <c r="U19" s="290"/>
    </row>
    <row r="20" spans="1:21" ht="12.75" hidden="1">
      <c r="A20" s="224" t="s">
        <v>47</v>
      </c>
      <c r="B20" s="313">
        <f>'2012 полн'!B14</f>
        <v>1005</v>
      </c>
      <c r="C20" s="314">
        <f>'2012 полн'!C14</f>
        <v>8592.75</v>
      </c>
      <c r="D20" s="315">
        <f>'2012 полн'!D14</f>
        <v>0</v>
      </c>
      <c r="E20" s="307">
        <f>'2012 полн'!U14</f>
        <v>8915.66</v>
      </c>
      <c r="F20" s="307">
        <f>'2012 полн'!V14</f>
        <v>0</v>
      </c>
      <c r="G20" s="316">
        <f>'2012 полн'!AF14</f>
        <v>7977.81</v>
      </c>
      <c r="H20" s="316">
        <f>'2012 полн'!AG14</f>
        <v>7977.81</v>
      </c>
      <c r="I20" s="316">
        <f>'2012 полн'!AJ14</f>
        <v>7468.746000000001</v>
      </c>
      <c r="J20" s="316">
        <f>'2012 полн'!AK14</f>
        <v>673.35</v>
      </c>
      <c r="K20" s="307">
        <f>'2012 полн'!AL14</f>
        <v>201</v>
      </c>
      <c r="L20" s="307">
        <f>'2012 полн'!AM14+'2012 полн'!AN14+'2012 полн'!AO14+'2012 полн'!AP14+'2012 полн'!AQ14+'2012 полн'!AR14+'2012 полн'!AS14+'2012 полн'!AT14+'2012 полн'!AX14</f>
        <v>7384.589999999999</v>
      </c>
      <c r="M20" s="308">
        <f>'2012 полн'!AU14+'2012 полн'!AV14+'2012 полн'!AW14</f>
        <v>7223</v>
      </c>
      <c r="N20" s="308">
        <v>0</v>
      </c>
      <c r="O20" s="317"/>
      <c r="P20" s="317">
        <f>'2012 полн'!BD14</f>
        <v>4515.5070000000005</v>
      </c>
      <c r="Q20" s="311">
        <f>'2012 полн'!BE14</f>
        <v>19997.447</v>
      </c>
      <c r="R20" s="312">
        <f>'2012 полн'!BF14</f>
        <v>-4550.891</v>
      </c>
      <c r="S20" s="312">
        <f>'2012 полн'!BG14</f>
        <v>-937.8499999999995</v>
      </c>
      <c r="T20" s="290"/>
      <c r="U20" s="290"/>
    </row>
    <row r="21" spans="1:21" ht="12.75" hidden="1">
      <c r="A21" s="224" t="s">
        <v>48</v>
      </c>
      <c r="B21" s="313">
        <f>'2012 полн'!B15</f>
        <v>1005</v>
      </c>
      <c r="C21" s="314">
        <f>'2012 полн'!C15</f>
        <v>8592.75</v>
      </c>
      <c r="D21" s="315">
        <f>'2012 полн'!D15</f>
        <v>0</v>
      </c>
      <c r="E21" s="307">
        <f>'2012 полн'!U15</f>
        <v>8909.58</v>
      </c>
      <c r="F21" s="307">
        <f>'2012 полн'!V15</f>
        <v>0</v>
      </c>
      <c r="G21" s="316">
        <f>'2012 полн'!AF15</f>
        <v>9946.08</v>
      </c>
      <c r="H21" s="316">
        <f>'2012 полн'!AG15</f>
        <v>9946.08</v>
      </c>
      <c r="I21" s="316">
        <f>'2012 полн'!AJ15</f>
        <v>7468.746000000001</v>
      </c>
      <c r="J21" s="316">
        <f>'2012 полн'!AK15</f>
        <v>673.35</v>
      </c>
      <c r="K21" s="307">
        <f>'2012 полн'!AL15</f>
        <v>201</v>
      </c>
      <c r="L21" s="307">
        <f>'2012 полн'!AM15+'2012 полн'!AN15+'2012 полн'!AO15+'2012 полн'!AP15+'2012 полн'!AQ15+'2012 полн'!AR15+'2012 полн'!AS15+'2012 полн'!AT15+'2012 полн'!AX15</f>
        <v>5953.589999999999</v>
      </c>
      <c r="M21" s="308">
        <f>'2012 полн'!AU15+'2012 полн'!AV15+'2012 полн'!AW15</f>
        <v>3274</v>
      </c>
      <c r="N21" s="308">
        <v>0</v>
      </c>
      <c r="O21" s="317"/>
      <c r="P21" s="317">
        <f>'2012 полн'!BD15</f>
        <v>4515.5070000000005</v>
      </c>
      <c r="Q21" s="311">
        <f>'2012 полн'!BE15</f>
        <v>14617.447</v>
      </c>
      <c r="R21" s="312">
        <f>'2012 полн'!BF15</f>
        <v>2797.379000000001</v>
      </c>
      <c r="S21" s="312">
        <f>'2012 полн'!BG15</f>
        <v>1036.5</v>
      </c>
      <c r="T21" s="290"/>
      <c r="U21" s="290"/>
    </row>
    <row r="22" spans="1:19" ht="12.75" hidden="1">
      <c r="A22" s="224" t="s">
        <v>49</v>
      </c>
      <c r="B22" s="313">
        <f>'2012 полн'!B16</f>
        <v>1005</v>
      </c>
      <c r="C22" s="314">
        <f>'2012 полн'!C16</f>
        <v>8592.75</v>
      </c>
      <c r="D22" s="315">
        <f>'2012 полн'!D16</f>
        <v>0</v>
      </c>
      <c r="E22" s="307">
        <f>'2012 полн'!U16</f>
        <v>14120.28</v>
      </c>
      <c r="F22" s="307">
        <f>'2012 полн'!V16</f>
        <v>0</v>
      </c>
      <c r="G22" s="316">
        <f>'2012 полн'!AF16</f>
        <v>8479.25</v>
      </c>
      <c r="H22" s="316">
        <f>'2012 полн'!AG16</f>
        <v>8479.25</v>
      </c>
      <c r="I22" s="316">
        <f>'2012 полн'!AJ16</f>
        <v>7468.746000000001</v>
      </c>
      <c r="J22" s="316">
        <f>'2012 полн'!AK16</f>
        <v>673.35</v>
      </c>
      <c r="K22" s="307">
        <f>'2012 полн'!AL16</f>
        <v>201</v>
      </c>
      <c r="L22" s="307">
        <f>'2012 полн'!AM16+'2012 полн'!AN16+'2012 полн'!AO16+'2012 полн'!AP16+'2012 полн'!AQ16+'2012 полн'!AR16+'2012 полн'!AS16+'2012 полн'!AT16+'2012 полн'!AX16</f>
        <v>6074.449999999999</v>
      </c>
      <c r="M22" s="308">
        <f>'2012 полн'!AU16+'2012 полн'!AV16+'2012 полн'!AW16</f>
        <v>0</v>
      </c>
      <c r="N22" s="308">
        <v>0</v>
      </c>
      <c r="O22" s="317"/>
      <c r="P22" s="317">
        <f>'2012 полн'!BD16</f>
        <v>4515.5070000000005</v>
      </c>
      <c r="Q22" s="311">
        <f>'2012 полн'!BE16</f>
        <v>11464.307</v>
      </c>
      <c r="R22" s="312">
        <f>'2012 полн'!BF16</f>
        <v>4483.689</v>
      </c>
      <c r="S22" s="312">
        <f>'2012 полн'!BG16</f>
        <v>-5641.030000000001</v>
      </c>
    </row>
    <row r="23" spans="1:19" ht="12.75" hidden="1">
      <c r="A23" s="224" t="s">
        <v>50</v>
      </c>
      <c r="B23" s="313">
        <f>'2012 полн'!B17</f>
        <v>1005</v>
      </c>
      <c r="C23" s="314">
        <f>'2012 полн'!C17</f>
        <v>8592.75</v>
      </c>
      <c r="D23" s="315">
        <f>'2012 полн'!D17</f>
        <v>0</v>
      </c>
      <c r="E23" s="307">
        <f>'2012 полн'!U17</f>
        <v>14120.27</v>
      </c>
      <c r="F23" s="307">
        <f>'2012 полн'!V17</f>
        <v>0</v>
      </c>
      <c r="G23" s="316">
        <f>'2012 полн'!AF17</f>
        <v>11673.9</v>
      </c>
      <c r="H23" s="316">
        <f>'2012 полн'!AG17</f>
        <v>11673.9</v>
      </c>
      <c r="I23" s="316">
        <f>'2012 полн'!AJ17</f>
        <v>7468.746000000001</v>
      </c>
      <c r="J23" s="316">
        <f>'2012 полн'!AK17</f>
        <v>673.35</v>
      </c>
      <c r="K23" s="307">
        <f>'2012 полн'!AL17</f>
        <v>201</v>
      </c>
      <c r="L23" s="307">
        <f>'2012 полн'!AM17+'2012 полн'!AN17+'2012 полн'!AO17+'2012 полн'!AP17+'2012 полн'!AQ17+'2012 полн'!AR17+'2012 полн'!AS17+'2012 полн'!AT17+'2012 полн'!AX17</f>
        <v>6022.589999999999</v>
      </c>
      <c r="M23" s="308">
        <f>'2012 полн'!AU17+'2012 полн'!AV17+'2012 полн'!AW17</f>
        <v>0</v>
      </c>
      <c r="N23" s="308">
        <v>0</v>
      </c>
      <c r="O23" s="317"/>
      <c r="P23" s="317">
        <f>'2012 полн'!BD17</f>
        <v>4515.5070000000005</v>
      </c>
      <c r="Q23" s="311">
        <f>'2012 полн'!BE17</f>
        <v>11412.447</v>
      </c>
      <c r="R23" s="312">
        <f>'2012 полн'!BF17</f>
        <v>7730.1990000000005</v>
      </c>
      <c r="S23" s="312">
        <f>'2012 полн'!BG17</f>
        <v>-2446.370000000001</v>
      </c>
    </row>
    <row r="24" spans="1:19" ht="12.75" hidden="1">
      <c r="A24" s="224" t="s">
        <v>51</v>
      </c>
      <c r="B24" s="313">
        <f>'2012 полн'!B18</f>
        <v>1005</v>
      </c>
      <c r="C24" s="314">
        <f>'2012 полн'!C18</f>
        <v>8592.75</v>
      </c>
      <c r="D24" s="315">
        <f>'2012 полн'!D18</f>
        <v>0</v>
      </c>
      <c r="E24" s="307">
        <f>'2012 полн'!U18</f>
        <v>8928.19</v>
      </c>
      <c r="F24" s="307">
        <f>'2012 полн'!V18</f>
        <v>0</v>
      </c>
      <c r="G24" s="316">
        <f>'2012 полн'!AF18</f>
        <v>13758.63</v>
      </c>
      <c r="H24" s="316">
        <f>'2012 полн'!AG18</f>
        <v>13758.63</v>
      </c>
      <c r="I24" s="316">
        <f>'2012 полн'!AJ18</f>
        <v>7468.746000000001</v>
      </c>
      <c r="J24" s="316">
        <f>'2012 полн'!AK18</f>
        <v>673.35</v>
      </c>
      <c r="K24" s="307">
        <f>'2012 полн'!AL18</f>
        <v>201</v>
      </c>
      <c r="L24" s="307">
        <f>'2012 полн'!AM18+'2012 полн'!AN18+'2012 полн'!AO18+'2012 полн'!AP18+'2012 полн'!AQ18+'2012 полн'!AR18+'2012 полн'!AS18+'2012 полн'!AT18+'2012 полн'!AX18</f>
        <v>6308.929999999999</v>
      </c>
      <c r="M24" s="308">
        <f>'2012 полн'!AU18+'2012 полн'!AV18+'2012 полн'!AW18</f>
        <v>931</v>
      </c>
      <c r="N24" s="308">
        <v>0</v>
      </c>
      <c r="O24" s="317"/>
      <c r="P24" s="317">
        <f>'2012 полн'!BD18</f>
        <v>4515.5070000000005</v>
      </c>
      <c r="Q24" s="311">
        <f>'2012 полн'!BE18</f>
        <v>12629.787</v>
      </c>
      <c r="R24" s="312">
        <f>'2012 полн'!BF18</f>
        <v>8597.589</v>
      </c>
      <c r="S24" s="312">
        <f>'2012 полн'!BG18</f>
        <v>4830.439999999999</v>
      </c>
    </row>
    <row r="25" spans="1:19" ht="12.75" hidden="1">
      <c r="A25" s="224" t="s">
        <v>39</v>
      </c>
      <c r="B25" s="313">
        <f>'2012 полн'!B19</f>
        <v>1005</v>
      </c>
      <c r="C25" s="314">
        <f>'2012 полн'!C19</f>
        <v>8592.75</v>
      </c>
      <c r="D25" s="315">
        <f>'2012 полн'!D19</f>
        <v>0</v>
      </c>
      <c r="E25" s="307">
        <f>'2012 полн'!U19</f>
        <v>8928.19</v>
      </c>
      <c r="F25" s="307">
        <f>'2012 полн'!V19</f>
        <v>0</v>
      </c>
      <c r="G25" s="316">
        <f>'2012 полн'!AF19</f>
        <v>7566.749999999999</v>
      </c>
      <c r="H25" s="316">
        <f>'2012 полн'!AG19</f>
        <v>7566.749999999999</v>
      </c>
      <c r="I25" s="316">
        <f>'2012 полн'!AJ19</f>
        <v>7468.746000000001</v>
      </c>
      <c r="J25" s="316">
        <f>'2012 полн'!AK19</f>
        <v>673.35</v>
      </c>
      <c r="K25" s="307">
        <f>'2012 полн'!AL19</f>
        <v>201</v>
      </c>
      <c r="L25" s="307">
        <f>'2012 полн'!AM19+'2012 полн'!AN19+'2012 полн'!AO19+'2012 полн'!AP19+'2012 полн'!AQ19+'2012 полн'!AR19+'2012 полн'!AS19+'2012 полн'!AT19+'2012 полн'!AX19</f>
        <v>27109.34</v>
      </c>
      <c r="M25" s="308">
        <f>'2012 полн'!AU19+'2012 полн'!AV19+'2012 полн'!AW19</f>
        <v>0</v>
      </c>
      <c r="N25" s="308">
        <v>0</v>
      </c>
      <c r="O25" s="317"/>
      <c r="P25" s="317">
        <f>'2012 полн'!BD19</f>
        <v>4515.5070000000005</v>
      </c>
      <c r="Q25" s="311">
        <f>'2012 полн'!BE19</f>
        <v>32499.197</v>
      </c>
      <c r="R25" s="312">
        <f>'2012 полн'!BF19</f>
        <v>-17463.701</v>
      </c>
      <c r="S25" s="312">
        <f>'2012 полн'!BG19</f>
        <v>-1361.4400000000014</v>
      </c>
    </row>
    <row r="26" spans="1:19" ht="12.75" hidden="1">
      <c r="A26" s="224" t="s">
        <v>40</v>
      </c>
      <c r="B26" s="313">
        <f>'2012 полн'!B20</f>
        <v>1005</v>
      </c>
      <c r="C26" s="314">
        <f>'2012 полн'!C20</f>
        <v>8592.75</v>
      </c>
      <c r="D26" s="315">
        <f>'2012 полн'!D20</f>
        <v>0</v>
      </c>
      <c r="E26" s="307">
        <f>'2012 полн'!U20</f>
        <v>8981.39</v>
      </c>
      <c r="F26" s="307">
        <f>'2012 полн'!V20</f>
        <v>0</v>
      </c>
      <c r="G26" s="316">
        <f>'2012 полн'!AF20</f>
        <v>7954.159999999999</v>
      </c>
      <c r="H26" s="316">
        <f>'2012 полн'!AG20</f>
        <v>7954.159999999999</v>
      </c>
      <c r="I26" s="316">
        <f>'2012 полн'!AJ20</f>
        <v>7468.746000000001</v>
      </c>
      <c r="J26" s="316">
        <f>'2012 полн'!AK20</f>
        <v>673.35</v>
      </c>
      <c r="K26" s="307">
        <f>'2012 полн'!AL20</f>
        <v>201</v>
      </c>
      <c r="L26" s="307">
        <f>'2012 полн'!AM20+'2012 полн'!AN20+'2012 полн'!AO20+'2012 полн'!AP20+'2012 полн'!AQ20+'2012 полн'!AR20+'2012 полн'!AS20+'2012 полн'!AT20+'2012 полн'!AX20</f>
        <v>7126.9</v>
      </c>
      <c r="M26" s="308">
        <f>'2012 полн'!AU20+'2012 полн'!AV20+'2012 полн'!AW20</f>
        <v>311</v>
      </c>
      <c r="N26" s="308">
        <v>0</v>
      </c>
      <c r="O26" s="317"/>
      <c r="P26" s="317">
        <f>'2012 полн'!BD20</f>
        <v>4515.5070000000005</v>
      </c>
      <c r="Q26" s="311">
        <f>'2012 полн'!BE20</f>
        <v>12827.756999999998</v>
      </c>
      <c r="R26" s="312">
        <f>'2012 полн'!BF20</f>
        <v>2595.1490000000013</v>
      </c>
      <c r="S26" s="312">
        <f>'2012 полн'!BG20</f>
        <v>-1027.2300000000005</v>
      </c>
    </row>
    <row r="27" spans="1:19" ht="13.5" hidden="1" thickBot="1">
      <c r="A27" s="340" t="s">
        <v>41</v>
      </c>
      <c r="B27" s="313">
        <f>'2012 полн'!B21</f>
        <v>1005</v>
      </c>
      <c r="C27" s="314">
        <f>'2012 полн'!C21</f>
        <v>8592.75</v>
      </c>
      <c r="D27" s="315">
        <f>'2012 полн'!D21</f>
        <v>20000</v>
      </c>
      <c r="E27" s="307">
        <f>'2012 полн'!U21</f>
        <v>8985.19</v>
      </c>
      <c r="F27" s="307">
        <f>'2012 полн'!V21</f>
        <v>0</v>
      </c>
      <c r="G27" s="316">
        <f>'2012 полн'!AF21</f>
        <v>10572.24</v>
      </c>
      <c r="H27" s="316">
        <f>'2012 полн'!AG21</f>
        <v>30572.239999999998</v>
      </c>
      <c r="I27" s="316">
        <f>'2012 полн'!AJ21</f>
        <v>7468.746000000001</v>
      </c>
      <c r="J27" s="316">
        <f>'2012 полн'!AK21</f>
        <v>673.35</v>
      </c>
      <c r="K27" s="307">
        <f>'2012 полн'!AL21</f>
        <v>201</v>
      </c>
      <c r="L27" s="307">
        <f>'2012 полн'!AM21+'2012 полн'!AN21+'2012 полн'!AO21+'2012 полн'!AP21+'2012 полн'!AQ21+'2012 полн'!AR21+'2012 полн'!AS21+'2012 полн'!AT21+'2012 полн'!AX21</f>
        <v>27109.34</v>
      </c>
      <c r="M27" s="308">
        <f>'2012 полн'!AU21+'2012 полн'!AV21+'2012 полн'!AW21</f>
        <v>0</v>
      </c>
      <c r="N27" s="308">
        <v>0</v>
      </c>
      <c r="O27" s="317"/>
      <c r="P27" s="317">
        <f>'2012 полн'!BD21</f>
        <v>4515.5070000000005</v>
      </c>
      <c r="Q27" s="311">
        <f>'2012 полн'!BE21</f>
        <v>32499.197</v>
      </c>
      <c r="R27" s="312">
        <f>'2012 полн'!BF21</f>
        <v>5541.788999999997</v>
      </c>
      <c r="S27" s="312">
        <f>'2012 полн'!BG21</f>
        <v>1587.0499999999993</v>
      </c>
    </row>
    <row r="28" spans="1:21" s="22" customFormat="1" ht="13.5" hidden="1" thickBot="1">
      <c r="A28" s="44" t="s">
        <v>3</v>
      </c>
      <c r="B28" s="45"/>
      <c r="C28" s="50">
        <f aca="true" t="shared" si="0" ref="C28:R28">SUM(C16:C27)</f>
        <v>103113</v>
      </c>
      <c r="D28" s="50">
        <f t="shared" si="0"/>
        <v>20000</v>
      </c>
      <c r="E28" s="50">
        <f t="shared" si="0"/>
        <v>117647.51000000001</v>
      </c>
      <c r="F28" s="50">
        <f t="shared" si="0"/>
        <v>0</v>
      </c>
      <c r="G28" s="50">
        <f t="shared" si="0"/>
        <v>111249.87000000001</v>
      </c>
      <c r="H28" s="50">
        <f t="shared" si="0"/>
        <v>131249.87</v>
      </c>
      <c r="I28" s="50">
        <f t="shared" si="0"/>
        <v>89624.952</v>
      </c>
      <c r="J28" s="50">
        <f t="shared" si="0"/>
        <v>8080.200000000002</v>
      </c>
      <c r="K28" s="50">
        <f t="shared" si="0"/>
        <v>2412</v>
      </c>
      <c r="L28" s="50">
        <f t="shared" si="0"/>
        <v>120942.60999999997</v>
      </c>
      <c r="M28" s="50">
        <f t="shared" si="0"/>
        <v>13369</v>
      </c>
      <c r="N28" s="50">
        <f t="shared" si="0"/>
        <v>0</v>
      </c>
      <c r="O28" s="50">
        <f t="shared" si="0"/>
        <v>0</v>
      </c>
      <c r="P28" s="50">
        <f t="shared" si="0"/>
        <v>54186.083999999995</v>
      </c>
      <c r="Q28" s="50">
        <f t="shared" si="0"/>
        <v>198989.89399999997</v>
      </c>
      <c r="R28" s="50">
        <f t="shared" si="0"/>
        <v>21884.928000000004</v>
      </c>
      <c r="S28" s="50">
        <f>SUM(S16:S27)</f>
        <v>-6397.640000000007</v>
      </c>
      <c r="T28" s="52"/>
      <c r="U28" s="52"/>
    </row>
    <row r="29" spans="1:19" ht="13.5" thickBot="1">
      <c r="A29" s="522" t="s">
        <v>121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298"/>
      <c r="R29" s="299"/>
      <c r="S29" s="299"/>
    </row>
    <row r="30" spans="1:21" s="22" customFormat="1" ht="13.5" thickBot="1">
      <c r="A30" s="57" t="s">
        <v>52</v>
      </c>
      <c r="B30" s="58"/>
      <c r="C30" s="59">
        <f aca="true" t="shared" si="1" ref="C30:S30">C28+C14</f>
        <v>337912.925</v>
      </c>
      <c r="D30" s="59">
        <f t="shared" si="1"/>
        <v>42197.07338325001</v>
      </c>
      <c r="E30" s="59">
        <f t="shared" si="1"/>
        <v>300092.19999999995</v>
      </c>
      <c r="F30" s="59">
        <f t="shared" si="1"/>
        <v>32688.689999999995</v>
      </c>
      <c r="G30" s="59">
        <f t="shared" si="1"/>
        <v>287639.44</v>
      </c>
      <c r="H30" s="59">
        <f t="shared" si="1"/>
        <v>362525.20338325005</v>
      </c>
      <c r="I30" s="59">
        <f t="shared" si="1"/>
        <v>266935.74864</v>
      </c>
      <c r="J30" s="59">
        <f t="shared" si="1"/>
        <v>24125.58</v>
      </c>
      <c r="K30" s="59">
        <f t="shared" si="1"/>
        <v>7788.525516</v>
      </c>
      <c r="L30" s="59">
        <f t="shared" si="1"/>
        <v>249178.88013563695</v>
      </c>
      <c r="M30" s="59">
        <f t="shared" si="1"/>
        <v>136637.088</v>
      </c>
      <c r="N30" s="59">
        <v>0</v>
      </c>
      <c r="O30" s="59">
        <f t="shared" si="1"/>
        <v>0</v>
      </c>
      <c r="P30" s="59">
        <f t="shared" si="1"/>
        <v>124033.5230811254</v>
      </c>
      <c r="Q30" s="59">
        <f t="shared" si="1"/>
        <v>541763.5967327624</v>
      </c>
      <c r="R30" s="59">
        <f t="shared" si="1"/>
        <v>87697.3528904876</v>
      </c>
      <c r="S30" s="59">
        <f t="shared" si="1"/>
        <v>-12452.760000000013</v>
      </c>
      <c r="T30" s="62"/>
      <c r="U30" s="52"/>
    </row>
    <row r="31" spans="1:21" ht="12.75">
      <c r="A31" s="8" t="s">
        <v>126</v>
      </c>
      <c r="B31" s="300"/>
      <c r="C31" s="301"/>
      <c r="D31" s="302"/>
      <c r="E31" s="303"/>
      <c r="F31" s="304"/>
      <c r="G31" s="305"/>
      <c r="H31" s="304"/>
      <c r="I31" s="306"/>
      <c r="J31" s="305"/>
      <c r="K31" s="307"/>
      <c r="L31" s="307"/>
      <c r="M31" s="308"/>
      <c r="N31" s="309"/>
      <c r="O31" s="310"/>
      <c r="P31" s="310"/>
      <c r="Q31" s="311"/>
      <c r="R31" s="312"/>
      <c r="S31" s="312"/>
      <c r="T31" s="290"/>
      <c r="U31" s="290"/>
    </row>
    <row r="32" spans="1:21" ht="12.75">
      <c r="A32" s="224" t="s">
        <v>43</v>
      </c>
      <c r="B32" s="313">
        <f>'2012 полн'!B26</f>
        <v>1005</v>
      </c>
      <c r="C32" s="314">
        <f>'2012 полн'!C26</f>
        <v>8592.75</v>
      </c>
      <c r="D32" s="315">
        <f>'2012 полн'!D26</f>
        <v>0</v>
      </c>
      <c r="E32" s="307">
        <f>'2012 полн'!U26</f>
        <v>8948.7</v>
      </c>
      <c r="F32" s="307">
        <f>'2012 полн'!V26</f>
        <v>0</v>
      </c>
      <c r="G32" s="316">
        <f>'2012 полн'!AF26</f>
        <v>7170.11</v>
      </c>
      <c r="H32" s="316">
        <f>'2012 полн'!AG26</f>
        <v>7170.11</v>
      </c>
      <c r="I32" s="316">
        <f>'2012 полн'!AJ26</f>
        <v>9211.585000000001</v>
      </c>
      <c r="J32" s="316">
        <f>'2012 полн'!AK26</f>
        <v>673.35</v>
      </c>
      <c r="K32" s="307">
        <f>'2012 полн'!AL26</f>
        <v>201</v>
      </c>
      <c r="L32" s="307">
        <f>'2012 полн'!AM26+'2012 полн'!AN26+'2012 полн'!AO26+'2012 полн'!AP26+'2012 полн'!AQ26+'2012 полн'!AR26+'2012 полн'!AS26+'2012 полн'!AT26+'2012 полн'!AX26</f>
        <v>7109.339999999999</v>
      </c>
      <c r="M32" s="308">
        <f>'2012 полн'!AU26+'2012 полн'!AV26+'2012 полн'!AW26</f>
        <v>0</v>
      </c>
      <c r="N32" s="308">
        <v>0</v>
      </c>
      <c r="O32" s="317"/>
      <c r="P32" s="317">
        <f>'2012 полн'!BD26</f>
        <v>4515.5070000000005</v>
      </c>
      <c r="Q32" s="311">
        <f>'2012 полн'!BE26</f>
        <v>12499.197</v>
      </c>
      <c r="R32" s="312">
        <f>'2012 полн'!BF26</f>
        <v>3882.4979999999996</v>
      </c>
      <c r="S32" s="312">
        <f>'2012 полн'!BG26</f>
        <v>-1778.590000000001</v>
      </c>
      <c r="T32" s="290"/>
      <c r="U32" s="290"/>
    </row>
    <row r="33" spans="1:21" ht="12.75">
      <c r="A33" s="224" t="s">
        <v>44</v>
      </c>
      <c r="B33" s="313">
        <f>'2012 полн'!B27</f>
        <v>1005</v>
      </c>
      <c r="C33" s="314">
        <f>'2012 полн'!C27</f>
        <v>8592.75</v>
      </c>
      <c r="D33" s="315">
        <f>'2012 полн'!D27</f>
        <v>0</v>
      </c>
      <c r="E33" s="307">
        <f>'2012 полн'!U27</f>
        <v>8914.5</v>
      </c>
      <c r="F33" s="307">
        <f>'2012 полн'!V27</f>
        <v>0</v>
      </c>
      <c r="G33" s="316">
        <f>'2012 полн'!AF27</f>
        <v>12080.460000000001</v>
      </c>
      <c r="H33" s="316">
        <f>'2012 полн'!AG27</f>
        <v>12080.460000000001</v>
      </c>
      <c r="I33" s="316">
        <f>'2012 полн'!AJ27</f>
        <v>9211.585000000001</v>
      </c>
      <c r="J33" s="316">
        <f>'2012 полн'!AK27</f>
        <v>673.35</v>
      </c>
      <c r="K33" s="307">
        <f>'2012 полн'!AL27</f>
        <v>201</v>
      </c>
      <c r="L33" s="307">
        <f>'2012 полн'!AM27+'2012 полн'!AN27+'2012 полн'!AO27+'2012 полн'!AP27+'2012 полн'!AQ27+'2012 полн'!AR27+'2012 полн'!AS27+'2012 полн'!AT27+'2012 полн'!AX27</f>
        <v>7132.339999999999</v>
      </c>
      <c r="M33" s="308">
        <f>'2012 полн'!AU27+'2012 полн'!AV27+'2012 полн'!AW27</f>
        <v>0</v>
      </c>
      <c r="N33" s="308">
        <v>0</v>
      </c>
      <c r="O33" s="317"/>
      <c r="P33" s="317">
        <f>'2012 полн'!BD27</f>
        <v>4515.5070000000005</v>
      </c>
      <c r="Q33" s="311">
        <f>'2012 полн'!BE27</f>
        <v>12522.197</v>
      </c>
      <c r="R33" s="312">
        <f>'2012 полн'!BF27</f>
        <v>8769.848000000002</v>
      </c>
      <c r="S33" s="312">
        <f>'2012 полн'!BG27</f>
        <v>3165.960000000001</v>
      </c>
      <c r="T33" s="290"/>
      <c r="U33" s="290"/>
    </row>
    <row r="34" spans="1:21" ht="12.75">
      <c r="A34" s="224" t="s">
        <v>45</v>
      </c>
      <c r="B34" s="313">
        <f>'2012 полн'!B28</f>
        <v>1005</v>
      </c>
      <c r="C34" s="314">
        <f>'2012 полн'!C28</f>
        <v>8592.75</v>
      </c>
      <c r="D34" s="315">
        <f>'2012 полн'!D28</f>
        <v>0</v>
      </c>
      <c r="E34" s="307">
        <f>'2012 полн'!U28</f>
        <v>8914.5</v>
      </c>
      <c r="F34" s="307">
        <f>'2012 полн'!V28</f>
        <v>0</v>
      </c>
      <c r="G34" s="316">
        <f>'2012 полн'!AF28</f>
        <v>5496.38</v>
      </c>
      <c r="H34" s="316">
        <f>'2012 полн'!AG28</f>
        <v>5496.38</v>
      </c>
      <c r="I34" s="316">
        <f>'2012 полн'!AJ28</f>
        <v>9211.585000000001</v>
      </c>
      <c r="J34" s="316">
        <f>'2012 полн'!AK28</f>
        <v>673.35</v>
      </c>
      <c r="K34" s="307">
        <f>'2012 полн'!AL28</f>
        <v>201</v>
      </c>
      <c r="L34" s="307">
        <f>'2012 полн'!AM28+'2012 полн'!AN28+'2012 полн'!AO28+'2012 полн'!AP28+'2012 полн'!AQ28+'2012 полн'!AR28+'2012 полн'!AS28+'2012 полн'!AT28+'2012 полн'!AX28</f>
        <v>8466.84</v>
      </c>
      <c r="M34" s="308">
        <f>'2012 полн'!AU28+'2012 полн'!AV28+'2012 полн'!AW28</f>
        <v>1704.6</v>
      </c>
      <c r="N34" s="308">
        <v>0</v>
      </c>
      <c r="O34" s="317"/>
      <c r="P34" s="317">
        <f>'2012 полн'!BD28</f>
        <v>4515.5070000000005</v>
      </c>
      <c r="Q34" s="311">
        <f>'2012 полн'!BE28</f>
        <v>15561.296999999999</v>
      </c>
      <c r="R34" s="312">
        <f>'2012 полн'!BF28</f>
        <v>-853.3319999999985</v>
      </c>
      <c r="S34" s="312">
        <f>'2012 полн'!BG28</f>
        <v>-3418.12</v>
      </c>
      <c r="T34" s="290"/>
      <c r="U34" s="290"/>
    </row>
    <row r="35" spans="1:21" ht="12.75">
      <c r="A35" s="224" t="s">
        <v>46</v>
      </c>
      <c r="B35" s="313">
        <f>'2012 полн'!B29</f>
        <v>1005</v>
      </c>
      <c r="C35" s="314">
        <f>'2012 полн'!C29</f>
        <v>8592.75</v>
      </c>
      <c r="D35" s="315">
        <f>'2012 полн'!D29</f>
        <v>0</v>
      </c>
      <c r="E35" s="307">
        <f>'2012 полн'!U29</f>
        <v>8914.5</v>
      </c>
      <c r="F35" s="307">
        <f>'2012 полн'!V29</f>
        <v>0</v>
      </c>
      <c r="G35" s="316">
        <f>'2012 полн'!AF29</f>
        <v>8599.720000000001</v>
      </c>
      <c r="H35" s="316">
        <f>'2012 полн'!AG29</f>
        <v>8599.720000000001</v>
      </c>
      <c r="I35" s="316">
        <f>'2012 полн'!AJ29</f>
        <v>9211.585000000001</v>
      </c>
      <c r="J35" s="316">
        <f>'2012 полн'!AK29</f>
        <v>673.35</v>
      </c>
      <c r="K35" s="307">
        <f>'2012 полн'!AL29</f>
        <v>201</v>
      </c>
      <c r="L35" s="307">
        <f>'2012 полн'!AM29+'2012 полн'!AN29+'2012 полн'!AO29+'2012 полн'!AP29+'2012 полн'!AQ29+'2012 полн'!AR29+'2012 полн'!AS29+'2012 полн'!AT29+'2012 полн'!AX29</f>
        <v>5953.589999999999</v>
      </c>
      <c r="M35" s="308">
        <f>'2012 полн'!AU29+'2012 полн'!AV29+'2012 полн'!AW29</f>
        <v>10288.6</v>
      </c>
      <c r="N35" s="308">
        <v>0</v>
      </c>
      <c r="O35" s="317"/>
      <c r="P35" s="317">
        <f>'2012 полн'!BD29</f>
        <v>4515.5070000000005</v>
      </c>
      <c r="Q35" s="311">
        <f>'2012 полн'!BE29</f>
        <v>21632.047000000002</v>
      </c>
      <c r="R35" s="312">
        <f>'2012 полн'!BF29</f>
        <v>-3820.742000000002</v>
      </c>
      <c r="S35" s="312">
        <f>'2012 полн'!BG29</f>
        <v>-314.77999999999884</v>
      </c>
      <c r="T35" s="290"/>
      <c r="U35" s="290"/>
    </row>
    <row r="36" spans="1:21" ht="12.75">
      <c r="A36" s="224" t="s">
        <v>47</v>
      </c>
      <c r="B36" s="313">
        <f>'2012 полн'!B30</f>
        <v>1005</v>
      </c>
      <c r="C36" s="314">
        <f>'2012 полн'!C30</f>
        <v>8592.75</v>
      </c>
      <c r="D36" s="315">
        <f>'2012 полн'!D30</f>
        <v>0</v>
      </c>
      <c r="E36" s="307">
        <f>'2012 полн'!U30</f>
        <v>8914.5</v>
      </c>
      <c r="F36" s="307">
        <f>'2012 полн'!V30</f>
        <v>0</v>
      </c>
      <c r="G36" s="316">
        <f>'2012 полн'!AF30</f>
        <v>6314.98</v>
      </c>
      <c r="H36" s="316">
        <f>'2012 полн'!AG30</f>
        <v>6314.98</v>
      </c>
      <c r="I36" s="316">
        <f>'2012 полн'!AJ30</f>
        <v>9211.585000000001</v>
      </c>
      <c r="J36" s="316">
        <f>'2012 полн'!AK30</f>
        <v>673.35</v>
      </c>
      <c r="K36" s="307">
        <f>'2012 полн'!AL30</f>
        <v>201</v>
      </c>
      <c r="L36" s="307">
        <f>'2012 полн'!AM30+'2012 полн'!AN30+'2012 полн'!AO30+'2012 полн'!AP30+'2012 полн'!AQ30+'2012 полн'!AR30+'2012 полн'!AS30+'2012 полн'!AT30+'2012 полн'!AX30</f>
        <v>6116.089999999999</v>
      </c>
      <c r="M36" s="308">
        <f>'2012 полн'!AU30+'2012 полн'!AV30+'2012 полн'!AW30</f>
        <v>0</v>
      </c>
      <c r="N36" s="308">
        <v>0</v>
      </c>
      <c r="O36" s="317"/>
      <c r="P36" s="317">
        <f>'2012 полн'!BD30</f>
        <v>4515.5070000000005</v>
      </c>
      <c r="Q36" s="311">
        <f>'2012 полн'!BE30</f>
        <v>11505.947</v>
      </c>
      <c r="R36" s="312">
        <f>'2012 полн'!BF30</f>
        <v>4020.6180000000004</v>
      </c>
      <c r="S36" s="312">
        <f>'2012 полн'!BG30</f>
        <v>-2599.5200000000004</v>
      </c>
      <c r="T36" s="290"/>
      <c r="U36" s="290"/>
    </row>
    <row r="37" spans="1:21" ht="12.75">
      <c r="A37" s="224" t="s">
        <v>48</v>
      </c>
      <c r="B37" s="313">
        <f>'2012 полн'!B31</f>
        <v>1005</v>
      </c>
      <c r="C37" s="314">
        <f>'2012 полн'!C31</f>
        <v>8592.75</v>
      </c>
      <c r="D37" s="315">
        <f>'2012 полн'!D31</f>
        <v>0</v>
      </c>
      <c r="E37" s="307">
        <f>'2012 полн'!U31</f>
        <v>8889.800000000001</v>
      </c>
      <c r="F37" s="307">
        <f>'2012 полн'!V31</f>
        <v>0</v>
      </c>
      <c r="G37" s="316">
        <f>'2012 полн'!AF31</f>
        <v>6976.0199999999995</v>
      </c>
      <c r="H37" s="316">
        <f>'2012 полн'!AG31</f>
        <v>6976.0199999999995</v>
      </c>
      <c r="I37" s="316">
        <f>'2012 полн'!AJ31</f>
        <v>9211.585000000001</v>
      </c>
      <c r="J37" s="316">
        <f>'2012 полн'!AK31</f>
        <v>673.35</v>
      </c>
      <c r="K37" s="307">
        <f>'2012 полн'!AL31</f>
        <v>201</v>
      </c>
      <c r="L37" s="307">
        <f>'2012 полн'!AM31+'2012 полн'!AN31+'2012 полн'!AO31+'2012 полн'!AP31+'2012 полн'!AQ31+'2012 полн'!AR31+'2012 полн'!AS31+'2012 полн'!AT31+'2012 полн'!AX31</f>
        <v>5953.589999999999</v>
      </c>
      <c r="M37" s="308">
        <f>'2012 полн'!AU31+'2012 полн'!AV31+'2012 полн'!AW31</f>
        <v>4032</v>
      </c>
      <c r="N37" s="308">
        <v>0</v>
      </c>
      <c r="O37" s="317"/>
      <c r="P37" s="317">
        <f>'2012 полн'!BD31</f>
        <v>4515.5070000000005</v>
      </c>
      <c r="Q37" s="311">
        <f>'2012 полн'!BE31</f>
        <v>15375.447</v>
      </c>
      <c r="R37" s="312">
        <f>'2012 полн'!BF31</f>
        <v>812.1579999999994</v>
      </c>
      <c r="S37" s="312">
        <f>'2012 полн'!BG31</f>
        <v>-1913.7800000000016</v>
      </c>
      <c r="T37" s="290"/>
      <c r="U37" s="290"/>
    </row>
    <row r="38" spans="1:19" ht="12.75">
      <c r="A38" s="224" t="s">
        <v>49</v>
      </c>
      <c r="B38" s="313">
        <f>'2012 полн'!B32</f>
        <v>1005</v>
      </c>
      <c r="C38" s="314">
        <f>'2012 полн'!C32</f>
        <v>9557.55</v>
      </c>
      <c r="D38" s="315">
        <f>'2012 полн'!D32</f>
        <v>0</v>
      </c>
      <c r="E38" s="307">
        <f>'2012 полн'!U32</f>
        <v>9852.95</v>
      </c>
      <c r="F38" s="307">
        <f>'2012 полн'!V32</f>
        <v>0</v>
      </c>
      <c r="G38" s="316">
        <f>'2012 полн'!AF32</f>
        <v>6904.42</v>
      </c>
      <c r="H38" s="316">
        <f>'2012 полн'!AG32</f>
        <v>6904.42</v>
      </c>
      <c r="I38" s="316">
        <f>'2012 полн'!AJ32</f>
        <v>9211.585000000001</v>
      </c>
      <c r="J38" s="316">
        <f>'2012 полн'!AK32</f>
        <v>753.75</v>
      </c>
      <c r="K38" s="307">
        <f>'2012 полн'!AL32</f>
        <v>201</v>
      </c>
      <c r="L38" s="307">
        <f>'2012 полн'!AM32+'2012 полн'!AN32+'2012 полн'!AO32+'2012 полн'!AP32+'2012 полн'!AQ32+'2012 полн'!AR32+'2012 полн'!AS32+'2012 полн'!AT32+'2012 полн'!AX32</f>
        <v>5953.589999999999</v>
      </c>
      <c r="M38" s="308">
        <f>'2012 полн'!AU32+'2012 полн'!AV32+'2012 полн'!AW32</f>
        <v>0</v>
      </c>
      <c r="N38" s="308">
        <v>0</v>
      </c>
      <c r="O38" s="317"/>
      <c r="P38" s="317">
        <f>'2012 полн'!BD32</f>
        <v>4515.5070000000005</v>
      </c>
      <c r="Q38" s="311">
        <f>'2012 полн'!BE32</f>
        <v>11423.847</v>
      </c>
      <c r="R38" s="312">
        <f>'2012 полн'!BF32</f>
        <v>4692.158000000001</v>
      </c>
      <c r="S38" s="312">
        <f>'2012 полн'!BG32</f>
        <v>-2948.5300000000007</v>
      </c>
    </row>
    <row r="39" spans="1:19" ht="12.75">
      <c r="A39" s="224" t="s">
        <v>50</v>
      </c>
      <c r="B39" s="313">
        <f>'2012 полн'!B33</f>
        <v>1005</v>
      </c>
      <c r="C39" s="314">
        <f>'2012 полн'!C33</f>
        <v>9557.55</v>
      </c>
      <c r="D39" s="315">
        <f>'2012 полн'!D33</f>
        <v>0</v>
      </c>
      <c r="E39" s="307">
        <f>'2012 полн'!U33</f>
        <v>9852.95</v>
      </c>
      <c r="F39" s="307">
        <f>'2012 полн'!V33</f>
        <v>0</v>
      </c>
      <c r="G39" s="316">
        <f>'2012 полн'!AF33</f>
        <v>9853.9</v>
      </c>
      <c r="H39" s="316">
        <f>'2012 полн'!AG33</f>
        <v>9853.9</v>
      </c>
      <c r="I39" s="316">
        <f>'2012 полн'!AJ33</f>
        <v>9211.585000000001</v>
      </c>
      <c r="J39" s="316">
        <f>'2012 полн'!AK33</f>
        <v>753.75</v>
      </c>
      <c r="K39" s="307">
        <f>'2012 полн'!AL33</f>
        <v>201</v>
      </c>
      <c r="L39" s="307">
        <f>'2012 полн'!AM33+'2012 полн'!AN33+'2012 полн'!AO33+'2012 полн'!AP33+'2012 полн'!AQ33+'2012 полн'!AR33+'2012 полн'!AS33+'2012 полн'!AT33+'2012 полн'!AX33</f>
        <v>5953.589999999999</v>
      </c>
      <c r="M39" s="308">
        <f>'2012 полн'!AU33+'2012 полн'!AV33+'2012 полн'!AW33</f>
        <v>0</v>
      </c>
      <c r="N39" s="308">
        <v>0</v>
      </c>
      <c r="O39" s="317"/>
      <c r="P39" s="317">
        <f>'2012 полн'!BD33</f>
        <v>4515.5070000000005</v>
      </c>
      <c r="Q39" s="311">
        <f>'2012 полн'!BE33</f>
        <v>11423.847</v>
      </c>
      <c r="R39" s="312">
        <f>'2012 полн'!BF33</f>
        <v>7641.638000000001</v>
      </c>
      <c r="S39" s="312">
        <f>'2012 полн'!BG33</f>
        <v>0.9499999999989086</v>
      </c>
    </row>
    <row r="40" spans="1:19" ht="12.75">
      <c r="A40" s="224" t="s">
        <v>51</v>
      </c>
      <c r="B40" s="313">
        <f>'2012 полн'!B34</f>
        <v>1005</v>
      </c>
      <c r="C40" s="314">
        <f>'2012 полн'!C34</f>
        <v>9557.55</v>
      </c>
      <c r="D40" s="315">
        <f>'2012 полн'!D34</f>
        <v>0</v>
      </c>
      <c r="E40" s="307">
        <f>'2012 полн'!U34</f>
        <v>9852.95</v>
      </c>
      <c r="F40" s="307">
        <f>'2012 полн'!V34</f>
        <v>0</v>
      </c>
      <c r="G40" s="316">
        <f>'2012 полн'!AF34</f>
        <v>7820.84</v>
      </c>
      <c r="H40" s="316">
        <f>'2012 полн'!AG34</f>
        <v>7820.84</v>
      </c>
      <c r="I40" s="316">
        <f>'2012 полн'!AJ34</f>
        <v>9211.585000000001</v>
      </c>
      <c r="J40" s="316">
        <f>'2012 полн'!AK34</f>
        <v>753.75</v>
      </c>
      <c r="K40" s="307">
        <f>'2012 полн'!AL34</f>
        <v>201</v>
      </c>
      <c r="L40" s="307">
        <f>'2012 полн'!AM34+'2012 полн'!AN34+'2012 полн'!AO34+'2012 полн'!AP34+'2012 полн'!AQ34+'2012 полн'!AR34+'2012 полн'!AS34+'2012 полн'!AT34+'2012 полн'!AX34</f>
        <v>6280.589999999999</v>
      </c>
      <c r="M40" s="308">
        <f>'2012 полн'!AU34+'2012 полн'!AV34+'2012 полн'!AW34</f>
        <v>2629</v>
      </c>
      <c r="N40" s="308">
        <v>0</v>
      </c>
      <c r="O40" s="317"/>
      <c r="P40" s="317">
        <f>'2012 полн'!BD34</f>
        <v>4515.5070000000005</v>
      </c>
      <c r="Q40" s="311">
        <f>'2012 полн'!BE34</f>
        <v>14379.847000000002</v>
      </c>
      <c r="R40" s="312">
        <f>'2012 полн'!BF34</f>
        <v>2652.5780000000013</v>
      </c>
      <c r="S40" s="312">
        <f>'2012 полн'!BG34</f>
        <v>-2032.1100000000006</v>
      </c>
    </row>
    <row r="41" spans="1:19" ht="12.75">
      <c r="A41" s="224" t="s">
        <v>39</v>
      </c>
      <c r="B41" s="313">
        <f>'2012 полн'!B35</f>
        <v>1005</v>
      </c>
      <c r="C41" s="314">
        <f>'2012 полн'!C35</f>
        <v>9557.55</v>
      </c>
      <c r="D41" s="315">
        <f>'2012 полн'!D35</f>
        <v>0</v>
      </c>
      <c r="E41" s="307">
        <f>'2012 полн'!U35</f>
        <v>9852.95</v>
      </c>
      <c r="F41" s="307">
        <f>'2012 полн'!V35</f>
        <v>0</v>
      </c>
      <c r="G41" s="316">
        <f>'2012 полн'!AF35</f>
        <v>9878.96</v>
      </c>
      <c r="H41" s="316">
        <f>'2012 полн'!AG35</f>
        <v>9878.96</v>
      </c>
      <c r="I41" s="316">
        <f>'2012 полн'!AJ35</f>
        <v>9211.585000000001</v>
      </c>
      <c r="J41" s="316">
        <f>'2012 полн'!AK35</f>
        <v>753.75</v>
      </c>
      <c r="K41" s="307">
        <f>'2012 полн'!AL35</f>
        <v>201</v>
      </c>
      <c r="L41" s="307">
        <f>'2012 полн'!AM35+'2012 полн'!AN35+'2012 полн'!AO35+'2012 полн'!AP35+'2012 полн'!AQ35+'2012 полн'!AR35+'2012 полн'!AS35+'2012 полн'!AT35+'2012 полн'!AX35</f>
        <v>7162.339999999999</v>
      </c>
      <c r="M41" s="308">
        <f>'2012 полн'!AU35+'2012 полн'!AV35+'2012 полн'!AW35</f>
        <v>0</v>
      </c>
      <c r="N41" s="308">
        <v>0</v>
      </c>
      <c r="O41" s="317"/>
      <c r="P41" s="317">
        <f>'2012 полн'!BD35</f>
        <v>4515.5070000000005</v>
      </c>
      <c r="Q41" s="311">
        <f>'2012 полн'!BE35</f>
        <v>12632.597</v>
      </c>
      <c r="R41" s="312">
        <f>'2012 полн'!BF35</f>
        <v>6457.9479999999985</v>
      </c>
      <c r="S41" s="312">
        <f>'2012 полн'!BG35</f>
        <v>26.0099999999984</v>
      </c>
    </row>
    <row r="42" spans="1:19" ht="12.75">
      <c r="A42" s="224" t="s">
        <v>40</v>
      </c>
      <c r="B42" s="313">
        <f>'2012 полн'!B36</f>
        <v>1005</v>
      </c>
      <c r="C42" s="314">
        <f>'2012 полн'!C36</f>
        <v>9557.55</v>
      </c>
      <c r="D42" s="315">
        <f>'2012 полн'!D36</f>
        <v>0</v>
      </c>
      <c r="E42" s="307">
        <f>'2012 полн'!U36</f>
        <v>9852.95</v>
      </c>
      <c r="F42" s="307">
        <f>'2012 полн'!V36</f>
        <v>0</v>
      </c>
      <c r="G42" s="316">
        <f>'2012 полн'!AF36</f>
        <v>10437.28</v>
      </c>
      <c r="H42" s="316">
        <f>'2012 полн'!AG36</f>
        <v>10437.28</v>
      </c>
      <c r="I42" s="316">
        <f>'2012 полн'!AJ36</f>
        <v>9211.585000000001</v>
      </c>
      <c r="J42" s="316">
        <f>'2012 полн'!AK36</f>
        <v>753.75</v>
      </c>
      <c r="K42" s="307">
        <f>'2012 полн'!AL36</f>
        <v>201</v>
      </c>
      <c r="L42" s="307">
        <f>'2012 полн'!AM36+'2012 полн'!AN36+'2012 полн'!AO36+'2012 полн'!AP36+'2012 полн'!AQ36+'2012 полн'!AR36+'2012 полн'!AS36+'2012 полн'!AT36+'2012 полн'!AX36</f>
        <v>7109.339999999999</v>
      </c>
      <c r="M42" s="308">
        <f>'2012 полн'!AU36+'2012 полн'!AV36+'2012 полн'!AW36</f>
        <v>0</v>
      </c>
      <c r="N42" s="308">
        <v>0</v>
      </c>
      <c r="O42" s="317"/>
      <c r="P42" s="317">
        <f>'2012 полн'!BD36</f>
        <v>4515.5070000000005</v>
      </c>
      <c r="Q42" s="311">
        <f>'2012 полн'!BE36</f>
        <v>12579.597</v>
      </c>
      <c r="R42" s="312">
        <f>'2012 полн'!BF36</f>
        <v>7069.268000000002</v>
      </c>
      <c r="S42" s="312">
        <f>'2012 полн'!BG36</f>
        <v>584.3299999999999</v>
      </c>
    </row>
    <row r="43" spans="1:19" ht="13.5" thickBot="1">
      <c r="A43" s="340" t="s">
        <v>41</v>
      </c>
      <c r="B43" s="313">
        <f>'2012 полн'!B37</f>
        <v>1005</v>
      </c>
      <c r="C43" s="314">
        <f>'2012 полн'!C37</f>
        <v>9557.55</v>
      </c>
      <c r="D43" s="315">
        <f>'2012 полн'!D37</f>
        <v>0</v>
      </c>
      <c r="E43" s="307">
        <f>'2012 полн'!U37</f>
        <v>9877.88</v>
      </c>
      <c r="F43" s="307">
        <f>'2012 полн'!V37</f>
        <v>0</v>
      </c>
      <c r="G43" s="316">
        <f>'2012 полн'!AF37</f>
        <v>12669</v>
      </c>
      <c r="H43" s="316">
        <f>'2012 полн'!AG37</f>
        <v>12669</v>
      </c>
      <c r="I43" s="316">
        <f>'2012 полн'!AJ37</f>
        <v>9211.585000000001</v>
      </c>
      <c r="J43" s="316">
        <f>'2012 полн'!AK37</f>
        <v>753.75</v>
      </c>
      <c r="K43" s="307">
        <f>'2012 полн'!AL37</f>
        <v>201</v>
      </c>
      <c r="L43" s="307">
        <f>'2012 полн'!AM37+'2012 полн'!AN37+'2012 полн'!AO37+'2012 полн'!AP37+'2012 полн'!AQ37+'2012 полн'!AR37+'2012 полн'!AS37+'2012 полн'!AT37+'2012 полн'!AX37</f>
        <v>7162.339999999999</v>
      </c>
      <c r="M43" s="308">
        <f>'2012 полн'!AU37+'2012 полн'!AV37+'2012 полн'!AW37</f>
        <v>0</v>
      </c>
      <c r="N43" s="308">
        <v>0</v>
      </c>
      <c r="O43" s="317"/>
      <c r="P43" s="317">
        <f>'2012 полн'!BD37</f>
        <v>4515.5070000000005</v>
      </c>
      <c r="Q43" s="311">
        <f>'2012 полн'!BE37</f>
        <v>12632.597</v>
      </c>
      <c r="R43" s="312">
        <f>'2012 полн'!BF37</f>
        <v>9247.988</v>
      </c>
      <c r="S43" s="312">
        <f>'2012 полн'!BG37</f>
        <v>2791.120000000001</v>
      </c>
    </row>
    <row r="44" spans="1:21" s="22" customFormat="1" ht="13.5" thickBot="1">
      <c r="A44" s="44" t="s">
        <v>3</v>
      </c>
      <c r="B44" s="45"/>
      <c r="C44" s="50">
        <f aca="true" t="shared" si="2" ref="C44:R44">SUM(C32:C43)</f>
        <v>108901.80000000002</v>
      </c>
      <c r="D44" s="50">
        <f t="shared" si="2"/>
        <v>0</v>
      </c>
      <c r="E44" s="50">
        <f t="shared" si="2"/>
        <v>112639.12999999999</v>
      </c>
      <c r="F44" s="50">
        <f t="shared" si="2"/>
        <v>0</v>
      </c>
      <c r="G44" s="50">
        <f t="shared" si="2"/>
        <v>104202.06999999998</v>
      </c>
      <c r="H44" s="50">
        <f t="shared" si="2"/>
        <v>104202.06999999998</v>
      </c>
      <c r="I44" s="50">
        <f t="shared" si="2"/>
        <v>110539.02000000003</v>
      </c>
      <c r="J44" s="50">
        <f t="shared" si="2"/>
        <v>8562.6</v>
      </c>
      <c r="K44" s="50">
        <f t="shared" si="2"/>
        <v>2412</v>
      </c>
      <c r="L44" s="50">
        <f t="shared" si="2"/>
        <v>80353.57999999997</v>
      </c>
      <c r="M44" s="50">
        <f t="shared" si="2"/>
        <v>18654.2</v>
      </c>
      <c r="N44" s="50">
        <f t="shared" si="2"/>
        <v>0</v>
      </c>
      <c r="O44" s="50">
        <f t="shared" si="2"/>
        <v>0</v>
      </c>
      <c r="P44" s="50">
        <f t="shared" si="2"/>
        <v>54186.083999999995</v>
      </c>
      <c r="Q44" s="50">
        <f t="shared" si="2"/>
        <v>164168.464</v>
      </c>
      <c r="R44" s="50">
        <f t="shared" si="2"/>
        <v>50572.626000000004</v>
      </c>
      <c r="S44" s="50">
        <f>SUM(S32:S43)</f>
        <v>-8437.060000000003</v>
      </c>
      <c r="T44" s="52"/>
      <c r="U44" s="52"/>
    </row>
    <row r="45" spans="1:19" ht="13.5" thickBot="1">
      <c r="A45" s="522" t="s">
        <v>66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298"/>
      <c r="R45" s="299"/>
      <c r="S45" s="299"/>
    </row>
    <row r="46" spans="1:21" s="22" customFormat="1" ht="13.5" thickBot="1">
      <c r="A46" s="57" t="s">
        <v>52</v>
      </c>
      <c r="B46" s="58"/>
      <c r="C46" s="59">
        <f aca="true" t="shared" si="3" ref="C46:S46">C44+C30</f>
        <v>446814.725</v>
      </c>
      <c r="D46" s="59">
        <f t="shared" si="3"/>
        <v>42197.07338325001</v>
      </c>
      <c r="E46" s="59">
        <f t="shared" si="3"/>
        <v>412731.32999999996</v>
      </c>
      <c r="F46" s="59">
        <f t="shared" si="3"/>
        <v>32688.689999999995</v>
      </c>
      <c r="G46" s="59">
        <f t="shared" si="3"/>
        <v>391841.51</v>
      </c>
      <c r="H46" s="59">
        <f t="shared" si="3"/>
        <v>466727.27338325</v>
      </c>
      <c r="I46" s="59">
        <f t="shared" si="3"/>
        <v>377474.76864</v>
      </c>
      <c r="J46" s="59">
        <f t="shared" si="3"/>
        <v>32688.18</v>
      </c>
      <c r="K46" s="59">
        <f t="shared" si="3"/>
        <v>10200.525516</v>
      </c>
      <c r="L46" s="59">
        <f t="shared" si="3"/>
        <v>329532.4601356369</v>
      </c>
      <c r="M46" s="59">
        <f t="shared" si="3"/>
        <v>155291.288</v>
      </c>
      <c r="N46" s="59">
        <v>0</v>
      </c>
      <c r="O46" s="59">
        <f>O44+O30</f>
        <v>0</v>
      </c>
      <c r="P46" s="59">
        <f>P44+P30</f>
        <v>178219.6070811254</v>
      </c>
      <c r="Q46" s="59">
        <f>Q44+Q30</f>
        <v>705932.0607327624</v>
      </c>
      <c r="R46" s="59">
        <f>R44+R30</f>
        <v>138269.9788904876</v>
      </c>
      <c r="S46" s="59">
        <f>S44+S30</f>
        <v>-20889.820000000014</v>
      </c>
      <c r="T46" s="62"/>
      <c r="U46" s="52"/>
    </row>
    <row r="48" spans="1:4" ht="12.75">
      <c r="A48" s="22" t="s">
        <v>67</v>
      </c>
      <c r="D48" s="318" t="s">
        <v>127</v>
      </c>
    </row>
    <row r="49" spans="1:4" ht="12.75">
      <c r="A49" s="285" t="s">
        <v>68</v>
      </c>
      <c r="B49" s="285" t="s">
        <v>69</v>
      </c>
      <c r="C49" s="344" t="s">
        <v>70</v>
      </c>
      <c r="D49" s="345"/>
    </row>
    <row r="50" spans="1:4" ht="12.75">
      <c r="A50" s="319">
        <v>125459.3</v>
      </c>
      <c r="B50" s="320">
        <v>47380</v>
      </c>
      <c r="C50" s="270">
        <f>A50-B50</f>
        <v>78079.3</v>
      </c>
      <c r="D50" s="321"/>
    </row>
    <row r="51" ht="12.75">
      <c r="A51" s="63"/>
    </row>
    <row r="52" spans="1:7" ht="12.75">
      <c r="A52" s="216" t="s">
        <v>71</v>
      </c>
      <c r="G52" s="216" t="s">
        <v>72</v>
      </c>
    </row>
    <row r="53" ht="12.75">
      <c r="A53" s="290"/>
    </row>
    <row r="54" ht="12.75">
      <c r="A54" s="290"/>
    </row>
    <row r="55" ht="12.75">
      <c r="A55" s="216" t="s">
        <v>122</v>
      </c>
    </row>
    <row r="56" ht="12.75">
      <c r="A56" s="216" t="s">
        <v>73</v>
      </c>
    </row>
  </sheetData>
  <sheetProtection/>
  <mergeCells count="29">
    <mergeCell ref="A45:P45"/>
    <mergeCell ref="O10:O11"/>
    <mergeCell ref="P10:P11"/>
    <mergeCell ref="Q10:Q11"/>
    <mergeCell ref="A13:P13"/>
    <mergeCell ref="A29:P29"/>
    <mergeCell ref="A8:A11"/>
    <mergeCell ref="B8:B11"/>
    <mergeCell ref="C8:C11"/>
    <mergeCell ref="D8:D11"/>
    <mergeCell ref="E8:F9"/>
    <mergeCell ref="R8:R11"/>
    <mergeCell ref="S8:S11"/>
    <mergeCell ref="E10:F10"/>
    <mergeCell ref="H10:H11"/>
    <mergeCell ref="I10:I11"/>
    <mergeCell ref="J10:J11"/>
    <mergeCell ref="K10:K11"/>
    <mergeCell ref="L10:L11"/>
    <mergeCell ref="M10:M11"/>
    <mergeCell ref="N10:N11"/>
    <mergeCell ref="G8:H9"/>
    <mergeCell ref="B1:H1"/>
    <mergeCell ref="B2:H2"/>
    <mergeCell ref="A5:P5"/>
    <mergeCell ref="A6:G6"/>
    <mergeCell ref="A7:D7"/>
    <mergeCell ref="E7:F7"/>
    <mergeCell ref="J8:Q9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2012-02-07T02:29:09Z</cp:lastPrinted>
  <dcterms:created xsi:type="dcterms:W3CDTF">2010-04-03T04:08:20Z</dcterms:created>
  <dcterms:modified xsi:type="dcterms:W3CDTF">2013-04-22T07:07:36Z</dcterms:modified>
  <cp:category/>
  <cp:version/>
  <cp:contentType/>
  <cp:contentStatus/>
</cp:coreProperties>
</file>