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tabRatio="601" activeTab="5"/>
  </bookViews>
  <sheets>
    <sheet name="Лист1" sheetId="1" r:id="rId1"/>
    <sheet name="Лист2" sheetId="2" r:id="rId2"/>
    <sheet name="2011 полн" sheetId="3" r:id="rId3"/>
    <sheet name="2011 печать" sheetId="4" r:id="rId4"/>
    <sheet name="2012 полн ( из справок в текущ)" sheetId="5" r:id="rId5"/>
    <sheet name="2012 печать (2)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/>
  <calcPr fullCalcOnLoad="1"/>
</workbook>
</file>

<file path=xl/sharedStrings.xml><?xml version="1.0" encoding="utf-8"?>
<sst xmlns="http://schemas.openxmlformats.org/spreadsheetml/2006/main" count="455" uniqueCount="131">
  <si>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</si>
  <si>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</si>
  <si>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</si>
  <si>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</si>
  <si>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</si>
  <si>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</si>
  <si>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</si>
  <si>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</si>
  <si>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</si>
  <si>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</si>
  <si>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</si>
  <si>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</si>
  <si>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</si>
  <si>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</si>
  <si>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</si>
  <si>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</si>
  <si>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</si>
  <si>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</si>
  <si>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</si>
  <si>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</si>
  <si>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</si>
  <si>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</si>
  <si>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</si>
  <si>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</si>
  <si>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</si>
  <si>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</si>
  <si>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</si>
  <si>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</si>
  <si>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</si>
  <si>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</si>
  <si>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</si>
  <si>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</si>
  <si>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</si>
  <si>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</si>
  <si>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</si>
  <si>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</si>
  <si>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</si>
  <si>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</si>
  <si>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</si>
  <si>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</si>
  <si>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</si>
  <si>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</si>
  <si>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</si>
  <si>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</si>
  <si>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</si>
  <si>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</si>
  <si>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</si>
  <si>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</si>
  <si>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</si>
  <si>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</si>
  <si>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</si>
  <si>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</si>
  <si>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</si>
  <si>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</si>
  <si>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</si>
  <si>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</si>
  <si>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</si>
  <si>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</si>
  <si>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</si>
  <si>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</si>
  <si>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</si>
  <si>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</si>
  <si>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</si>
  <si>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</si>
  <si>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</si>
  <si>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</si>
  <si>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</si>
  <si>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</si>
  <si>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</si>
  <si>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</si>
  <si>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</si>
  <si>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</si>
  <si>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</si>
  <si>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</si>
  <si>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</si>
  <si>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тел. 3-48-80</t>
  </si>
  <si>
    <t xml:space="preserve">Собрано квартплаты </t>
  </si>
  <si>
    <t>содержанию и тек.рем.</t>
  </si>
  <si>
    <t>Лицевой счет по адресу г. Таштагол, ул. Ленина, д. 50</t>
  </si>
  <si>
    <t>Выписка по лицевому счету по адресу г. Таштагол, ул. Ленина, д. 50</t>
  </si>
  <si>
    <t>Доходы по нежил.помещениям</t>
  </si>
  <si>
    <t>Долг(-)/ переплата(+)  жителей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</si>
  <si>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</si>
  <si>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</si>
  <si>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</si>
  <si>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</si>
  <si>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</si>
  <si>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</si>
  <si>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</si>
  <si>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2010 год</t>
  </si>
  <si>
    <t>Расходы по нежил. помещениям</t>
  </si>
  <si>
    <t>на 01.01.2011 г.</t>
  </si>
  <si>
    <t>Лицевой счет по адресу г. Таштагол, ул. 18 партсъезд, д.19</t>
  </si>
  <si>
    <t>Начислено населению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</si>
  <si>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</si>
  <si>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</si>
  <si>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</si>
  <si>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</si>
  <si>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</si>
  <si>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Собрано всего по жил.услугам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</si>
  <si>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</si>
  <si>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</si>
  <si>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</si>
  <si>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</si>
  <si>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</si>
  <si>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</si>
  <si>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</si>
  <si>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</si>
  <si>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</si>
  <si>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</si>
  <si>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</si>
  <si>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</si>
  <si>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</si>
  <si>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Расходы по жил. помещениям</t>
  </si>
  <si>
    <t>Электроэнергия</t>
  </si>
  <si>
    <t>2011 год</t>
  </si>
  <si>
    <t>Собрано квартплаты от населения</t>
  </si>
  <si>
    <t>Услуга начисления</t>
  </si>
  <si>
    <t>Расходы по нежилым помещениям</t>
  </si>
  <si>
    <t>Собрано по содержанию и тек.рем.</t>
  </si>
  <si>
    <t>на начало отчетного периода</t>
  </si>
  <si>
    <t>Исп. В.В. Колмогорова</t>
  </si>
  <si>
    <t>Выписка по лицевому счету по адресу г. Таштагол ул. Ленина, д.50</t>
  </si>
  <si>
    <t>на 01.10.2011 г.</t>
  </si>
  <si>
    <t>Доходы по нежилым помещениям</t>
  </si>
  <si>
    <t>*по состоянию на 01.01.2012 г.</t>
  </si>
  <si>
    <t>2012 год</t>
  </si>
  <si>
    <t>Предварительные сведения</t>
  </si>
  <si>
    <t>Тариф по содержанию и тек.ремонту 100 % (11,66руб.*площадь)</t>
  </si>
  <si>
    <t>на 01.01.2013 г.</t>
  </si>
  <si>
    <t>*по состоянию на 01.01.2013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</si>
</sst>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</numFmts>
  <fonts count="49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8"/>
      <name val="Times New Roman"/>
      <family val="1"/>
    </font>
    <font>
      <sz val="10"/>
      <color indexed="10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2" fillId="0" borderId="11" xfId="34" applyNumberFormat="1" applyFont="1" applyFill="1" applyBorder="1" applyAlignment="1">
      <alignment vertical="center" wrapText="1"/>
      <protection/>
    </xf>
    <xf numFmtId="4" fontId="2" fillId="35" borderId="11" xfId="34" applyNumberFormat="1" applyFont="1" applyFill="1" applyBorder="1" applyAlignment="1">
      <alignment vertical="center" wrapText="1"/>
      <protection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34" borderId="11" xfId="0" applyFont="1" applyFill="1" applyBorder="1" applyAlignment="1">
      <alignment vertical="center" wrapText="1"/>
    </xf>
    <xf numFmtId="4" fontId="0" fillId="33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4" fontId="2" fillId="0" borderId="26" xfId="34" applyNumberFormat="1" applyFont="1" applyFill="1" applyBorder="1" applyAlignment="1">
      <alignment horizontal="right" vertical="center" wrapText="1"/>
      <protection/>
    </xf>
    <xf numFmtId="4" fontId="0" fillId="0" borderId="27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28" xfId="0" applyNumberFormat="1" applyFont="1" applyFill="1" applyBorder="1" applyAlignment="1">
      <alignment horizontal="right"/>
    </xf>
    <xf numFmtId="0" fontId="0" fillId="0" borderId="29" xfId="0" applyFont="1" applyFill="1" applyBorder="1" applyAlignment="1">
      <alignment/>
    </xf>
    <xf numFmtId="4" fontId="2" fillId="0" borderId="30" xfId="34" applyNumberFormat="1" applyFont="1" applyFill="1" applyBorder="1" applyAlignment="1">
      <alignment horizontal="right" vertical="center" wrapText="1"/>
      <protection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wrapText="1"/>
    </xf>
    <xf numFmtId="4" fontId="1" fillId="0" borderId="22" xfId="0" applyNumberFormat="1" applyFont="1" applyFill="1" applyBorder="1" applyAlignment="1">
      <alignment horizontal="right" wrapText="1"/>
    </xf>
    <xf numFmtId="4" fontId="1" fillId="0" borderId="31" xfId="0" applyNumberFormat="1" applyFont="1" applyFill="1" applyBorder="1" applyAlignment="1">
      <alignment horizontal="right" wrapText="1"/>
    </xf>
    <xf numFmtId="4" fontId="1" fillId="0" borderId="32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left"/>
    </xf>
    <xf numFmtId="4" fontId="1" fillId="0" borderId="21" xfId="0" applyNumberFormat="1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0" borderId="34" xfId="0" applyNumberFormat="1" applyFont="1" applyFill="1" applyBorder="1" applyAlignment="1">
      <alignment wrapText="1"/>
    </xf>
    <xf numFmtId="4" fontId="0" fillId="0" borderId="34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 vertical="center" wrapText="1"/>
    </xf>
    <xf numFmtId="4" fontId="0" fillId="0" borderId="33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25" xfId="0" applyNumberFormat="1" applyFont="1" applyFill="1" applyBorder="1" applyAlignment="1">
      <alignment horizontal="right"/>
    </xf>
    <xf numFmtId="4" fontId="1" fillId="0" borderId="21" xfId="0" applyNumberFormat="1" applyFont="1" applyFill="1" applyBorder="1" applyAlignment="1">
      <alignment wrapText="1"/>
    </xf>
    <xf numFmtId="4" fontId="7" fillId="0" borderId="22" xfId="34" applyNumberFormat="1" applyFont="1" applyFill="1" applyBorder="1" applyAlignment="1">
      <alignment horizontal="right" vertical="center" wrapText="1"/>
      <protection/>
    </xf>
    <xf numFmtId="4" fontId="7" fillId="0" borderId="36" xfId="34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wrapText="1"/>
    </xf>
    <xf numFmtId="4" fontId="0" fillId="0" borderId="11" xfId="0" applyNumberFormat="1" applyFont="1" applyBorder="1" applyAlignment="1">
      <alignment horizontal="right"/>
    </xf>
    <xf numFmtId="0" fontId="0" fillId="33" borderId="27" xfId="0" applyFont="1" applyFill="1" applyBorder="1" applyAlignment="1">
      <alignment horizontal="right" vertical="center" wrapText="1"/>
    </xf>
    <xf numFmtId="4" fontId="1" fillId="33" borderId="11" xfId="0" applyNumberFormat="1" applyFont="1" applyFill="1" applyBorder="1" applyAlignment="1">
      <alignment horizontal="right" wrapText="1"/>
    </xf>
    <xf numFmtId="4" fontId="1" fillId="33" borderId="27" xfId="0" applyNumberFormat="1" applyFont="1" applyFill="1" applyBorder="1" applyAlignment="1">
      <alignment horizontal="right" wrapText="1"/>
    </xf>
    <xf numFmtId="0" fontId="0" fillId="33" borderId="11" xfId="0" applyFont="1" applyFill="1" applyBorder="1" applyAlignment="1">
      <alignment horizontal="right" vertical="center" wrapText="1"/>
    </xf>
    <xf numFmtId="4" fontId="7" fillId="0" borderId="32" xfId="34" applyNumberFormat="1" applyFont="1" applyFill="1" applyBorder="1" applyAlignment="1">
      <alignment horizontal="right" vertical="center" wrapText="1"/>
      <protection/>
    </xf>
    <xf numFmtId="4" fontId="7" fillId="0" borderId="31" xfId="34" applyNumberFormat="1" applyFont="1" applyFill="1" applyBorder="1" applyAlignment="1">
      <alignment horizontal="right" vertical="center" wrapText="1"/>
      <protection/>
    </xf>
    <xf numFmtId="0" fontId="0" fillId="0" borderId="11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4" fontId="0" fillId="0" borderId="26" xfId="0" applyNumberFormat="1" applyFont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right" vertical="center" wrapText="1"/>
    </xf>
    <xf numFmtId="4" fontId="0" fillId="33" borderId="11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right" wrapText="1"/>
    </xf>
    <xf numFmtId="0" fontId="1" fillId="0" borderId="38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center" wrapText="1"/>
    </xf>
    <xf numFmtId="0" fontId="1" fillId="33" borderId="25" xfId="0" applyFont="1" applyFill="1" applyBorder="1" applyAlignment="1">
      <alignment horizontal="center" vertical="center" wrapText="1"/>
    </xf>
    <xf numFmtId="4" fontId="1" fillId="33" borderId="23" xfId="0" applyNumberFormat="1" applyFont="1" applyFill="1" applyBorder="1" applyAlignment="1">
      <alignment horizontal="right" wrapText="1"/>
    </xf>
    <xf numFmtId="0" fontId="1" fillId="33" borderId="23" xfId="0" applyFont="1" applyFill="1" applyBorder="1" applyAlignment="1">
      <alignment/>
    </xf>
    <xf numFmtId="0" fontId="1" fillId="33" borderId="19" xfId="0" applyFont="1" applyFill="1" applyBorder="1" applyAlignment="1">
      <alignment horizontal="center" vertical="center" wrapText="1"/>
    </xf>
    <xf numFmtId="4" fontId="7" fillId="33" borderId="22" xfId="34" applyNumberFormat="1" applyFont="1" applyFill="1" applyBorder="1" applyAlignment="1">
      <alignment horizontal="right" vertical="center" wrapText="1"/>
      <protection/>
    </xf>
    <xf numFmtId="4" fontId="1" fillId="33" borderId="22" xfId="0" applyNumberFormat="1" applyFont="1" applyFill="1" applyBorder="1" applyAlignment="1">
      <alignment horizontal="right" wrapText="1"/>
    </xf>
    <xf numFmtId="0" fontId="1" fillId="33" borderId="39" xfId="0" applyFont="1" applyFill="1" applyBorder="1" applyAlignment="1">
      <alignment horizontal="left"/>
    </xf>
    <xf numFmtId="4" fontId="1" fillId="33" borderId="28" xfId="0" applyNumberFormat="1" applyFont="1" applyFill="1" applyBorder="1" applyAlignment="1">
      <alignment horizontal="right"/>
    </xf>
    <xf numFmtId="4" fontId="1" fillId="33" borderId="25" xfId="0" applyNumberFormat="1" applyFont="1" applyFill="1" applyBorder="1" applyAlignment="1">
      <alignment horizontal="right"/>
    </xf>
    <xf numFmtId="0" fontId="1" fillId="33" borderId="14" xfId="0" applyFont="1" applyFill="1" applyBorder="1" applyAlignment="1">
      <alignment horizontal="center" vertical="center" wrapText="1"/>
    </xf>
    <xf numFmtId="4" fontId="1" fillId="33" borderId="15" xfId="0" applyNumberFormat="1" applyFont="1" applyFill="1" applyBorder="1" applyAlignment="1">
      <alignment horizontal="right"/>
    </xf>
    <xf numFmtId="4" fontId="1" fillId="33" borderId="41" xfId="0" applyNumberFormat="1" applyFont="1" applyFill="1" applyBorder="1" applyAlignment="1">
      <alignment horizontal="right"/>
    </xf>
    <xf numFmtId="4" fontId="1" fillId="33" borderId="14" xfId="0" applyNumberFormat="1" applyFont="1" applyFill="1" applyBorder="1" applyAlignment="1">
      <alignment horizontal="right"/>
    </xf>
    <xf numFmtId="4" fontId="1" fillId="33" borderId="36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7" fillId="0" borderId="42" xfId="34" applyNumberFormat="1" applyFont="1" applyFill="1" applyBorder="1" applyAlignment="1">
      <alignment horizontal="right" vertical="center" wrapText="1"/>
      <protection/>
    </xf>
    <xf numFmtId="4" fontId="7" fillId="0" borderId="23" xfId="34" applyNumberFormat="1" applyFont="1" applyFill="1" applyBorder="1" applyAlignment="1">
      <alignment horizontal="right" vertical="center" wrapText="1"/>
      <protection/>
    </xf>
    <xf numFmtId="4" fontId="0" fillId="0" borderId="41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1" fillId="0" borderId="36" xfId="0" applyNumberFormat="1" applyFont="1" applyFill="1" applyBorder="1" applyAlignment="1">
      <alignment horizontal="right" wrapText="1"/>
    </xf>
    <xf numFmtId="4" fontId="2" fillId="0" borderId="28" xfId="34" applyNumberFormat="1" applyFont="1" applyFill="1" applyBorder="1" applyAlignment="1">
      <alignment horizontal="right" vertical="center" wrapText="1"/>
      <protection/>
    </xf>
    <xf numFmtId="4" fontId="2" fillId="0" borderId="33" xfId="34" applyNumberFormat="1" applyFont="1" applyFill="1" applyBorder="1" applyAlignment="1">
      <alignment horizontal="right" vertical="center" wrapText="1"/>
      <protection/>
    </xf>
    <xf numFmtId="4" fontId="2" fillId="0" borderId="25" xfId="34" applyNumberFormat="1" applyFont="1" applyFill="1" applyBorder="1" applyAlignment="1">
      <alignment horizontal="right" vertical="center" wrapText="1"/>
      <protection/>
    </xf>
    <xf numFmtId="0" fontId="1" fillId="0" borderId="43" xfId="0" applyFont="1" applyFill="1" applyBorder="1" applyAlignment="1">
      <alignment horizontal="left"/>
    </xf>
    <xf numFmtId="4" fontId="1" fillId="33" borderId="44" xfId="0" applyNumberFormat="1" applyFont="1" applyFill="1" applyBorder="1" applyAlignment="1">
      <alignment horizontal="right"/>
    </xf>
    <xf numFmtId="4" fontId="1" fillId="33" borderId="45" xfId="0" applyNumberFormat="1" applyFont="1" applyFill="1" applyBorder="1" applyAlignment="1">
      <alignment horizontal="right"/>
    </xf>
    <xf numFmtId="4" fontId="1" fillId="33" borderId="46" xfId="0" applyNumberFormat="1" applyFont="1" applyFill="1" applyBorder="1" applyAlignment="1">
      <alignment horizontal="right"/>
    </xf>
    <xf numFmtId="0" fontId="1" fillId="0" borderId="47" xfId="0" applyFont="1" applyFill="1" applyBorder="1" applyAlignment="1">
      <alignment horizontal="center" vertical="center" wrapText="1"/>
    </xf>
    <xf numFmtId="4" fontId="0" fillId="0" borderId="48" xfId="0" applyNumberFormat="1" applyFont="1" applyFill="1" applyBorder="1" applyAlignment="1">
      <alignment horizontal="right"/>
    </xf>
    <xf numFmtId="4" fontId="0" fillId="0" borderId="49" xfId="0" applyNumberFormat="1" applyFont="1" applyFill="1" applyBorder="1" applyAlignment="1">
      <alignment horizontal="right"/>
    </xf>
    <xf numFmtId="4" fontId="0" fillId="0" borderId="47" xfId="0" applyNumberFormat="1" applyFont="1" applyFill="1" applyBorder="1" applyAlignment="1">
      <alignment horizontal="right"/>
    </xf>
    <xf numFmtId="4" fontId="1" fillId="0" borderId="42" xfId="0" applyNumberFormat="1" applyFont="1" applyFill="1" applyBorder="1" applyAlignment="1">
      <alignment horizontal="right" wrapText="1"/>
    </xf>
    <xf numFmtId="4" fontId="7" fillId="33" borderId="36" xfId="34" applyNumberFormat="1" applyFont="1" applyFill="1" applyBorder="1" applyAlignment="1">
      <alignment horizontal="right" vertical="center" wrapText="1"/>
      <protection/>
    </xf>
    <xf numFmtId="0" fontId="1" fillId="33" borderId="40" xfId="0" applyFont="1" applyFill="1" applyBorder="1" applyAlignment="1">
      <alignment horizontal="left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2" fontId="1" fillId="0" borderId="50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wrapText="1"/>
    </xf>
    <xf numFmtId="4" fontId="2" fillId="0" borderId="24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36" borderId="15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0" fillId="34" borderId="26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35" borderId="26" xfId="0" applyNumberFormat="1" applyFont="1" applyFill="1" applyBorder="1" applyAlignment="1">
      <alignment/>
    </xf>
    <xf numFmtId="4" fontId="0" fillId="38" borderId="26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35" borderId="11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2" fillId="0" borderId="27" xfId="34" applyNumberFormat="1" applyFont="1" applyFill="1" applyBorder="1" applyAlignment="1">
      <alignment horizontal="center" vertical="center" wrapText="1"/>
      <protection/>
    </xf>
    <xf numFmtId="4" fontId="9" fillId="0" borderId="26" xfId="0" applyNumberFormat="1" applyFont="1" applyFill="1" applyBorder="1" applyAlignment="1">
      <alignment/>
    </xf>
    <xf numFmtId="4" fontId="0" fillId="36" borderId="27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0" fontId="0" fillId="36" borderId="26" xfId="0" applyFont="1" applyFill="1" applyBorder="1" applyAlignment="1">
      <alignment horizontal="center"/>
    </xf>
    <xf numFmtId="4" fontId="0" fillId="36" borderId="26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" fontId="0" fillId="33" borderId="34" xfId="0" applyNumberFormat="1" applyFont="1" applyFill="1" applyBorder="1" applyAlignment="1">
      <alignment/>
    </xf>
    <xf numFmtId="0" fontId="1" fillId="33" borderId="47" xfId="0" applyFont="1" applyFill="1" applyBorder="1" applyAlignment="1">
      <alignment horizontal="center" vertical="center" wrapText="1"/>
    </xf>
    <xf numFmtId="4" fontId="1" fillId="33" borderId="48" xfId="0" applyNumberFormat="1" applyFont="1" applyFill="1" applyBorder="1" applyAlignment="1">
      <alignment horizontal="right"/>
    </xf>
    <xf numFmtId="4" fontId="1" fillId="33" borderId="47" xfId="0" applyNumberFormat="1" applyFont="1" applyFill="1" applyBorder="1" applyAlignment="1">
      <alignment horizontal="right"/>
    </xf>
    <xf numFmtId="0" fontId="1" fillId="0" borderId="5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33" borderId="54" xfId="0" applyFont="1" applyFill="1" applyBorder="1" applyAlignment="1">
      <alignment horizontal="center" vertical="center" wrapText="1"/>
    </xf>
    <xf numFmtId="0" fontId="1" fillId="33" borderId="5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textRotation="90" wrapText="1"/>
    </xf>
    <xf numFmtId="0" fontId="1" fillId="0" borderId="56" xfId="0" applyFont="1" applyFill="1" applyBorder="1" applyAlignment="1">
      <alignment horizontal="center" textRotation="90"/>
    </xf>
    <xf numFmtId="2" fontId="1" fillId="0" borderId="57" xfId="0" applyNumberFormat="1" applyFont="1" applyFill="1" applyBorder="1" applyAlignment="1">
      <alignment horizontal="center" vertical="center" textRotation="90" wrapText="1"/>
    </xf>
    <xf numFmtId="2" fontId="1" fillId="33" borderId="43" xfId="0" applyNumberFormat="1" applyFont="1" applyFill="1" applyBorder="1" applyAlignment="1">
      <alignment horizontal="center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4" fontId="1" fillId="0" borderId="34" xfId="0" applyNumberFormat="1" applyFont="1" applyFill="1" applyBorder="1" applyAlignment="1">
      <alignment horizontal="right"/>
    </xf>
    <xf numFmtId="4" fontId="1" fillId="0" borderId="59" xfId="0" applyNumberFormat="1" applyFont="1" applyFill="1" applyBorder="1" applyAlignment="1">
      <alignment horizontal="right"/>
    </xf>
    <xf numFmtId="4" fontId="1" fillId="0" borderId="60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Border="1" applyAlignment="1">
      <alignment horizontal="center"/>
    </xf>
    <xf numFmtId="4" fontId="0" fillId="0" borderId="26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36" borderId="14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4" fontId="2" fillId="34" borderId="26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35" borderId="26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/>
    </xf>
    <xf numFmtId="4" fontId="1" fillId="0" borderId="58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0" fillId="0" borderId="46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4" fontId="0" fillId="36" borderId="15" xfId="0" applyNumberFormat="1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2" fontId="0" fillId="34" borderId="11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43" fontId="0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 wrapText="1"/>
    </xf>
    <xf numFmtId="4" fontId="0" fillId="0" borderId="37" xfId="0" applyNumberFormat="1" applyFont="1" applyFill="1" applyBorder="1" applyAlignment="1">
      <alignment horizontal="center"/>
    </xf>
    <xf numFmtId="4" fontId="0" fillId="36" borderId="28" xfId="0" applyNumberFormat="1" applyFont="1" applyFill="1" applyBorder="1" applyAlignment="1">
      <alignment horizontal="center"/>
    </xf>
    <xf numFmtId="4" fontId="0" fillId="0" borderId="48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36" borderId="28" xfId="0" applyFont="1" applyFill="1" applyBorder="1" applyAlignment="1">
      <alignment horizontal="center"/>
    </xf>
    <xf numFmtId="0" fontId="2" fillId="0" borderId="27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5" xfId="0" applyFont="1" applyBorder="1" applyAlignment="1">
      <alignment wrapText="1"/>
    </xf>
    <xf numFmtId="4" fontId="1" fillId="0" borderId="56" xfId="0" applyNumberFormat="1" applyFont="1" applyFill="1" applyBorder="1" applyAlignment="1">
      <alignment/>
    </xf>
    <xf numFmtId="0" fontId="12" fillId="0" borderId="11" xfId="0" applyFont="1" applyBorder="1" applyAlignment="1">
      <alignment wrapText="1"/>
    </xf>
    <xf numFmtId="0" fontId="12" fillId="0" borderId="26" xfId="0" applyFont="1" applyBorder="1" applyAlignment="1">
      <alignment wrapText="1"/>
    </xf>
    <xf numFmtId="0" fontId="2" fillId="0" borderId="46" xfId="0" applyFont="1" applyBorder="1" applyAlignment="1">
      <alignment wrapText="1"/>
    </xf>
    <xf numFmtId="0" fontId="12" fillId="0" borderId="27" xfId="0" applyFont="1" applyBorder="1" applyAlignment="1">
      <alignment wrapText="1"/>
    </xf>
    <xf numFmtId="2" fontId="9" fillId="34" borderId="13" xfId="0" applyNumberFormat="1" applyFont="1" applyFill="1" applyBorder="1" applyAlignment="1">
      <alignment horizontal="center"/>
    </xf>
    <xf numFmtId="0" fontId="1" fillId="0" borderId="61" xfId="0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/>
    </xf>
    <xf numFmtId="4" fontId="1" fillId="0" borderId="36" xfId="0" applyNumberFormat="1" applyFont="1" applyFill="1" applyBorder="1" applyAlignment="1">
      <alignment/>
    </xf>
    <xf numFmtId="0" fontId="1" fillId="0" borderId="29" xfId="0" applyFont="1" applyFill="1" applyBorder="1" applyAlignment="1">
      <alignment horizontal="right"/>
    </xf>
    <xf numFmtId="0" fontId="1" fillId="0" borderId="51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4" fontId="1" fillId="0" borderId="51" xfId="0" applyNumberFormat="1" applyFont="1" applyFill="1" applyBorder="1" applyAlignment="1">
      <alignment/>
    </xf>
    <xf numFmtId="4" fontId="1" fillId="0" borderId="53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textRotation="90" wrapText="1"/>
    </xf>
    <xf numFmtId="0" fontId="1" fillId="0" borderId="41" xfId="0" applyFont="1" applyFill="1" applyBorder="1" applyAlignment="1">
      <alignment horizontal="center" textRotation="90"/>
    </xf>
    <xf numFmtId="2" fontId="1" fillId="0" borderId="29" xfId="0" applyNumberFormat="1" applyFont="1" applyFill="1" applyBorder="1" applyAlignment="1">
      <alignment horizontal="center" vertical="center" textRotation="90" wrapText="1"/>
    </xf>
    <xf numFmtId="4" fontId="0" fillId="0" borderId="33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4" fontId="1" fillId="0" borderId="36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26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4" fontId="0" fillId="0" borderId="28" xfId="0" applyNumberFormat="1" applyFont="1" applyFill="1" applyBorder="1" applyAlignment="1">
      <alignment horizontal="right"/>
    </xf>
    <xf numFmtId="2" fontId="0" fillId="0" borderId="15" xfId="0" applyNumberFormat="1" applyBorder="1" applyAlignment="1">
      <alignment horizontal="center"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 vertical="center" wrapText="1"/>
    </xf>
    <xf numFmtId="4" fontId="1" fillId="0" borderId="51" xfId="0" applyNumberFormat="1" applyFont="1" applyFill="1" applyBorder="1" applyAlignment="1">
      <alignment horizontal="right" wrapText="1"/>
    </xf>
    <xf numFmtId="4" fontId="1" fillId="0" borderId="50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2" fontId="0" fillId="0" borderId="27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4" fontId="0" fillId="37" borderId="27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4" fontId="0" fillId="0" borderId="62" xfId="0" applyNumberFormat="1" applyFont="1" applyBorder="1" applyAlignment="1">
      <alignment horizontal="center"/>
    </xf>
    <xf numFmtId="43" fontId="0" fillId="35" borderId="11" xfId="0" applyNumberFormat="1" applyFont="1" applyFill="1" applyBorder="1" applyAlignment="1">
      <alignment horizontal="center"/>
    </xf>
    <xf numFmtId="4" fontId="0" fillId="0" borderId="44" xfId="0" applyNumberFormat="1" applyFont="1" applyFill="1" applyBorder="1" applyAlignment="1">
      <alignment horizontal="center"/>
    </xf>
    <xf numFmtId="4" fontId="9" fillId="0" borderId="15" xfId="0" applyNumberFormat="1" applyFont="1" applyFill="1" applyBorder="1" applyAlignment="1">
      <alignment horizontal="center" wrapText="1"/>
    </xf>
    <xf numFmtId="4" fontId="13" fillId="0" borderId="27" xfId="34" applyNumberFormat="1" applyFont="1" applyFill="1" applyBorder="1" applyAlignment="1">
      <alignment horizontal="center" vertical="center" wrapText="1"/>
      <protection/>
    </xf>
    <xf numFmtId="2" fontId="9" fillId="34" borderId="11" xfId="0" applyNumberFormat="1" applyFont="1" applyFill="1" applyBorder="1" applyAlignment="1">
      <alignment horizontal="center"/>
    </xf>
    <xf numFmtId="0" fontId="13" fillId="0" borderId="27" xfId="0" applyFont="1" applyBorder="1" applyAlignment="1">
      <alignment wrapText="1"/>
    </xf>
    <xf numFmtId="0" fontId="13" fillId="36" borderId="28" xfId="0" applyFont="1" applyFill="1" applyBorder="1" applyAlignment="1">
      <alignment/>
    </xf>
    <xf numFmtId="0" fontId="13" fillId="0" borderId="11" xfId="0" applyFont="1" applyBorder="1" applyAlignment="1">
      <alignment wrapText="1"/>
    </xf>
    <xf numFmtId="0" fontId="13" fillId="0" borderId="25" xfId="0" applyFont="1" applyBorder="1" applyAlignment="1">
      <alignment wrapText="1"/>
    </xf>
    <xf numFmtId="4" fontId="9" fillId="34" borderId="11" xfId="0" applyNumberFormat="1" applyFont="1" applyFill="1" applyBorder="1" applyAlignment="1">
      <alignment horizontal="center"/>
    </xf>
    <xf numFmtId="43" fontId="9" fillId="35" borderId="11" xfId="0" applyNumberFormat="1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3" fontId="9" fillId="35" borderId="11" xfId="0" applyNumberFormat="1" applyFont="1" applyFill="1" applyBorder="1" applyAlignment="1">
      <alignment horizontal="center"/>
    </xf>
    <xf numFmtId="0" fontId="13" fillId="0" borderId="26" xfId="0" applyFont="1" applyBorder="1" applyAlignment="1">
      <alignment wrapText="1"/>
    </xf>
    <xf numFmtId="0" fontId="13" fillId="0" borderId="62" xfId="0" applyFont="1" applyBorder="1" applyAlignment="1">
      <alignment wrapText="1"/>
    </xf>
    <xf numFmtId="0" fontId="13" fillId="36" borderId="15" xfId="0" applyFont="1" applyFill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4" fontId="0" fillId="0" borderId="46" xfId="0" applyNumberFormat="1" applyFont="1" applyFill="1" applyBorder="1" applyAlignment="1">
      <alignment horizontal="right"/>
    </xf>
    <xf numFmtId="0" fontId="1" fillId="0" borderId="43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4" fontId="0" fillId="0" borderId="13" xfId="0" applyNumberFormat="1" applyFont="1" applyBorder="1" applyAlignment="1">
      <alignment horizontal="center"/>
    </xf>
    <xf numFmtId="4" fontId="0" fillId="35" borderId="60" xfId="0" applyNumberFormat="1" applyFont="1" applyFill="1" applyBorder="1" applyAlignment="1">
      <alignment/>
    </xf>
    <xf numFmtId="4" fontId="0" fillId="34" borderId="48" xfId="0" applyNumberFormat="1" applyFill="1" applyBorder="1" applyAlignment="1">
      <alignment horizontal="right"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6" borderId="15" xfId="0" applyFont="1" applyFill="1" applyBorder="1" applyAlignment="1">
      <alignment wrapText="1"/>
    </xf>
    <xf numFmtId="4" fontId="9" fillId="0" borderId="13" xfId="0" applyNumberFormat="1" applyFont="1" applyFill="1" applyBorder="1" applyAlignment="1">
      <alignment/>
    </xf>
    <xf numFmtId="4" fontId="2" fillId="34" borderId="48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 wrapText="1"/>
    </xf>
    <xf numFmtId="4" fontId="2" fillId="0" borderId="26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0" fillId="0" borderId="29" xfId="0" applyFont="1" applyFill="1" applyBorder="1" applyAlignment="1">
      <alignment/>
    </xf>
    <xf numFmtId="4" fontId="0" fillId="0" borderId="34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 vertical="center" wrapText="1"/>
    </xf>
    <xf numFmtId="4" fontId="0" fillId="0" borderId="30" xfId="0" applyNumberFormat="1" applyFont="1" applyFill="1" applyBorder="1" applyAlignment="1">
      <alignment horizontal="right" vertical="center" wrapText="1"/>
    </xf>
    <xf numFmtId="4" fontId="2" fillId="34" borderId="48" xfId="0" applyNumberFormat="1" applyFont="1" applyFill="1" applyBorder="1" applyAlignment="1">
      <alignment horizontal="right" wrapText="1"/>
    </xf>
    <xf numFmtId="164" fontId="2" fillId="33" borderId="11" xfId="0" applyNumberFormat="1" applyFont="1" applyFill="1" applyBorder="1" applyAlignment="1">
      <alignment/>
    </xf>
    <xf numFmtId="4" fontId="9" fillId="0" borderId="11" xfId="0" applyNumberFormat="1" applyFont="1" applyFill="1" applyBorder="1" applyAlignment="1">
      <alignment horizontal="center"/>
    </xf>
    <xf numFmtId="0" fontId="14" fillId="0" borderId="11" xfId="0" applyFont="1" applyBorder="1" applyAlignment="1">
      <alignment wrapText="1"/>
    </xf>
    <xf numFmtId="0" fontId="14" fillId="0" borderId="26" xfId="0" applyFont="1" applyBorder="1" applyAlignment="1">
      <alignment wrapText="1"/>
    </xf>
    <xf numFmtId="4" fontId="1" fillId="0" borderId="22" xfId="0" applyNumberFormat="1" applyFont="1" applyFill="1" applyBorder="1" applyAlignment="1">
      <alignment/>
    </xf>
    <xf numFmtId="4" fontId="1" fillId="39" borderId="0" xfId="0" applyNumberFormat="1" applyFont="1" applyFill="1" applyBorder="1" applyAlignment="1">
      <alignment horizontal="right"/>
    </xf>
    <xf numFmtId="4" fontId="0" fillId="39" borderId="0" xfId="0" applyNumberFormat="1" applyFont="1" applyFill="1" applyBorder="1" applyAlignment="1">
      <alignment/>
    </xf>
    <xf numFmtId="0" fontId="1" fillId="39" borderId="0" xfId="0" applyFont="1" applyFill="1" applyBorder="1" applyAlignment="1">
      <alignment/>
    </xf>
    <xf numFmtId="4" fontId="1" fillId="39" borderId="0" xfId="0" applyNumberFormat="1" applyFont="1" applyFill="1" applyBorder="1" applyAlignment="1">
      <alignment/>
    </xf>
    <xf numFmtId="0" fontId="0" fillId="39" borderId="0" xfId="0" applyFont="1" applyFill="1" applyBorder="1" applyAlignment="1">
      <alignment/>
    </xf>
    <xf numFmtId="4" fontId="1" fillId="0" borderId="55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4" fontId="2" fillId="36" borderId="15" xfId="0" applyNumberFormat="1" applyFont="1" applyFill="1" applyBorder="1" applyAlignment="1">
      <alignment wrapText="1"/>
    </xf>
    <xf numFmtId="4" fontId="0" fillId="34" borderId="13" xfId="0" applyNumberFormat="1" applyFont="1" applyFill="1" applyBorder="1" applyAlignment="1">
      <alignment horizontal="center"/>
    </xf>
    <xf numFmtId="0" fontId="9" fillId="39" borderId="0" xfId="0" applyFont="1" applyFill="1" applyBorder="1" applyAlignment="1">
      <alignment horizontal="center"/>
    </xf>
    <xf numFmtId="0" fontId="0" fillId="39" borderId="0" xfId="0" applyFont="1" applyFill="1" applyBorder="1" applyAlignment="1">
      <alignment horizontal="center"/>
    </xf>
    <xf numFmtId="4" fontId="9" fillId="39" borderId="0" xfId="0" applyNumberFormat="1" applyFont="1" applyFill="1" applyBorder="1" applyAlignment="1">
      <alignment/>
    </xf>
    <xf numFmtId="43" fontId="9" fillId="39" borderId="0" xfId="0" applyNumberFormat="1" applyFont="1" applyFill="1" applyBorder="1" applyAlignment="1">
      <alignment horizontal="center"/>
    </xf>
    <xf numFmtId="164" fontId="2" fillId="33" borderId="11" xfId="0" applyNumberFormat="1" applyFont="1" applyFill="1" applyBorder="1" applyAlignment="1">
      <alignment horizontal="right"/>
    </xf>
    <xf numFmtId="2" fontId="9" fillId="33" borderId="11" xfId="0" applyNumberFormat="1" applyFont="1" applyFill="1" applyBorder="1" applyAlignment="1">
      <alignment horizontal="center"/>
    </xf>
    <xf numFmtId="4" fontId="0" fillId="40" borderId="15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4" borderId="63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2" fontId="1" fillId="0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43" xfId="0" applyNumberFormat="1" applyFont="1" applyFill="1" applyBorder="1" applyAlignment="1">
      <alignment horizontal="center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0" fontId="1" fillId="34" borderId="63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6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63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33" borderId="63" xfId="0" applyFont="1" applyFill="1" applyBorder="1" applyAlignment="1">
      <alignment horizontal="center"/>
    </xf>
    <xf numFmtId="2" fontId="1" fillId="35" borderId="39" xfId="0" applyNumberFormat="1" applyFont="1" applyFill="1" applyBorder="1" applyAlignment="1">
      <alignment horizontal="center" vertical="center" wrapText="1"/>
    </xf>
    <xf numFmtId="2" fontId="1" fillId="35" borderId="0" xfId="0" applyNumberFormat="1" applyFont="1" applyFill="1" applyBorder="1" applyAlignment="1">
      <alignment horizontal="center" vertical="center" wrapText="1"/>
    </xf>
    <xf numFmtId="2" fontId="1" fillId="35" borderId="18" xfId="0" applyNumberFormat="1" applyFont="1" applyFill="1" applyBorder="1" applyAlignment="1">
      <alignment horizontal="center" vertical="center" wrapText="1"/>
    </xf>
    <xf numFmtId="2" fontId="1" fillId="37" borderId="34" xfId="0" applyNumberFormat="1" applyFont="1" applyFill="1" applyBorder="1" applyAlignment="1">
      <alignment horizontal="center" vertical="center" wrapText="1"/>
    </xf>
    <xf numFmtId="2" fontId="1" fillId="37" borderId="51" xfId="0" applyNumberFormat="1" applyFont="1" applyFill="1" applyBorder="1" applyAlignment="1">
      <alignment horizontal="center" vertical="center" wrapText="1"/>
    </xf>
    <xf numFmtId="2" fontId="1" fillId="37" borderId="43" xfId="0" applyNumberFormat="1" applyFont="1" applyFill="1" applyBorder="1" applyAlignment="1">
      <alignment horizontal="center" vertical="center" wrapText="1"/>
    </xf>
    <xf numFmtId="2" fontId="1" fillId="37" borderId="50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34" borderId="67" xfId="0" applyNumberFormat="1" applyFont="1" applyFill="1" applyBorder="1" applyAlignment="1">
      <alignment horizontal="center" vertical="center" wrapText="1"/>
    </xf>
    <xf numFmtId="2" fontId="1" fillId="34" borderId="59" xfId="0" applyNumberFormat="1" applyFont="1" applyFill="1" applyBorder="1" applyAlignment="1">
      <alignment horizontal="center" vertical="center" wrapText="1"/>
    </xf>
    <xf numFmtId="2" fontId="1" fillId="34" borderId="51" xfId="0" applyNumberFormat="1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2" fontId="1" fillId="33" borderId="19" xfId="0" applyNumberFormat="1" applyFont="1" applyFill="1" applyBorder="1" applyAlignment="1">
      <alignment horizontal="center" vertical="center" textRotation="90" wrapText="1"/>
    </xf>
    <xf numFmtId="2" fontId="1" fillId="33" borderId="71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6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17" xfId="0" applyNumberFormat="1" applyFont="1" applyFill="1" applyBorder="1" applyAlignment="1">
      <alignment horizontal="center" vertical="center" textRotation="90" wrapText="1"/>
    </xf>
    <xf numFmtId="0" fontId="1" fillId="0" borderId="39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7" xfId="0" applyNumberFormat="1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2" fontId="1" fillId="33" borderId="43" xfId="0" applyNumberFormat="1" applyFont="1" applyFill="1" applyBorder="1" applyAlignment="1">
      <alignment horizontal="center" textRotation="90" wrapText="1"/>
    </xf>
    <xf numFmtId="2" fontId="1" fillId="33" borderId="73" xfId="0" applyNumberFormat="1" applyFont="1" applyFill="1" applyBorder="1" applyAlignment="1">
      <alignment horizontal="center" textRotation="90" wrapText="1"/>
    </xf>
    <xf numFmtId="2" fontId="1" fillId="33" borderId="50" xfId="0" applyNumberFormat="1" applyFont="1" applyFill="1" applyBorder="1" applyAlignment="1">
      <alignment horizontal="center" textRotation="90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2" fontId="1" fillId="0" borderId="61" xfId="0" applyNumberFormat="1" applyFont="1" applyFill="1" applyBorder="1" applyAlignment="1">
      <alignment horizontal="center" vertical="center" wrapText="1"/>
    </xf>
    <xf numFmtId="2" fontId="1" fillId="0" borderId="74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center" vertical="center" wrapText="1"/>
    </xf>
    <xf numFmtId="4" fontId="1" fillId="0" borderId="63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34" xfId="0" applyNumberFormat="1" applyFont="1" applyFill="1" applyBorder="1" applyAlignment="1">
      <alignment horizontal="center" vertical="center" textRotation="90" wrapText="1"/>
    </xf>
    <xf numFmtId="4" fontId="1" fillId="0" borderId="74" xfId="0" applyNumberFormat="1" applyFont="1" applyFill="1" applyBorder="1" applyAlignment="1">
      <alignment horizontal="center" vertical="center" textRotation="90" wrapText="1"/>
    </xf>
    <xf numFmtId="4" fontId="1" fillId="0" borderId="26" xfId="0" applyNumberFormat="1" applyFont="1" applyFill="1" applyBorder="1" applyAlignment="1">
      <alignment horizontal="center" vertical="center" textRotation="90" wrapText="1"/>
    </xf>
    <xf numFmtId="4" fontId="1" fillId="0" borderId="30" xfId="0" applyNumberFormat="1" applyFont="1" applyFill="1" applyBorder="1" applyAlignment="1">
      <alignment horizontal="center" vertical="center" textRotation="90" wrapText="1"/>
    </xf>
    <xf numFmtId="4" fontId="1" fillId="0" borderId="68" xfId="0" applyNumberFormat="1" applyFont="1" applyFill="1" applyBorder="1" applyAlignment="1">
      <alignment horizontal="center" vertical="center" textRotation="90" wrapText="1"/>
    </xf>
    <xf numFmtId="4" fontId="1" fillId="0" borderId="28" xfId="0" applyNumberFormat="1" applyFont="1" applyFill="1" applyBorder="1" applyAlignment="1">
      <alignment horizontal="center" vertical="center" textRotation="90" wrapText="1"/>
    </xf>
    <xf numFmtId="4" fontId="1" fillId="0" borderId="33" xfId="0" applyNumberFormat="1" applyFont="1" applyFill="1" applyBorder="1" applyAlignment="1">
      <alignment horizontal="center" vertical="center" textRotation="90" wrapText="1"/>
    </xf>
    <xf numFmtId="0" fontId="1" fillId="33" borderId="0" xfId="0" applyFont="1" applyFill="1" applyBorder="1" applyAlignment="1">
      <alignment horizontal="left"/>
    </xf>
    <xf numFmtId="2" fontId="1" fillId="33" borderId="26" xfId="0" applyNumberFormat="1" applyFont="1" applyFill="1" applyBorder="1" applyAlignment="1">
      <alignment horizontal="center" vertical="center" textRotation="90" wrapText="1"/>
    </xf>
    <xf numFmtId="2" fontId="11" fillId="0" borderId="43" xfId="0" applyNumberFormat="1" applyFont="1" applyFill="1" applyBorder="1" applyAlignment="1">
      <alignment horizontal="center" vertical="center" wrapText="1"/>
    </xf>
    <xf numFmtId="2" fontId="11" fillId="0" borderId="50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75" xfId="0" applyNumberFormat="1" applyFont="1" applyFill="1" applyBorder="1" applyAlignment="1">
      <alignment horizontal="center" vertical="center" wrapText="1"/>
    </xf>
    <xf numFmtId="2" fontId="1" fillId="0" borderId="76" xfId="0" applyNumberFormat="1" applyFont="1" applyFill="1" applyBorder="1" applyAlignment="1">
      <alignment horizontal="center" vertical="center" wrapText="1"/>
    </xf>
    <xf numFmtId="2" fontId="1" fillId="35" borderId="43" xfId="0" applyNumberFormat="1" applyFont="1" applyFill="1" applyBorder="1" applyAlignment="1">
      <alignment horizontal="center" vertical="center" wrapText="1"/>
    </xf>
    <xf numFmtId="2" fontId="1" fillId="35" borderId="50" xfId="0" applyNumberFormat="1" applyFont="1" applyFill="1" applyBorder="1" applyAlignment="1">
      <alignment horizontal="center" vertical="center" wrapText="1"/>
    </xf>
    <xf numFmtId="2" fontId="1" fillId="0" borderId="64" xfId="0" applyNumberFormat="1" applyFont="1" applyFill="1" applyBorder="1" applyAlignment="1">
      <alignment horizontal="center" vertical="center" wrapText="1"/>
    </xf>
    <xf numFmtId="2" fontId="1" fillId="0" borderId="65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vertical="center" wrapText="1"/>
    </xf>
    <xf numFmtId="2" fontId="1" fillId="34" borderId="38" xfId="0" applyNumberFormat="1" applyFont="1" applyFill="1" applyBorder="1" applyAlignment="1">
      <alignment horizontal="center" vertical="center" wrapText="1"/>
    </xf>
    <xf numFmtId="2" fontId="1" fillId="34" borderId="54" xfId="0" applyNumberFormat="1" applyFont="1" applyFill="1" applyBorder="1" applyAlignment="1">
      <alignment horizontal="center" vertical="center" wrapText="1"/>
    </xf>
    <xf numFmtId="2" fontId="1" fillId="34" borderId="68" xfId="0" applyNumberFormat="1" applyFont="1" applyFill="1" applyBorder="1" applyAlignment="1">
      <alignment horizontal="center" vertical="center" wrapText="1"/>
    </xf>
    <xf numFmtId="2" fontId="1" fillId="34" borderId="69" xfId="0" applyNumberFormat="1" applyFont="1" applyFill="1" applyBorder="1" applyAlignment="1">
      <alignment horizontal="center" vertical="center" wrapText="1"/>
    </xf>
    <xf numFmtId="2" fontId="1" fillId="34" borderId="64" xfId="0" applyNumberFormat="1" applyFont="1" applyFill="1" applyBorder="1" applyAlignment="1">
      <alignment horizontal="center" vertical="center" wrapText="1"/>
    </xf>
    <xf numFmtId="2" fontId="1" fillId="34" borderId="65" xfId="0" applyNumberFormat="1" applyFont="1" applyFill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 wrapText="1"/>
    </xf>
    <xf numFmtId="2" fontId="1" fillId="0" borderId="69" xfId="0" applyNumberFormat="1" applyFont="1" applyFill="1" applyBorder="1" applyAlignment="1">
      <alignment horizontal="center" vertical="center" wrapText="1"/>
    </xf>
    <xf numFmtId="2" fontId="1" fillId="0" borderId="67" xfId="0" applyNumberFormat="1" applyFont="1" applyBorder="1" applyAlignment="1">
      <alignment horizontal="center" vertical="center" wrapText="1"/>
    </xf>
    <xf numFmtId="2" fontId="1" fillId="0" borderId="51" xfId="0" applyNumberFormat="1" applyFont="1" applyBorder="1" applyAlignment="1">
      <alignment horizontal="center" vertical="center" wrapText="1"/>
    </xf>
    <xf numFmtId="2" fontId="1" fillId="0" borderId="77" xfId="0" applyNumberFormat="1" applyFont="1" applyBorder="1" applyAlignment="1">
      <alignment horizontal="center" vertical="center" wrapText="1"/>
    </xf>
    <xf numFmtId="2" fontId="1" fillId="0" borderId="55" xfId="0" applyNumberFormat="1" applyFont="1" applyBorder="1" applyAlignment="1">
      <alignment horizontal="center" vertical="center" wrapText="1"/>
    </xf>
    <xf numFmtId="0" fontId="1" fillId="38" borderId="39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0" fontId="1" fillId="38" borderId="18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textRotation="90"/>
    </xf>
    <xf numFmtId="0" fontId="1" fillId="0" borderId="50" xfId="0" applyFont="1" applyFill="1" applyBorder="1" applyAlignment="1">
      <alignment horizontal="center" textRotation="90"/>
    </xf>
    <xf numFmtId="0" fontId="1" fillId="0" borderId="3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72" xfId="0" applyFont="1" applyFill="1" applyBorder="1" applyAlignment="1">
      <alignment horizontal="center"/>
    </xf>
    <xf numFmtId="2" fontId="10" fillId="0" borderId="43" xfId="0" applyNumberFormat="1" applyFont="1" applyFill="1" applyBorder="1" applyAlignment="1">
      <alignment horizontal="center" vertical="center" wrapText="1"/>
    </xf>
    <xf numFmtId="2" fontId="10" fillId="0" borderId="73" xfId="0" applyNumberFormat="1" applyFont="1" applyFill="1" applyBorder="1" applyAlignment="1">
      <alignment horizontal="center" vertical="center" wrapText="1"/>
    </xf>
    <xf numFmtId="2" fontId="10" fillId="0" borderId="50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70" xfId="0" applyNumberFormat="1" applyFont="1" applyBorder="1" applyAlignment="1">
      <alignment horizontal="center" vertical="center" wrapText="1"/>
    </xf>
    <xf numFmtId="2" fontId="1" fillId="0" borderId="54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72" xfId="0" applyNumberFormat="1" applyFont="1" applyBorder="1" applyAlignment="1">
      <alignment horizontal="center" vertical="center" wrapText="1"/>
    </xf>
    <xf numFmtId="0" fontId="1" fillId="38" borderId="38" xfId="0" applyFont="1" applyFill="1" applyBorder="1" applyAlignment="1">
      <alignment horizontal="center" vertical="center" wrapText="1"/>
    </xf>
    <xf numFmtId="0" fontId="1" fillId="38" borderId="58" xfId="0" applyFont="1" applyFill="1" applyBorder="1" applyAlignment="1">
      <alignment horizontal="center" vertical="center" wrapText="1"/>
    </xf>
    <xf numFmtId="0" fontId="1" fillId="38" borderId="54" xfId="0" applyFont="1" applyFill="1" applyBorder="1" applyAlignment="1">
      <alignment horizontal="center" vertical="center" wrapText="1"/>
    </xf>
    <xf numFmtId="0" fontId="1" fillId="36" borderId="43" xfId="0" applyFont="1" applyFill="1" applyBorder="1" applyAlignment="1">
      <alignment horizontal="center" textRotation="90"/>
    </xf>
    <xf numFmtId="0" fontId="1" fillId="36" borderId="50" xfId="0" applyFont="1" applyFill="1" applyBorder="1" applyAlignment="1">
      <alignment horizontal="center" textRotation="90"/>
    </xf>
    <xf numFmtId="4" fontId="1" fillId="0" borderId="43" xfId="0" applyNumberFormat="1" applyFont="1" applyFill="1" applyBorder="1" applyAlignment="1">
      <alignment horizontal="center" vertical="center" wrapText="1"/>
    </xf>
    <xf numFmtId="4" fontId="1" fillId="0" borderId="73" xfId="0" applyNumberFormat="1" applyFont="1" applyFill="1" applyBorder="1" applyAlignment="1">
      <alignment horizontal="center" vertical="center" wrapText="1"/>
    </xf>
    <xf numFmtId="4" fontId="1" fillId="0" borderId="40" xfId="0" applyNumberFormat="1" applyFont="1" applyFill="1" applyBorder="1" applyAlignment="1">
      <alignment horizontal="center" vertical="center" wrapText="1"/>
    </xf>
    <xf numFmtId="4" fontId="1" fillId="0" borderId="70" xfId="0" applyNumberFormat="1" applyFont="1" applyFill="1" applyBorder="1" applyAlignment="1">
      <alignment horizontal="center" vertical="center" wrapText="1"/>
    </xf>
    <xf numFmtId="4" fontId="1" fillId="34" borderId="43" xfId="0" applyNumberFormat="1" applyFont="1" applyFill="1" applyBorder="1" applyAlignment="1">
      <alignment horizontal="center" vertical="center" wrapText="1"/>
    </xf>
    <xf numFmtId="4" fontId="1" fillId="34" borderId="7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2" fontId="1" fillId="0" borderId="33" xfId="0" applyNumberFormat="1" applyFont="1" applyFill="1" applyBorder="1" applyAlignment="1">
      <alignment horizontal="center" vertical="center" textRotation="90" wrapText="1"/>
    </xf>
    <xf numFmtId="2" fontId="1" fillId="0" borderId="50" xfId="0" applyNumberFormat="1" applyFont="1" applyFill="1" applyBorder="1" applyAlignment="1">
      <alignment horizontal="center" vertical="center" textRotation="90" wrapText="1"/>
    </xf>
    <xf numFmtId="4" fontId="1" fillId="0" borderId="61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9" xfId="0" applyNumberFormat="1" applyFont="1" applyFill="1" applyBorder="1" applyAlignment="1">
      <alignment horizontal="center" vertical="center" textRotation="90" wrapText="1"/>
    </xf>
    <xf numFmtId="0" fontId="1" fillId="0" borderId="7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textRotation="90" wrapText="1"/>
    </xf>
    <xf numFmtId="2" fontId="1" fillId="0" borderId="51" xfId="0" applyNumberFormat="1" applyFont="1" applyFill="1" applyBorder="1" applyAlignment="1">
      <alignment horizontal="center" vertical="center" textRotation="90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41" xfId="0" applyNumberFormat="1" applyFont="1" applyFill="1" applyBorder="1" applyAlignment="1">
      <alignment horizontal="center" vertical="center" textRotation="90" wrapText="1"/>
    </xf>
    <xf numFmtId="2" fontId="1" fillId="0" borderId="29" xfId="0" applyNumberFormat="1" applyFont="1" applyFill="1" applyBorder="1" applyAlignment="1">
      <alignment horizontal="center" vertical="center" textRotation="90" wrapText="1"/>
    </xf>
    <xf numFmtId="2" fontId="1" fillId="0" borderId="53" xfId="0" applyNumberFormat="1" applyFont="1" applyFill="1" applyBorder="1" applyAlignment="1">
      <alignment horizontal="center" vertical="center" textRotation="90" wrapText="1"/>
    </xf>
    <xf numFmtId="0" fontId="1" fillId="0" borderId="38" xfId="0" applyFont="1" applyFill="1" applyBorder="1" applyAlignment="1">
      <alignment horizontal="center" wrapText="1"/>
    </xf>
    <xf numFmtId="0" fontId="1" fillId="0" borderId="40" xfId="0" applyFont="1" applyFill="1" applyBorder="1" applyAlignment="1">
      <alignment horizontal="center" wrapText="1"/>
    </xf>
    <xf numFmtId="0" fontId="1" fillId="0" borderId="62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2" fontId="1" fillId="0" borderId="58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70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4" fontId="1" fillId="0" borderId="74" xfId="0" applyNumberFormat="1" applyFont="1" applyFill="1" applyBorder="1" applyAlignment="1">
      <alignment horizontal="left" wrapText="1"/>
    </xf>
    <xf numFmtId="4" fontId="1" fillId="0" borderId="78" xfId="0" applyNumberFormat="1" applyFont="1" applyFill="1" applyBorder="1" applyAlignment="1">
      <alignment horizontal="left" wrapText="1"/>
    </xf>
    <xf numFmtId="4" fontId="1" fillId="0" borderId="64" xfId="0" applyNumberFormat="1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2" fontId="0" fillId="0" borderId="27" xfId="0" applyNumberFormat="1" applyFont="1" applyFill="1" applyBorder="1" applyAlignment="1">
      <alignment horizontal="center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51;&#1048;&#1062;%20&#1057;&#1063;&#1045;&#1058;&#1040;%20&#1085;&#1077;&#1078;&#1080;&#1083;%20&#1087;&#1086;&#1084;%202009%20&#1075;&#1086;&#1076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18%20&#1087;&#1072;&#1088;&#1090;&#1089;&#1098;&#1077;&#1079;&#1076;,%2019%20&#1089;%202010%20&#1075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57;&#1087;&#1088;&#1072;&#1074;&#1082;&#1080;%20&#1082;%20&#1083;&#1080;&#1094;&#1077;&#1074;&#1099;&#1084;%20&#1089;&#1095;&#1077;&#1090;&#1072;&#1084;%2020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Desktop\Victoria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&#1083;&#1080;&#1094;.&#1089;&#1095;&#1077;&#1090;&#1072;%20&#1085;&#1077;&#1078;&#1080;&#1083;.%20&#1087;&#1086;&#1084;.%20201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56;&#1072;&#1073;&#1086;&#1090;&#1072;\&#1083;&#1080;&#1094;.&#1089;&#1095;&#1077;&#1090;&#1072;%20&#1085;&#1077;&#1078;&#1080;&#1083;.%20&#1087;&#1086;&#1084;.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1-3&#1082;&#1074;%20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101;&#1082;&#1089;&#1077;&#1083;&#1100;\&#1083;&#1089;&#1095;&#1077;&#1090;%20&#1085;&#1077;&#1078;&#1080;&#1083;%20&#1087;&#1086;&#108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4&#1082;&#1074;%20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1%20&#1082;&#1074;.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0%20&#1075;&#1086;&#1076;\&#1083;&#1089;&#1095;&#1077;&#1090;&#1072;%20&#1085;&#1077;&#1078;&#1080;&#1083;%20&#1087;&#1086;&#1084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&#1055;&#1086;&#1089;&#1087;&#1077;&#1083;&#1086;&#1074;&#1072;,%2013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0">
        <row r="4">
          <cell r="I4">
            <v>3602.25382</v>
          </cell>
        </row>
        <row r="11">
          <cell r="I11">
            <v>2736.5627799999997</v>
          </cell>
        </row>
        <row r="16">
          <cell r="I16">
            <v>5418.855708</v>
          </cell>
        </row>
      </sheetData>
      <sheetData sheetId="1">
        <row r="4">
          <cell r="I4">
            <v>3602.25382</v>
          </cell>
        </row>
        <row r="11">
          <cell r="I11">
            <v>2736.5627799999997</v>
          </cell>
        </row>
        <row r="16">
          <cell r="I16">
            <v>5418.855708</v>
          </cell>
        </row>
      </sheetData>
      <sheetData sheetId="6">
        <row r="4">
          <cell r="I4">
            <v>3602.25382</v>
          </cell>
        </row>
        <row r="12">
          <cell r="I12">
            <v>2736.5627799999997</v>
          </cell>
        </row>
        <row r="17">
          <cell r="I17">
            <v>5418.855708</v>
          </cell>
        </row>
        <row r="43">
          <cell r="I43">
            <v>6326.72222</v>
          </cell>
        </row>
        <row r="50">
          <cell r="I50">
            <v>1625.8984</v>
          </cell>
        </row>
        <row r="89">
          <cell r="I89">
            <v>763.91784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AY44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0">
        <row r="4">
          <cell r="I4">
            <v>3600.342</v>
          </cell>
          <cell r="R4">
            <v>2593.689</v>
          </cell>
        </row>
        <row r="11">
          <cell r="I11">
            <v>2735.118</v>
          </cell>
          <cell r="R11">
            <v>1970.381</v>
          </cell>
        </row>
        <row r="16">
          <cell r="I16">
            <v>5415.9848</v>
          </cell>
          <cell r="R16">
            <v>3901.6866</v>
          </cell>
        </row>
        <row r="43">
          <cell r="I43">
            <v>6323.382</v>
          </cell>
          <cell r="R43">
            <v>4555.369</v>
          </cell>
        </row>
        <row r="50">
          <cell r="I50">
            <v>1625.04</v>
          </cell>
          <cell r="R50">
            <v>1170.68</v>
          </cell>
        </row>
        <row r="93">
          <cell r="I93">
            <v>763.224</v>
          </cell>
          <cell r="R93">
            <v>465.10800000000006</v>
          </cell>
        </row>
        <row r="94">
          <cell r="I94">
            <v>900.36</v>
          </cell>
          <cell r="R94">
            <v>648.62</v>
          </cell>
        </row>
        <row r="147">
          <cell r="I147">
            <v>100</v>
          </cell>
          <cell r="R147">
            <v>25</v>
          </cell>
        </row>
      </sheetData>
      <sheetData sheetId="1">
        <row r="4">
          <cell r="J4">
            <v>3600.342</v>
          </cell>
          <cell r="S4">
            <v>2593.689</v>
          </cell>
        </row>
        <row r="11">
          <cell r="J11">
            <v>2735.118</v>
          </cell>
          <cell r="S11">
            <v>1970.381</v>
          </cell>
        </row>
        <row r="16">
          <cell r="J16">
            <v>5415.9948</v>
          </cell>
          <cell r="S16">
            <v>3901.6866</v>
          </cell>
        </row>
        <row r="43">
          <cell r="J43">
            <v>6323.382</v>
          </cell>
          <cell r="S43">
            <v>4555.369</v>
          </cell>
        </row>
        <row r="50">
          <cell r="J50">
            <v>1625.04</v>
          </cell>
          <cell r="S50">
            <v>1170.68</v>
          </cell>
        </row>
        <row r="93">
          <cell r="J93">
            <v>763.224</v>
          </cell>
          <cell r="S93">
            <v>465.10800000000006</v>
          </cell>
        </row>
        <row r="94">
          <cell r="J94">
            <v>900.36</v>
          </cell>
          <cell r="S94">
            <v>648.62</v>
          </cell>
        </row>
        <row r="148">
          <cell r="S148">
            <v>25</v>
          </cell>
        </row>
        <row r="149">
          <cell r="J149">
            <v>100</v>
          </cell>
        </row>
      </sheetData>
      <sheetData sheetId="2">
        <row r="4">
          <cell r="J4">
            <v>3600.342</v>
          </cell>
          <cell r="S4">
            <v>2593.689</v>
          </cell>
        </row>
        <row r="11">
          <cell r="J11">
            <v>2735.118</v>
          </cell>
          <cell r="S11">
            <v>1970.381</v>
          </cell>
        </row>
        <row r="16">
          <cell r="J16">
            <v>5415.9948</v>
          </cell>
          <cell r="S16">
            <v>3901.6866</v>
          </cell>
        </row>
        <row r="43">
          <cell r="J43">
            <v>6323.382</v>
          </cell>
          <cell r="S43">
            <v>4555.369</v>
          </cell>
        </row>
        <row r="50">
          <cell r="J50">
            <v>1625.04</v>
          </cell>
          <cell r="S50">
            <v>1170.68</v>
          </cell>
        </row>
        <row r="93">
          <cell r="J93">
            <v>763.224</v>
          </cell>
          <cell r="S93">
            <v>465.10800000000006</v>
          </cell>
        </row>
        <row r="94">
          <cell r="J94">
            <v>900.36</v>
          </cell>
          <cell r="S94">
            <v>648.62</v>
          </cell>
        </row>
        <row r="149">
          <cell r="J149">
            <v>100</v>
          </cell>
          <cell r="S149">
            <v>25</v>
          </cell>
        </row>
      </sheetData>
      <sheetData sheetId="3">
        <row r="4">
          <cell r="S4">
            <v>2593.689</v>
          </cell>
        </row>
        <row r="11">
          <cell r="S11">
            <v>1970.381</v>
          </cell>
        </row>
        <row r="16">
          <cell r="S16">
            <v>3901.6866</v>
          </cell>
        </row>
        <row r="43">
          <cell r="S43">
            <v>4555.369</v>
          </cell>
        </row>
        <row r="50">
          <cell r="S50">
            <v>1170.68</v>
          </cell>
        </row>
        <row r="94">
          <cell r="S94">
            <v>465.10800000000006</v>
          </cell>
        </row>
        <row r="95">
          <cell r="S95">
            <v>648.62</v>
          </cell>
        </row>
        <row r="151">
          <cell r="S151">
            <v>25</v>
          </cell>
        </row>
      </sheetData>
      <sheetData sheetId="4">
        <row r="4">
          <cell r="J4">
            <v>3600.342</v>
          </cell>
          <cell r="S4">
            <v>2593.689</v>
          </cell>
        </row>
        <row r="11">
          <cell r="J11">
            <v>2735.118</v>
          </cell>
          <cell r="S11">
            <v>1970.381</v>
          </cell>
        </row>
        <row r="16">
          <cell r="J16">
            <v>5415.9948</v>
          </cell>
          <cell r="S16">
            <v>3901.6866</v>
          </cell>
        </row>
        <row r="43">
          <cell r="J43">
            <v>6323.382</v>
          </cell>
          <cell r="S43">
            <v>4555.369</v>
          </cell>
        </row>
        <row r="50">
          <cell r="J50">
            <v>1625.04</v>
          </cell>
          <cell r="S50">
            <v>1170.68</v>
          </cell>
        </row>
        <row r="92">
          <cell r="J92">
            <v>763.224</v>
          </cell>
          <cell r="S92">
            <v>465.10800000000006</v>
          </cell>
        </row>
        <row r="93">
          <cell r="J93">
            <v>900.36</v>
          </cell>
          <cell r="S93">
            <v>648.62</v>
          </cell>
        </row>
        <row r="149">
          <cell r="J149">
            <v>100</v>
          </cell>
          <cell r="S149">
            <v>25</v>
          </cell>
        </row>
        <row r="204">
          <cell r="J204">
            <v>114</v>
          </cell>
          <cell r="S204">
            <v>28.5</v>
          </cell>
        </row>
      </sheetData>
      <sheetData sheetId="5">
        <row r="4">
          <cell r="J4">
            <v>3600.342</v>
          </cell>
          <cell r="S4">
            <v>2593.689</v>
          </cell>
        </row>
        <row r="11">
          <cell r="J11">
            <v>2735.118</v>
          </cell>
          <cell r="S11">
            <v>1970.381</v>
          </cell>
        </row>
        <row r="16">
          <cell r="J16">
            <v>5415.9948</v>
          </cell>
          <cell r="S16">
            <v>3901.6866</v>
          </cell>
        </row>
        <row r="43">
          <cell r="J43">
            <v>6323.382</v>
          </cell>
          <cell r="S43">
            <v>4555.369</v>
          </cell>
        </row>
        <row r="50">
          <cell r="J50">
            <v>1625.04</v>
          </cell>
          <cell r="S50">
            <v>1170.68</v>
          </cell>
        </row>
        <row r="92">
          <cell r="J92">
            <v>763.224</v>
          </cell>
          <cell r="S92">
            <v>465.10800000000006</v>
          </cell>
        </row>
        <row r="93">
          <cell r="J93">
            <v>900.36</v>
          </cell>
          <cell r="S93">
            <v>648.62</v>
          </cell>
        </row>
        <row r="149">
          <cell r="J149">
            <v>100</v>
          </cell>
          <cell r="S149">
            <v>25</v>
          </cell>
        </row>
        <row r="204">
          <cell r="J204">
            <v>114</v>
          </cell>
          <cell r="S204">
            <v>28.5</v>
          </cell>
        </row>
      </sheetData>
      <sheetData sheetId="6">
        <row r="4">
          <cell r="J4">
            <v>3600.342</v>
          </cell>
          <cell r="S4">
            <v>2593.689</v>
          </cell>
        </row>
        <row r="11">
          <cell r="J11">
            <v>2735.118</v>
          </cell>
          <cell r="S11">
            <v>1970.381</v>
          </cell>
        </row>
        <row r="16">
          <cell r="J16">
            <v>5415.9948</v>
          </cell>
          <cell r="S16">
            <v>3901.6866</v>
          </cell>
        </row>
        <row r="43">
          <cell r="J43">
            <v>6323.382</v>
          </cell>
          <cell r="S43">
            <v>4555.369</v>
          </cell>
        </row>
        <row r="50">
          <cell r="J50">
            <v>1625.04</v>
          </cell>
          <cell r="S50">
            <v>1170.68</v>
          </cell>
        </row>
        <row r="92">
          <cell r="J92">
            <v>763.224</v>
          </cell>
          <cell r="S92">
            <v>465.10800000000006</v>
          </cell>
        </row>
        <row r="93">
          <cell r="J93">
            <v>900.36</v>
          </cell>
          <cell r="S93">
            <v>648.62</v>
          </cell>
        </row>
        <row r="153">
          <cell r="J153">
            <v>100</v>
          </cell>
          <cell r="S153">
            <v>25</v>
          </cell>
        </row>
        <row r="208">
          <cell r="J208">
            <v>114</v>
          </cell>
          <cell r="S208">
            <v>28.5</v>
          </cell>
        </row>
      </sheetData>
      <sheetData sheetId="7">
        <row r="4">
          <cell r="J4">
            <v>3600.342</v>
          </cell>
          <cell r="S4">
            <v>2593.689</v>
          </cell>
        </row>
        <row r="11">
          <cell r="J11">
            <v>2735.118</v>
          </cell>
          <cell r="S11">
            <v>1970.381</v>
          </cell>
        </row>
        <row r="16">
          <cell r="J16">
            <v>5415.9948</v>
          </cell>
          <cell r="S16">
            <v>3901.6866</v>
          </cell>
        </row>
        <row r="43">
          <cell r="J43">
            <v>6323.382</v>
          </cell>
          <cell r="S43">
            <v>4555.369</v>
          </cell>
        </row>
        <row r="50">
          <cell r="J50">
            <v>1625.04</v>
          </cell>
          <cell r="S50">
            <v>1170.68</v>
          </cell>
        </row>
        <row r="92">
          <cell r="J92">
            <v>763.224</v>
          </cell>
          <cell r="S92">
            <v>465.10800000000006</v>
          </cell>
        </row>
        <row r="93">
          <cell r="J93">
            <v>900.36</v>
          </cell>
          <cell r="S93">
            <v>648.62</v>
          </cell>
        </row>
        <row r="157">
          <cell r="J157">
            <v>100</v>
          </cell>
          <cell r="S157">
            <v>25</v>
          </cell>
        </row>
        <row r="212">
          <cell r="J212">
            <v>114</v>
          </cell>
          <cell r="S212">
            <v>28.5</v>
          </cell>
        </row>
      </sheetData>
      <sheetData sheetId="8">
        <row r="4">
          <cell r="J4">
            <v>3600.342</v>
          </cell>
        </row>
        <row r="11">
          <cell r="J11">
            <v>2735.118</v>
          </cell>
        </row>
        <row r="16">
          <cell r="J16">
            <v>5415.9948</v>
          </cell>
        </row>
        <row r="43">
          <cell r="J43">
            <v>6323.382</v>
          </cell>
        </row>
        <row r="50">
          <cell r="J50">
            <v>1625.04</v>
          </cell>
        </row>
        <row r="92">
          <cell r="J92">
            <v>763.224</v>
          </cell>
        </row>
        <row r="93">
          <cell r="J93">
            <v>900.36</v>
          </cell>
        </row>
        <row r="157">
          <cell r="J157">
            <v>100</v>
          </cell>
        </row>
        <row r="212">
          <cell r="J212">
            <v>114</v>
          </cell>
        </row>
      </sheetData>
      <sheetData sheetId="9">
        <row r="4">
          <cell r="J4">
            <v>3600.342</v>
          </cell>
          <cell r="S4">
            <v>2593.689</v>
          </cell>
        </row>
        <row r="11">
          <cell r="J11">
            <v>2735.118</v>
          </cell>
          <cell r="S11">
            <v>1970.381</v>
          </cell>
        </row>
        <row r="16">
          <cell r="J16">
            <v>5415.9948</v>
          </cell>
          <cell r="S16">
            <v>3901.6866</v>
          </cell>
        </row>
        <row r="43">
          <cell r="J43">
            <v>6323.382</v>
          </cell>
          <cell r="S43">
            <v>4555.369</v>
          </cell>
        </row>
        <row r="50">
          <cell r="J50">
            <v>1625.04</v>
          </cell>
          <cell r="S50">
            <v>1170.68</v>
          </cell>
        </row>
        <row r="92">
          <cell r="J92">
            <v>763.224</v>
          </cell>
          <cell r="S92">
            <v>465.10800000000006</v>
          </cell>
        </row>
        <row r="93">
          <cell r="J93">
            <v>900.36</v>
          </cell>
          <cell r="S93">
            <v>648.62</v>
          </cell>
        </row>
        <row r="157">
          <cell r="J157">
            <v>100</v>
          </cell>
          <cell r="S157">
            <v>25</v>
          </cell>
        </row>
        <row r="212">
          <cell r="J212">
            <v>114</v>
          </cell>
          <cell r="S212">
            <v>28.5</v>
          </cell>
        </row>
      </sheetData>
      <sheetData sheetId="10">
        <row r="4">
          <cell r="J4">
            <v>3600.342</v>
          </cell>
          <cell r="S4">
            <v>2593.689</v>
          </cell>
        </row>
        <row r="11">
          <cell r="J11">
            <v>2735.118</v>
          </cell>
          <cell r="S11">
            <v>1970.381</v>
          </cell>
        </row>
        <row r="16">
          <cell r="J16">
            <v>5415.9948</v>
          </cell>
          <cell r="S16">
            <v>3901.6866</v>
          </cell>
        </row>
        <row r="43">
          <cell r="J43">
            <v>6323.382</v>
          </cell>
          <cell r="S43">
            <v>4555.369</v>
          </cell>
        </row>
        <row r="50">
          <cell r="J50">
            <v>1625.04</v>
          </cell>
          <cell r="S50">
            <v>1170.68</v>
          </cell>
        </row>
        <row r="92">
          <cell r="J92">
            <v>763.224</v>
          </cell>
          <cell r="S92">
            <v>465.10800000000006</v>
          </cell>
        </row>
        <row r="93">
          <cell r="J93">
            <v>900.36</v>
          </cell>
          <cell r="S93">
            <v>648.62</v>
          </cell>
        </row>
        <row r="157">
          <cell r="J157">
            <v>100</v>
          </cell>
          <cell r="S157">
            <v>25</v>
          </cell>
        </row>
        <row r="212">
          <cell r="J212">
            <v>114</v>
          </cell>
          <cell r="S212">
            <v>28.5</v>
          </cell>
        </row>
      </sheetData>
      <sheetData sheetId="11">
        <row r="4">
          <cell r="J4">
            <v>3600.342</v>
          </cell>
          <cell r="S4">
            <v>2593.689</v>
          </cell>
        </row>
        <row r="11">
          <cell r="J11">
            <v>2735.118</v>
          </cell>
          <cell r="S11">
            <v>1970.381</v>
          </cell>
        </row>
        <row r="16">
          <cell r="J16">
            <v>5415.9948</v>
          </cell>
          <cell r="S16">
            <v>3901.6866</v>
          </cell>
        </row>
        <row r="43">
          <cell r="J43">
            <v>6323.382</v>
          </cell>
          <cell r="S43">
            <v>4555.369</v>
          </cell>
        </row>
        <row r="50">
          <cell r="J50">
            <v>1625.04</v>
          </cell>
          <cell r="S50">
            <v>1170.68</v>
          </cell>
        </row>
        <row r="92">
          <cell r="J92">
            <v>763.224</v>
          </cell>
          <cell r="S92">
            <v>465.10800000000006</v>
          </cell>
        </row>
        <row r="93">
          <cell r="J93">
            <v>900.36</v>
          </cell>
          <cell r="S93">
            <v>648.62</v>
          </cell>
        </row>
        <row r="177">
          <cell r="J177">
            <v>100</v>
          </cell>
          <cell r="S177">
            <v>25</v>
          </cell>
        </row>
        <row r="232">
          <cell r="J232">
            <v>114</v>
          </cell>
          <cell r="S232">
            <v>28.5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11"/>
      <sheetName val="февраль 2011"/>
      <sheetName val="март 2011"/>
      <sheetName val="апрель 2011"/>
      <sheetName val="май 2011"/>
      <sheetName val="июнь 2011"/>
      <sheetName val="июль 2011 "/>
      <sheetName val="август"/>
      <sheetName val="сентябрь "/>
      <sheetName val="октябрь"/>
      <sheetName val="ноябрь"/>
      <sheetName val="декабрь"/>
      <sheetName val="Собств.нужды"/>
      <sheetName val="ноябрь (с рсу)"/>
      <sheetName val="декабрь (с рсу)"/>
      <sheetName val="сентябрь"/>
      <sheetName val="сентябрь Шалым"/>
      <sheetName val="октябрь Шалым "/>
      <sheetName val="собств. нужды ООО &quot;Форум&quot;"/>
      <sheetName val="ноябрь Шалым "/>
    </sheetNames>
    <sheetDataSet>
      <sheetData sheetId="2">
        <row r="163">
          <cell r="F163">
            <v>234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</sheetNames>
    <sheetDataSet>
      <sheetData sheetId="3">
        <row r="4">
          <cell r="J4">
            <v>3600.342</v>
          </cell>
        </row>
        <row r="11">
          <cell r="J11">
            <v>2735.118</v>
          </cell>
        </row>
        <row r="16">
          <cell r="J16">
            <v>5415.9948</v>
          </cell>
        </row>
        <row r="43">
          <cell r="J43">
            <v>6323.382</v>
          </cell>
        </row>
        <row r="50">
          <cell r="J50">
            <v>1625.04</v>
          </cell>
        </row>
        <row r="94">
          <cell r="J94">
            <v>763.224</v>
          </cell>
        </row>
        <row r="95">
          <cell r="J95">
            <v>900.36</v>
          </cell>
        </row>
        <row r="151">
          <cell r="J151">
            <v>100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</sheetNames>
    <sheetDataSet>
      <sheetData sheetId="0">
        <row r="64">
          <cell r="J64">
            <v>943.74</v>
          </cell>
          <cell r="S64">
            <v>465.10800000000006</v>
          </cell>
        </row>
        <row r="65">
          <cell r="J65">
            <v>1152.1000000000001</v>
          </cell>
          <cell r="S65">
            <v>648.62</v>
          </cell>
        </row>
        <row r="124">
          <cell r="J124">
            <v>6930.303</v>
          </cell>
          <cell r="S124">
            <v>3901.6866</v>
          </cell>
        </row>
        <row r="126">
          <cell r="J126">
            <v>2079.4</v>
          </cell>
          <cell r="S126">
            <v>1170.68</v>
          </cell>
        </row>
        <row r="134">
          <cell r="J134">
            <v>3499.855</v>
          </cell>
          <cell r="S134">
            <v>1970.381</v>
          </cell>
        </row>
        <row r="139">
          <cell r="J139">
            <v>8091.395</v>
          </cell>
          <cell r="S139">
            <v>4555.369</v>
          </cell>
        </row>
        <row r="144">
          <cell r="J144">
            <v>4606.995</v>
          </cell>
          <cell r="S144">
            <v>2593.689</v>
          </cell>
        </row>
        <row r="179">
          <cell r="J179">
            <v>100</v>
          </cell>
          <cell r="S179">
            <v>25</v>
          </cell>
        </row>
        <row r="234">
          <cell r="J234">
            <v>114</v>
          </cell>
          <cell r="S234">
            <v>28.5</v>
          </cell>
        </row>
      </sheetData>
      <sheetData sheetId="2">
        <row r="62">
          <cell r="J62">
            <v>943.74</v>
          </cell>
          <cell r="S62">
            <v>465.10800000000006</v>
          </cell>
        </row>
        <row r="63">
          <cell r="J63">
            <v>1152.1000000000001</v>
          </cell>
          <cell r="S63">
            <v>648.62</v>
          </cell>
        </row>
        <row r="125">
          <cell r="J125">
            <v>6930.303</v>
          </cell>
          <cell r="S125">
            <v>3901.6866</v>
          </cell>
        </row>
        <row r="127">
          <cell r="J127">
            <v>2079.4</v>
          </cell>
          <cell r="S127">
            <v>1170.68</v>
          </cell>
        </row>
        <row r="135">
          <cell r="J135">
            <v>5013.045</v>
          </cell>
          <cell r="S135">
            <v>2254.3500000000004</v>
          </cell>
        </row>
        <row r="140">
          <cell r="J140">
            <v>8091.395</v>
          </cell>
          <cell r="S140">
            <v>4555.369</v>
          </cell>
        </row>
        <row r="145">
          <cell r="J145">
            <v>4606.995</v>
          </cell>
          <cell r="S145">
            <v>2593.689</v>
          </cell>
        </row>
        <row r="180">
          <cell r="J180">
            <v>100</v>
          </cell>
          <cell r="S180">
            <v>25</v>
          </cell>
        </row>
        <row r="235">
          <cell r="J235">
            <v>114</v>
          </cell>
          <cell r="S235">
            <v>28.5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</sheetNames>
    <sheetDataSet>
      <sheetData sheetId="2">
        <row r="62">
          <cell r="S62">
            <v>465.10800000000006</v>
          </cell>
        </row>
        <row r="63">
          <cell r="S63">
            <v>648.62</v>
          </cell>
        </row>
        <row r="125">
          <cell r="S125">
            <v>3901.6866</v>
          </cell>
        </row>
        <row r="127">
          <cell r="S127">
            <v>1170.68</v>
          </cell>
        </row>
        <row r="135">
          <cell r="S135">
            <v>2254.3500000000004</v>
          </cell>
        </row>
        <row r="140">
          <cell r="S140">
            <v>4555.369</v>
          </cell>
        </row>
        <row r="145">
          <cell r="S145">
            <v>2593.689</v>
          </cell>
        </row>
        <row r="180">
          <cell r="S180">
            <v>25</v>
          </cell>
        </row>
        <row r="235">
          <cell r="S235">
            <v>28.5</v>
          </cell>
        </row>
      </sheetData>
      <sheetData sheetId="3">
        <row r="62">
          <cell r="J62">
            <v>943.74</v>
          </cell>
        </row>
        <row r="63">
          <cell r="J63">
            <v>1152.1000000000001</v>
          </cell>
        </row>
        <row r="125">
          <cell r="J125">
            <v>6930.303</v>
          </cell>
        </row>
        <row r="127">
          <cell r="J127">
            <v>2079.4</v>
          </cell>
        </row>
        <row r="135">
          <cell r="J135">
            <v>4004.25</v>
          </cell>
        </row>
        <row r="140">
          <cell r="J140">
            <v>8091.395</v>
          </cell>
        </row>
        <row r="145">
          <cell r="J145">
            <v>4606.995</v>
          </cell>
        </row>
        <row r="180">
          <cell r="J180">
            <v>100</v>
          </cell>
        </row>
        <row r="235">
          <cell r="J235">
            <v>114</v>
          </cell>
        </row>
      </sheetData>
      <sheetData sheetId="4">
        <row r="62">
          <cell r="J62">
            <v>943.74</v>
          </cell>
          <cell r="S62">
            <v>465.10800000000006</v>
          </cell>
        </row>
        <row r="63">
          <cell r="J63">
            <v>1152.1000000000001</v>
          </cell>
          <cell r="S63">
            <v>648.62</v>
          </cell>
        </row>
        <row r="125">
          <cell r="J125">
            <v>6930.303</v>
          </cell>
          <cell r="S125">
            <v>3901.6866</v>
          </cell>
        </row>
        <row r="127">
          <cell r="J127">
            <v>2079.4</v>
          </cell>
          <cell r="S127">
            <v>1170.68</v>
          </cell>
        </row>
        <row r="135">
          <cell r="J135">
            <v>4004.25</v>
          </cell>
          <cell r="S135">
            <v>2254.3500000000004</v>
          </cell>
        </row>
        <row r="140">
          <cell r="J140">
            <v>8091.395</v>
          </cell>
          <cell r="S140">
            <v>4555.369</v>
          </cell>
        </row>
        <row r="145">
          <cell r="J145">
            <v>4606.995</v>
          </cell>
          <cell r="S145">
            <v>2593.689</v>
          </cell>
        </row>
        <row r="180">
          <cell r="J180">
            <v>100</v>
          </cell>
          <cell r="S180">
            <v>25</v>
          </cell>
        </row>
        <row r="241">
          <cell r="J241">
            <v>114</v>
          </cell>
          <cell r="S241">
            <v>28.5</v>
          </cell>
        </row>
      </sheetData>
      <sheetData sheetId="5">
        <row r="62">
          <cell r="J62">
            <v>943.74</v>
          </cell>
          <cell r="S62">
            <v>465.10800000000006</v>
          </cell>
        </row>
        <row r="63">
          <cell r="J63">
            <v>1152.1000000000001</v>
          </cell>
          <cell r="S63">
            <v>648.62</v>
          </cell>
        </row>
        <row r="125">
          <cell r="J125">
            <v>6930.303</v>
          </cell>
          <cell r="S125">
            <v>3901.6866</v>
          </cell>
        </row>
        <row r="127">
          <cell r="J127">
            <v>2079.4</v>
          </cell>
          <cell r="S127">
            <v>1170.68</v>
          </cell>
        </row>
        <row r="135">
          <cell r="J135">
            <v>4004.25</v>
          </cell>
          <cell r="S135">
            <v>2254.3500000000004</v>
          </cell>
        </row>
        <row r="140">
          <cell r="J140">
            <v>8091.395</v>
          </cell>
          <cell r="S140">
            <v>4555.369</v>
          </cell>
        </row>
        <row r="145">
          <cell r="J145">
            <v>4606.995</v>
          </cell>
          <cell r="S145">
            <v>2593.689</v>
          </cell>
        </row>
        <row r="211">
          <cell r="J211">
            <v>100</v>
          </cell>
          <cell r="S211">
            <v>25</v>
          </cell>
        </row>
        <row r="272">
          <cell r="J272">
            <v>114</v>
          </cell>
          <cell r="S272">
            <v>28.5</v>
          </cell>
        </row>
      </sheetData>
      <sheetData sheetId="6">
        <row r="62">
          <cell r="J62">
            <v>943.74</v>
          </cell>
          <cell r="S62">
            <v>465.10800000000006</v>
          </cell>
        </row>
        <row r="63">
          <cell r="J63">
            <v>-358.3399999999999</v>
          </cell>
          <cell r="S63">
            <v>648.62</v>
          </cell>
        </row>
        <row r="127">
          <cell r="J127">
            <v>-2155.5462000000007</v>
          </cell>
          <cell r="S127">
            <v>3901.6866</v>
          </cell>
        </row>
        <row r="129">
          <cell r="J129">
            <v>2079.4</v>
          </cell>
          <cell r="S129">
            <v>1170.68</v>
          </cell>
        </row>
        <row r="137">
          <cell r="J137">
            <v>-1245.4500000000007</v>
          </cell>
          <cell r="S137">
            <v>2254.3500000000004</v>
          </cell>
        </row>
        <row r="142">
          <cell r="J142">
            <v>8091.395</v>
          </cell>
          <cell r="S142">
            <v>4555.369</v>
          </cell>
        </row>
        <row r="147">
          <cell r="J147">
            <v>4606.995</v>
          </cell>
          <cell r="S147">
            <v>2593.689</v>
          </cell>
        </row>
        <row r="213">
          <cell r="J213">
            <v>100</v>
          </cell>
          <cell r="S213">
            <v>25</v>
          </cell>
        </row>
        <row r="274">
          <cell r="J274">
            <v>114</v>
          </cell>
          <cell r="S274">
            <v>28.5</v>
          </cell>
        </row>
      </sheetData>
      <sheetData sheetId="7">
        <row r="62">
          <cell r="J62">
            <v>943.74</v>
          </cell>
          <cell r="S62">
            <v>465.10800000000006</v>
          </cell>
        </row>
        <row r="63">
          <cell r="J63">
            <v>1152.1000000000001</v>
          </cell>
          <cell r="S63">
            <v>648.62</v>
          </cell>
        </row>
        <row r="127">
          <cell r="J127">
            <v>6930.303</v>
          </cell>
          <cell r="S127">
            <v>3901.6866</v>
          </cell>
        </row>
        <row r="129">
          <cell r="J129">
            <v>2079.4</v>
          </cell>
          <cell r="S129">
            <v>1170.68</v>
          </cell>
        </row>
        <row r="137">
          <cell r="J137">
            <v>4004.26</v>
          </cell>
          <cell r="S137">
            <v>2254.3500000000004</v>
          </cell>
        </row>
        <row r="142">
          <cell r="J142">
            <v>8091.395</v>
          </cell>
          <cell r="S142">
            <v>4555.369</v>
          </cell>
        </row>
        <row r="147">
          <cell r="J147">
            <v>4606.995</v>
          </cell>
          <cell r="S147">
            <v>2593.689</v>
          </cell>
        </row>
        <row r="213">
          <cell r="J213">
            <v>100</v>
          </cell>
          <cell r="S213">
            <v>25</v>
          </cell>
        </row>
        <row r="274">
          <cell r="J274">
            <v>114</v>
          </cell>
          <cell r="S274">
            <v>28.5</v>
          </cell>
        </row>
      </sheetData>
      <sheetData sheetId="8">
        <row r="62">
          <cell r="J62">
            <v>943.74</v>
          </cell>
          <cell r="S62">
            <v>465.10800000000006</v>
          </cell>
        </row>
        <row r="63">
          <cell r="J63">
            <v>1152.1000000000001</v>
          </cell>
          <cell r="S63">
            <v>648.62</v>
          </cell>
        </row>
        <row r="126">
          <cell r="J126">
            <v>6930.303</v>
          </cell>
          <cell r="S126">
            <v>3901.6866</v>
          </cell>
        </row>
        <row r="128">
          <cell r="J128">
            <v>2079.4</v>
          </cell>
          <cell r="S128">
            <v>1170.68</v>
          </cell>
        </row>
        <row r="136">
          <cell r="J136">
            <v>4004.26</v>
          </cell>
          <cell r="S136">
            <v>2254.3500000000004</v>
          </cell>
        </row>
        <row r="141">
          <cell r="J141">
            <v>8091.395</v>
          </cell>
          <cell r="S141">
            <v>4555.369</v>
          </cell>
        </row>
        <row r="146">
          <cell r="J146">
            <v>4606.995</v>
          </cell>
          <cell r="S146">
            <v>2593.689</v>
          </cell>
        </row>
        <row r="213">
          <cell r="J213">
            <v>100</v>
          </cell>
          <cell r="S213">
            <v>25</v>
          </cell>
        </row>
        <row r="274">
          <cell r="J274">
            <v>114</v>
          </cell>
          <cell r="S274">
            <v>28.5</v>
          </cell>
        </row>
      </sheetData>
      <sheetData sheetId="9">
        <row r="62">
          <cell r="J62">
            <v>943.74</v>
          </cell>
          <cell r="S62">
            <v>465.10800000000006</v>
          </cell>
        </row>
        <row r="63">
          <cell r="J63">
            <v>1152.1000000000001</v>
          </cell>
          <cell r="S63">
            <v>648.62</v>
          </cell>
        </row>
        <row r="125">
          <cell r="J125">
            <v>6930.303</v>
          </cell>
          <cell r="S125">
            <v>3901.6866</v>
          </cell>
        </row>
        <row r="127">
          <cell r="J127">
            <v>2079.4</v>
          </cell>
          <cell r="S127">
            <v>1170.68</v>
          </cell>
        </row>
        <row r="135">
          <cell r="J135">
            <v>4004.26</v>
          </cell>
          <cell r="S135">
            <v>2254.3500000000004</v>
          </cell>
        </row>
        <row r="140">
          <cell r="J140">
            <v>8091.395</v>
          </cell>
          <cell r="S140">
            <v>4555.369</v>
          </cell>
        </row>
        <row r="145">
          <cell r="J145">
            <v>4606.995</v>
          </cell>
          <cell r="S145">
            <v>2593.689</v>
          </cell>
        </row>
        <row r="212">
          <cell r="J212">
            <v>100</v>
          </cell>
          <cell r="S212">
            <v>25</v>
          </cell>
        </row>
        <row r="273">
          <cell r="J273">
            <v>114</v>
          </cell>
          <cell r="S273">
            <v>28.5</v>
          </cell>
        </row>
      </sheetData>
      <sheetData sheetId="10">
        <row r="62">
          <cell r="J62">
            <v>943.74</v>
          </cell>
          <cell r="S62">
            <v>465.10800000000006</v>
          </cell>
        </row>
        <row r="63">
          <cell r="J63">
            <v>1152.1000000000001</v>
          </cell>
          <cell r="S63">
            <v>648.62</v>
          </cell>
        </row>
        <row r="125">
          <cell r="J125">
            <v>6930.303</v>
          </cell>
          <cell r="S125">
            <v>3901.6866</v>
          </cell>
        </row>
        <row r="127">
          <cell r="J127">
            <v>2079.4</v>
          </cell>
          <cell r="S127">
            <v>1170.68</v>
          </cell>
        </row>
        <row r="135">
          <cell r="J135">
            <v>4004.26</v>
          </cell>
          <cell r="S135">
            <v>2254.3500000000004</v>
          </cell>
        </row>
        <row r="140">
          <cell r="J140">
            <v>8091.395</v>
          </cell>
          <cell r="S140">
            <v>4555.369</v>
          </cell>
        </row>
        <row r="145">
          <cell r="J145">
            <v>4606.995</v>
          </cell>
          <cell r="S145">
            <v>2593.689</v>
          </cell>
        </row>
        <row r="214">
          <cell r="J214">
            <v>100</v>
          </cell>
          <cell r="S214">
            <v>25</v>
          </cell>
        </row>
        <row r="275">
          <cell r="J275">
            <v>114</v>
          </cell>
          <cell r="S275">
            <v>28.5</v>
          </cell>
        </row>
      </sheetData>
      <sheetData sheetId="11">
        <row r="62">
          <cell r="J62">
            <v>943.74</v>
          </cell>
          <cell r="S62">
            <v>465.10800000000006</v>
          </cell>
        </row>
        <row r="63">
          <cell r="J63">
            <v>1152.1000000000001</v>
          </cell>
          <cell r="S63">
            <v>648.62</v>
          </cell>
        </row>
        <row r="125">
          <cell r="J125">
            <v>6930.303</v>
          </cell>
          <cell r="S125">
            <v>3901.6866</v>
          </cell>
        </row>
        <row r="127">
          <cell r="J127">
            <v>2079.4</v>
          </cell>
          <cell r="S127">
            <v>1170.68</v>
          </cell>
        </row>
        <row r="135">
          <cell r="J135">
            <v>4004.26</v>
          </cell>
          <cell r="S135">
            <v>2254.3500000000004</v>
          </cell>
        </row>
        <row r="140">
          <cell r="J140">
            <v>8091.395</v>
          </cell>
          <cell r="S140">
            <v>4555.369</v>
          </cell>
        </row>
        <row r="145">
          <cell r="J145">
            <v>4606.995</v>
          </cell>
          <cell r="S145">
            <v>2593.689</v>
          </cell>
        </row>
        <row r="217">
          <cell r="J217">
            <v>100</v>
          </cell>
          <cell r="S217">
            <v>25</v>
          </cell>
        </row>
        <row r="278">
          <cell r="J278">
            <v>114</v>
          </cell>
          <cell r="S278">
            <v>28.5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0">
        <row r="4">
          <cell r="O4">
            <v>1531.4825961800002</v>
          </cell>
        </row>
        <row r="11">
          <cell r="O11">
            <v>1163.4381972200001</v>
          </cell>
        </row>
        <row r="16">
          <cell r="O16">
            <v>2303.8271602920004</v>
          </cell>
        </row>
      </sheetData>
      <sheetData sheetId="1">
        <row r="4">
          <cell r="O4">
            <v>1533.79658208</v>
          </cell>
        </row>
        <row r="11">
          <cell r="O11">
            <v>1165.19892832</v>
          </cell>
        </row>
        <row r="16">
          <cell r="O16">
            <v>2307.290338752</v>
          </cell>
        </row>
      </sheetData>
      <sheetData sheetId="2">
        <row r="4">
          <cell r="O4">
            <v>1501.6259523899998</v>
          </cell>
        </row>
        <row r="11">
          <cell r="O11">
            <v>1140.75945331</v>
          </cell>
        </row>
        <row r="16">
          <cell r="O16">
            <v>2258.896057566</v>
          </cell>
        </row>
      </sheetData>
      <sheetData sheetId="3">
        <row r="4">
          <cell r="I4">
            <v>3602.25382</v>
          </cell>
          <cell r="O4">
            <v>1544.4678908399999</v>
          </cell>
        </row>
        <row r="11">
          <cell r="I11">
            <v>2736.5627799999997</v>
          </cell>
          <cell r="O11">
            <v>1173.30573836</v>
          </cell>
        </row>
        <row r="16">
          <cell r="I16">
            <v>5418.855708</v>
          </cell>
          <cell r="O16">
            <v>2323.343189496</v>
          </cell>
        </row>
      </sheetData>
      <sheetData sheetId="4">
        <row r="4">
          <cell r="O4">
            <v>1723.981321166</v>
          </cell>
        </row>
        <row r="11">
          <cell r="O11">
            <v>1309.676173414</v>
          </cell>
        </row>
        <row r="16">
          <cell r="O16">
            <v>2593.5624907235997</v>
          </cell>
        </row>
      </sheetData>
      <sheetData sheetId="5">
        <row r="4">
          <cell r="I4">
            <v>3602.25382</v>
          </cell>
          <cell r="O4">
            <v>1632.18697746</v>
          </cell>
        </row>
        <row r="11">
          <cell r="I11">
            <v>2736.5627799999997</v>
          </cell>
          <cell r="O11">
            <v>1239.94442234</v>
          </cell>
        </row>
        <row r="16">
          <cell r="I16">
            <v>5418.855708</v>
          </cell>
          <cell r="O16">
            <v>2455.299019524</v>
          </cell>
        </row>
      </sheetData>
      <sheetData sheetId="6">
        <row r="4">
          <cell r="O4">
            <v>1702.2740285400002</v>
          </cell>
        </row>
        <row r="12">
          <cell r="O12">
            <v>1293.18835166</v>
          </cell>
        </row>
        <row r="17">
          <cell r="O17">
            <v>2560.730976876</v>
          </cell>
        </row>
        <row r="43">
          <cell r="O43">
            <v>2989.7517933400004</v>
          </cell>
        </row>
        <row r="50">
          <cell r="O50">
            <v>768.3335047999999</v>
          </cell>
        </row>
        <row r="89">
          <cell r="O89">
            <v>305.25682488</v>
          </cell>
        </row>
      </sheetData>
      <sheetData sheetId="7">
        <row r="4">
          <cell r="O4">
            <v>1701.500571462</v>
          </cell>
        </row>
        <row r="12">
          <cell r="O12">
            <v>1292.600769598</v>
          </cell>
        </row>
        <row r="17">
          <cell r="O17">
            <v>2559.5674653228</v>
          </cell>
        </row>
        <row r="43">
          <cell r="O43">
            <v>2988.393348902</v>
          </cell>
        </row>
        <row r="50">
          <cell r="O50">
            <v>767.9843994400001</v>
          </cell>
        </row>
        <row r="90">
          <cell r="O90">
            <v>305.118126264</v>
          </cell>
        </row>
      </sheetData>
      <sheetData sheetId="8">
        <row r="4">
          <cell r="O4">
            <v>1701.2432296398</v>
          </cell>
        </row>
        <row r="12">
          <cell r="O12">
            <v>1292.4052714342</v>
          </cell>
        </row>
        <row r="17">
          <cell r="O17">
            <v>2559.1803459961197</v>
          </cell>
        </row>
        <row r="43">
          <cell r="O43">
            <v>2987.9413722158</v>
          </cell>
        </row>
        <row r="50">
          <cell r="O50">
            <v>767.8682463760001</v>
          </cell>
        </row>
        <row r="90">
          <cell r="O90">
            <v>305.0719789656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4">
          <cell r="I4">
            <v>3602.25382</v>
          </cell>
        </row>
        <row r="12">
          <cell r="I12">
            <v>2736.5627799999997</v>
          </cell>
        </row>
        <row r="17">
          <cell r="I17">
            <v>5418.855708</v>
          </cell>
        </row>
        <row r="44">
          <cell r="I44">
            <v>6326.72222</v>
          </cell>
        </row>
        <row r="51">
          <cell r="I51">
            <v>1625.8984</v>
          </cell>
        </row>
        <row r="99">
          <cell r="I99">
            <v>763.91784</v>
          </cell>
        </row>
        <row r="100">
          <cell r="I100">
            <v>900.8356</v>
          </cell>
        </row>
      </sheetData>
      <sheetData sheetId="1">
        <row r="4">
          <cell r="I4">
            <v>3602.25382</v>
          </cell>
          <cell r="O4">
            <v>1716.9499799999999</v>
          </cell>
        </row>
        <row r="12">
          <cell r="I12">
            <v>2736.5627799999997</v>
          </cell>
          <cell r="O12">
            <v>1304.3374199999998</v>
          </cell>
        </row>
        <row r="17">
          <cell r="I17">
            <v>5418.855708</v>
          </cell>
          <cell r="O17">
            <v>2582.808012</v>
          </cell>
        </row>
        <row r="44">
          <cell r="I44">
            <v>6326.72222</v>
          </cell>
          <cell r="O44">
            <v>3015.52758</v>
          </cell>
        </row>
        <row r="51">
          <cell r="I51">
            <v>1625.8984</v>
          </cell>
          <cell r="O51">
            <v>774.9576000000001</v>
          </cell>
        </row>
        <row r="99">
          <cell r="I99">
            <v>763.91784</v>
          </cell>
          <cell r="O99">
            <v>307.88856</v>
          </cell>
        </row>
        <row r="100">
          <cell r="I100">
            <v>900.8356</v>
          </cell>
          <cell r="O100">
            <v>429.3684</v>
          </cell>
        </row>
      </sheetData>
      <sheetData sheetId="2">
        <row r="4">
          <cell r="I4">
            <v>3602.25382</v>
          </cell>
          <cell r="O4">
            <v>1716.9499799999999</v>
          </cell>
        </row>
        <row r="12">
          <cell r="I12">
            <v>2736.5627799999997</v>
          </cell>
          <cell r="O12">
            <v>1304.3374199999998</v>
          </cell>
        </row>
        <row r="17">
          <cell r="I17">
            <v>5418.855708</v>
          </cell>
          <cell r="O17">
            <v>2582.808012</v>
          </cell>
        </row>
        <row r="44">
          <cell r="I44">
            <v>6326.72222</v>
          </cell>
          <cell r="O44">
            <v>3015.52758</v>
          </cell>
        </row>
        <row r="52">
          <cell r="I52">
            <v>1625.8984</v>
          </cell>
          <cell r="O52">
            <v>774.9576000000001</v>
          </cell>
        </row>
        <row r="100">
          <cell r="I100">
            <v>763.91784</v>
          </cell>
          <cell r="O100">
            <v>307.88856</v>
          </cell>
        </row>
        <row r="101">
          <cell r="I101">
            <v>900.8356</v>
          </cell>
          <cell r="O101">
            <v>429.3684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4">
          <cell r="O4">
            <v>1714.5039339999998</v>
          </cell>
        </row>
        <row r="12">
          <cell r="O12">
            <v>1302.4814860000001</v>
          </cell>
        </row>
        <row r="17">
          <cell r="O17">
            <v>2579.2002396</v>
          </cell>
        </row>
        <row r="44">
          <cell r="O44">
            <v>3011.362814</v>
          </cell>
        </row>
        <row r="51">
          <cell r="O51">
            <v>773.91288</v>
          </cell>
        </row>
        <row r="99">
          <cell r="O99">
            <v>307.49224799999996</v>
          </cell>
        </row>
        <row r="100">
          <cell r="O100">
            <v>428.81572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Ш01-10"/>
      <sheetName val="Ш02-10"/>
      <sheetName val="Ш03-10"/>
      <sheetName val="Шалым"/>
      <sheetName val="Т0-10"/>
      <sheetName val="Т05-10"/>
    </sheetNames>
    <sheetDataSet>
      <sheetData sheetId="0">
        <row r="4">
          <cell r="I4">
            <v>3602.25382</v>
          </cell>
        </row>
        <row r="12">
          <cell r="I12">
            <v>2736.5627799999997</v>
          </cell>
        </row>
        <row r="17">
          <cell r="I17">
            <v>5418.855708</v>
          </cell>
        </row>
        <row r="42">
          <cell r="I42">
            <v>6326.72222</v>
          </cell>
        </row>
        <row r="49">
          <cell r="I49">
            <v>1625.8984</v>
          </cell>
        </row>
        <row r="97">
          <cell r="I97">
            <v>763.91784</v>
          </cell>
        </row>
        <row r="98">
          <cell r="I98">
            <v>900.8356</v>
          </cell>
        </row>
      </sheetData>
      <sheetData sheetId="2">
        <row r="4">
          <cell r="M4">
            <v>1714.917</v>
          </cell>
        </row>
        <row r="12">
          <cell r="M12">
            <v>1302.793</v>
          </cell>
        </row>
        <row r="17">
          <cell r="M17">
            <v>2579.7498</v>
          </cell>
        </row>
        <row r="43">
          <cell r="M43">
            <v>3011.957</v>
          </cell>
        </row>
        <row r="50">
          <cell r="M50">
            <v>774.04</v>
          </cell>
        </row>
        <row r="98">
          <cell r="M98">
            <v>307.524</v>
          </cell>
        </row>
        <row r="99">
          <cell r="M99">
            <v>428.86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Ш01-10"/>
      <sheetName val="Ш02-10"/>
      <sheetName val="Ш03-10"/>
      <sheetName val="Ш04-10"/>
      <sheetName val="Ш05-10"/>
      <sheetName val="Шалым"/>
      <sheetName val="Т08-10 "/>
    </sheetNames>
    <sheetDataSet>
      <sheetData sheetId="3">
        <row r="4">
          <cell r="I4">
            <v>3602.25382</v>
          </cell>
          <cell r="M4">
            <v>1714.917</v>
          </cell>
        </row>
        <row r="12">
          <cell r="I12">
            <v>2736.5627799999997</v>
          </cell>
          <cell r="M12">
            <v>1302.793</v>
          </cell>
        </row>
        <row r="17">
          <cell r="I17">
            <v>5418.855708</v>
          </cell>
          <cell r="M17">
            <v>2579.7498</v>
          </cell>
        </row>
        <row r="43">
          <cell r="I43">
            <v>6326.72222</v>
          </cell>
          <cell r="M43">
            <v>3011.957</v>
          </cell>
        </row>
        <row r="50">
          <cell r="I50">
            <v>1625.8984</v>
          </cell>
          <cell r="M50">
            <v>774.04</v>
          </cell>
        </row>
        <row r="98">
          <cell r="I98">
            <v>763.91784</v>
          </cell>
          <cell r="M98">
            <v>307.524</v>
          </cell>
        </row>
        <row r="99">
          <cell r="I99">
            <v>900.8356</v>
          </cell>
          <cell r="M99">
            <v>428.86</v>
          </cell>
        </row>
      </sheetData>
      <sheetData sheetId="5">
        <row r="4">
          <cell r="M4">
            <v>1714.917</v>
          </cell>
        </row>
        <row r="12">
          <cell r="M12">
            <v>1302.793</v>
          </cell>
        </row>
        <row r="17">
          <cell r="M17">
            <v>2579.7498</v>
          </cell>
        </row>
        <row r="43">
          <cell r="M43">
            <v>3011.957</v>
          </cell>
        </row>
        <row r="50">
          <cell r="M50">
            <v>774.04</v>
          </cell>
        </row>
        <row r="96">
          <cell r="M96">
            <v>307.524</v>
          </cell>
        </row>
        <row r="97">
          <cell r="M97">
            <v>428.86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Т08-10 "/>
      <sheetName val="Т09-10"/>
      <sheetName val="Т10-10"/>
      <sheetName val="Т11"/>
      <sheetName val="Т12"/>
      <sheetName val="Шалым"/>
      <sheetName val="Ш01-10"/>
      <sheetName val="Ш02-10"/>
      <sheetName val="Ш03-10"/>
      <sheetName val="Ш04-10"/>
      <sheetName val="Ш05-10"/>
    </sheetNames>
    <sheetDataSet>
      <sheetData sheetId="6">
        <row r="4">
          <cell r="I4">
            <v>3602.25382</v>
          </cell>
        </row>
        <row r="11">
          <cell r="I11">
            <v>2736.5627799999997</v>
          </cell>
        </row>
        <row r="16">
          <cell r="I16">
            <v>5418.855708</v>
          </cell>
        </row>
        <row r="43">
          <cell r="I43">
            <v>6326.72222</v>
          </cell>
        </row>
        <row r="50">
          <cell r="I50">
            <v>1625.8984</v>
          </cell>
        </row>
        <row r="95">
          <cell r="I95">
            <v>763.91784</v>
          </cell>
        </row>
        <row r="96">
          <cell r="I96">
            <v>900.8356</v>
          </cell>
        </row>
      </sheetData>
      <sheetData sheetId="9">
        <row r="4">
          <cell r="I4">
            <v>3602.25382</v>
          </cell>
          <cell r="M4">
            <v>1714.917</v>
          </cell>
        </row>
        <row r="11">
          <cell r="I11">
            <v>2736.5627799999997</v>
          </cell>
          <cell r="M11">
            <v>1302.793</v>
          </cell>
        </row>
        <row r="16">
          <cell r="I16">
            <v>5418.855708</v>
          </cell>
          <cell r="M16">
            <v>2579.7498</v>
          </cell>
        </row>
        <row r="43">
          <cell r="I43">
            <v>6326.72222</v>
          </cell>
          <cell r="M43">
            <v>3011.957</v>
          </cell>
        </row>
        <row r="50">
          <cell r="I50">
            <v>1625.8984</v>
          </cell>
          <cell r="M50">
            <v>774.04</v>
          </cell>
        </row>
        <row r="95">
          <cell r="I95">
            <v>763.91784</v>
          </cell>
          <cell r="M95">
            <v>307.524</v>
          </cell>
        </row>
        <row r="96">
          <cell r="I96">
            <v>900.8356</v>
          </cell>
          <cell r="M96">
            <v>428.86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Т08-10 "/>
      <sheetName val="Т09-10"/>
      <sheetName val="Т10-10"/>
      <sheetName val="Т11"/>
      <sheetName val="Т12"/>
      <sheetName val="Шалым"/>
      <sheetName val="Ш01-10"/>
      <sheetName val="Ш02-10"/>
      <sheetName val="Ш03-10"/>
      <sheetName val="Ш04-10"/>
      <sheetName val="Ш05-10"/>
    </sheetNames>
    <sheetDataSet>
      <sheetData sheetId="9">
        <row r="4">
          <cell r="I4">
            <v>3602.25382</v>
          </cell>
        </row>
        <row r="11">
          <cell r="I11">
            <v>2736.5627799999997</v>
          </cell>
        </row>
        <row r="16">
          <cell r="I16">
            <v>5418.855708</v>
          </cell>
        </row>
        <row r="43">
          <cell r="I43">
            <v>6326.72222</v>
          </cell>
        </row>
        <row r="50">
          <cell r="I50">
            <v>1625.8984</v>
          </cell>
        </row>
        <row r="95">
          <cell r="I95">
            <v>763.91784</v>
          </cell>
        </row>
        <row r="96">
          <cell r="I96">
            <v>900.8356</v>
          </cell>
        </row>
      </sheetData>
      <sheetData sheetId="10">
        <row r="4">
          <cell r="M4">
            <v>1714.917</v>
          </cell>
        </row>
        <row r="11">
          <cell r="M11">
            <v>1302.793</v>
          </cell>
        </row>
        <row r="16">
          <cell r="M16">
            <v>2579.7498</v>
          </cell>
        </row>
        <row r="43">
          <cell r="M43">
            <v>3011.957</v>
          </cell>
        </row>
        <row r="50">
          <cell r="M50">
            <v>774.04</v>
          </cell>
        </row>
        <row r="95">
          <cell r="M95">
            <v>307.524</v>
          </cell>
        </row>
        <row r="96">
          <cell r="M96">
            <v>428.86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2">
          <cell r="Z42">
            <v>0</v>
          </cell>
          <cell r="AA42">
            <v>0</v>
          </cell>
          <cell r="AE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2"/>
  <sheetViews>
    <sheetView zoomScalePageLayoutView="0" workbookViewId="0" topLeftCell="A1">
      <pane xSplit="2" ySplit="7" topLeftCell="AQ2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T35" sqref="AT35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0.125" style="2" customWidth="1"/>
    <col min="4" max="4" width="10.375" style="2" customWidth="1"/>
    <col min="5" max="5" width="8.875" style="2" customWidth="1"/>
    <col min="6" max="7" width="9.0039062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bestFit="1" customWidth="1"/>
    <col min="13" max="13" width="9.75390625" style="2" customWidth="1"/>
    <col min="14" max="14" width="9.375" style="2" customWidth="1"/>
    <col min="15" max="15" width="7.625" style="2" customWidth="1"/>
    <col min="16" max="17" width="7.25390625" style="2" customWidth="1"/>
    <col min="18" max="18" width="7.003906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00390625" style="2" customWidth="1"/>
    <col min="24" max="24" width="10.125" style="2" customWidth="1"/>
    <col min="25" max="27" width="9.125" style="2" customWidth="1"/>
    <col min="28" max="28" width="10.125" style="2" bestFit="1" customWidth="1"/>
    <col min="29" max="29" width="11.375" style="2" customWidth="1"/>
    <col min="30" max="30" width="8.875" style="2" customWidth="1"/>
    <col min="31" max="31" width="9.25390625" style="2" customWidth="1"/>
    <col min="32" max="32" width="11.375" style="2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9" width="9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5" width="10.375" style="2" customWidth="1"/>
    <col min="56" max="56" width="10.75390625" style="2" customWidth="1"/>
    <col min="57" max="57" width="14.00390625" style="2" customWidth="1"/>
    <col min="58" max="16384" width="9.125" style="2" customWidth="1"/>
  </cols>
  <sheetData>
    <row r="1" spans="1:18" ht="12.75">
      <c r="A1" s="389" t="s">
        <v>78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390" t="s">
        <v>0</v>
      </c>
      <c r="B3" s="393" t="s">
        <v>1</v>
      </c>
      <c r="C3" s="393" t="s">
        <v>2</v>
      </c>
      <c r="D3" s="393" t="s">
        <v>3</v>
      </c>
      <c r="E3" s="396" t="s">
        <v>4</v>
      </c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88" t="s">
        <v>5</v>
      </c>
      <c r="T3" s="388"/>
      <c r="U3" s="379" t="s">
        <v>6</v>
      </c>
      <c r="V3" s="379"/>
      <c r="W3" s="379"/>
      <c r="X3" s="379"/>
      <c r="Y3" s="379"/>
      <c r="Z3" s="379"/>
      <c r="AA3" s="379"/>
      <c r="AB3" s="379"/>
      <c r="AC3" s="369" t="s">
        <v>7</v>
      </c>
      <c r="AD3" s="369" t="s">
        <v>8</v>
      </c>
      <c r="AE3" s="369" t="s">
        <v>9</v>
      </c>
      <c r="AF3" s="407" t="s">
        <v>80</v>
      </c>
      <c r="AG3" s="372" t="s">
        <v>10</v>
      </c>
      <c r="AH3" s="372"/>
      <c r="AI3" s="372"/>
      <c r="AJ3" s="372"/>
      <c r="AK3" s="372"/>
      <c r="AL3" s="372"/>
      <c r="AM3" s="372"/>
      <c r="AN3" s="372"/>
      <c r="AO3" s="372"/>
      <c r="AP3" s="372"/>
      <c r="AQ3" s="372"/>
      <c r="AR3" s="372"/>
      <c r="AS3" s="372"/>
      <c r="AT3" s="372"/>
      <c r="AU3" s="372"/>
      <c r="AV3" s="372"/>
      <c r="AW3" s="372"/>
      <c r="AX3" s="372"/>
      <c r="AY3" s="372"/>
      <c r="AZ3" s="372"/>
      <c r="BA3" s="372"/>
      <c r="BB3" s="372"/>
      <c r="BC3" s="397" t="s">
        <v>90</v>
      </c>
      <c r="BD3" s="381" t="s">
        <v>11</v>
      </c>
      <c r="BE3" s="384" t="s">
        <v>12</v>
      </c>
    </row>
    <row r="4" spans="1:57" ht="36" customHeight="1" thickBot="1">
      <c r="A4" s="391"/>
      <c r="B4" s="394"/>
      <c r="C4" s="394"/>
      <c r="D4" s="394"/>
      <c r="E4" s="387" t="s">
        <v>13</v>
      </c>
      <c r="F4" s="387"/>
      <c r="G4" s="387" t="s">
        <v>14</v>
      </c>
      <c r="H4" s="387"/>
      <c r="I4" s="387" t="s">
        <v>15</v>
      </c>
      <c r="J4" s="387"/>
      <c r="K4" s="387" t="s">
        <v>16</v>
      </c>
      <c r="L4" s="387"/>
      <c r="M4" s="387" t="s">
        <v>17</v>
      </c>
      <c r="N4" s="387"/>
      <c r="O4" s="387" t="s">
        <v>18</v>
      </c>
      <c r="P4" s="387"/>
      <c r="Q4" s="387" t="s">
        <v>19</v>
      </c>
      <c r="R4" s="387"/>
      <c r="S4" s="387"/>
      <c r="T4" s="387"/>
      <c r="U4" s="380"/>
      <c r="V4" s="380"/>
      <c r="W4" s="380"/>
      <c r="X4" s="380"/>
      <c r="Y4" s="380"/>
      <c r="Z4" s="380"/>
      <c r="AA4" s="380"/>
      <c r="AB4" s="380"/>
      <c r="AC4" s="370"/>
      <c r="AD4" s="370"/>
      <c r="AE4" s="370"/>
      <c r="AF4" s="408"/>
      <c r="AG4" s="367"/>
      <c r="AH4" s="367"/>
      <c r="AI4" s="367"/>
      <c r="AJ4" s="367"/>
      <c r="AK4" s="367"/>
      <c r="AL4" s="367"/>
      <c r="AM4" s="367"/>
      <c r="AN4" s="367"/>
      <c r="AO4" s="367"/>
      <c r="AP4" s="367"/>
      <c r="AQ4" s="367"/>
      <c r="AR4" s="367"/>
      <c r="AS4" s="367"/>
      <c r="AT4" s="367"/>
      <c r="AU4" s="367"/>
      <c r="AV4" s="367"/>
      <c r="AW4" s="367"/>
      <c r="AX4" s="367"/>
      <c r="AY4" s="367"/>
      <c r="AZ4" s="367"/>
      <c r="BA4" s="367"/>
      <c r="BB4" s="367"/>
      <c r="BC4" s="398"/>
      <c r="BD4" s="382"/>
      <c r="BE4" s="385"/>
    </row>
    <row r="5" spans="1:57" ht="29.25" customHeight="1" thickBot="1">
      <c r="A5" s="391"/>
      <c r="B5" s="394"/>
      <c r="C5" s="394"/>
      <c r="D5" s="394"/>
      <c r="E5" s="377" t="s">
        <v>20</v>
      </c>
      <c r="F5" s="377" t="s">
        <v>21</v>
      </c>
      <c r="G5" s="377" t="s">
        <v>20</v>
      </c>
      <c r="H5" s="377" t="s">
        <v>21</v>
      </c>
      <c r="I5" s="377" t="s">
        <v>20</v>
      </c>
      <c r="J5" s="377" t="s">
        <v>21</v>
      </c>
      <c r="K5" s="377" t="s">
        <v>20</v>
      </c>
      <c r="L5" s="377" t="s">
        <v>21</v>
      </c>
      <c r="M5" s="377" t="s">
        <v>20</v>
      </c>
      <c r="N5" s="377" t="s">
        <v>21</v>
      </c>
      <c r="O5" s="377" t="s">
        <v>20</v>
      </c>
      <c r="P5" s="377" t="s">
        <v>21</v>
      </c>
      <c r="Q5" s="377" t="s">
        <v>20</v>
      </c>
      <c r="R5" s="377" t="s">
        <v>21</v>
      </c>
      <c r="S5" s="377" t="s">
        <v>20</v>
      </c>
      <c r="T5" s="377" t="s">
        <v>21</v>
      </c>
      <c r="U5" s="370" t="s">
        <v>22</v>
      </c>
      <c r="V5" s="370" t="s">
        <v>23</v>
      </c>
      <c r="W5" s="370" t="s">
        <v>24</v>
      </c>
      <c r="X5" s="370" t="s">
        <v>25</v>
      </c>
      <c r="Y5" s="370" t="s">
        <v>26</v>
      </c>
      <c r="Z5" s="370" t="s">
        <v>27</v>
      </c>
      <c r="AA5" s="370" t="s">
        <v>28</v>
      </c>
      <c r="AB5" s="370" t="s">
        <v>29</v>
      </c>
      <c r="AC5" s="370"/>
      <c r="AD5" s="370"/>
      <c r="AE5" s="370"/>
      <c r="AF5" s="408"/>
      <c r="AG5" s="367" t="s">
        <v>30</v>
      </c>
      <c r="AH5" s="367" t="s">
        <v>31</v>
      </c>
      <c r="AI5" s="367" t="s">
        <v>32</v>
      </c>
      <c r="AJ5" s="367" t="s">
        <v>33</v>
      </c>
      <c r="AK5" s="367" t="s">
        <v>34</v>
      </c>
      <c r="AL5" s="367" t="s">
        <v>33</v>
      </c>
      <c r="AM5" s="367" t="s">
        <v>35</v>
      </c>
      <c r="AN5" s="367" t="s">
        <v>33</v>
      </c>
      <c r="AO5" s="367" t="s">
        <v>36</v>
      </c>
      <c r="AP5" s="367" t="s">
        <v>33</v>
      </c>
      <c r="AQ5" s="400" t="s">
        <v>82</v>
      </c>
      <c r="AR5" s="402" t="s">
        <v>33</v>
      </c>
      <c r="AS5" s="373" t="s">
        <v>83</v>
      </c>
      <c r="AT5" s="375" t="s">
        <v>84</v>
      </c>
      <c r="AU5" s="375" t="s">
        <v>33</v>
      </c>
      <c r="AV5" s="404" t="s">
        <v>85</v>
      </c>
      <c r="AW5" s="405"/>
      <c r="AX5" s="406"/>
      <c r="AY5" s="367" t="s">
        <v>19</v>
      </c>
      <c r="AZ5" s="367" t="s">
        <v>38</v>
      </c>
      <c r="BA5" s="367" t="s">
        <v>33</v>
      </c>
      <c r="BB5" s="367" t="s">
        <v>39</v>
      </c>
      <c r="BC5" s="398"/>
      <c r="BD5" s="382"/>
      <c r="BE5" s="385"/>
    </row>
    <row r="6" spans="1:57" ht="54" customHeight="1" thickBot="1">
      <c r="A6" s="392"/>
      <c r="B6" s="395"/>
      <c r="C6" s="395"/>
      <c r="D6" s="395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409"/>
      <c r="AG6" s="368"/>
      <c r="AH6" s="368"/>
      <c r="AI6" s="368"/>
      <c r="AJ6" s="368"/>
      <c r="AK6" s="368"/>
      <c r="AL6" s="368"/>
      <c r="AM6" s="368"/>
      <c r="AN6" s="368"/>
      <c r="AO6" s="368"/>
      <c r="AP6" s="368"/>
      <c r="AQ6" s="401"/>
      <c r="AR6" s="403"/>
      <c r="AS6" s="374"/>
      <c r="AT6" s="376"/>
      <c r="AU6" s="376"/>
      <c r="AV6" s="148" t="s">
        <v>86</v>
      </c>
      <c r="AW6" s="148" t="s">
        <v>87</v>
      </c>
      <c r="AX6" s="148" t="s">
        <v>88</v>
      </c>
      <c r="AY6" s="368"/>
      <c r="AZ6" s="368"/>
      <c r="BA6" s="368"/>
      <c r="BB6" s="368"/>
      <c r="BC6" s="399"/>
      <c r="BD6" s="383"/>
      <c r="BE6" s="386"/>
    </row>
    <row r="7" spans="1:57" ht="12.75">
      <c r="A7" s="8">
        <v>1</v>
      </c>
      <c r="B7" s="9">
        <v>3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9">
        <v>25</v>
      </c>
      <c r="Y7" s="9">
        <v>26</v>
      </c>
      <c r="Z7" s="9">
        <v>27</v>
      </c>
      <c r="AA7" s="9">
        <v>28</v>
      </c>
      <c r="AB7" s="9">
        <v>29</v>
      </c>
      <c r="AC7" s="9">
        <v>30</v>
      </c>
      <c r="AD7" s="9">
        <v>31</v>
      </c>
      <c r="AE7" s="9">
        <v>32</v>
      </c>
      <c r="AF7" s="9">
        <v>33</v>
      </c>
      <c r="AG7" s="9">
        <v>34</v>
      </c>
      <c r="AH7" s="9">
        <v>35</v>
      </c>
      <c r="AI7" s="9">
        <v>36</v>
      </c>
      <c r="AJ7" s="9">
        <v>37</v>
      </c>
      <c r="AK7" s="9">
        <v>38</v>
      </c>
      <c r="AL7" s="9">
        <v>39</v>
      </c>
      <c r="AM7" s="9">
        <v>40</v>
      </c>
      <c r="AN7" s="9">
        <v>41</v>
      </c>
      <c r="AO7" s="9">
        <v>42</v>
      </c>
      <c r="AP7" s="9">
        <v>43</v>
      </c>
      <c r="AQ7" s="9">
        <v>44</v>
      </c>
      <c r="AR7" s="9">
        <v>45</v>
      </c>
      <c r="AS7" s="9">
        <v>46</v>
      </c>
      <c r="AT7" s="9">
        <v>47</v>
      </c>
      <c r="AU7" s="9">
        <v>48</v>
      </c>
      <c r="AV7" s="9">
        <v>49</v>
      </c>
      <c r="AW7" s="9">
        <v>50</v>
      </c>
      <c r="AX7" s="9">
        <v>51</v>
      </c>
      <c r="AY7" s="9">
        <v>52</v>
      </c>
      <c r="AZ7" s="9">
        <v>53</v>
      </c>
      <c r="BA7" s="9">
        <v>54</v>
      </c>
      <c r="BB7" s="9">
        <v>55</v>
      </c>
      <c r="BC7" s="9">
        <v>56</v>
      </c>
      <c r="BD7" s="9">
        <v>57</v>
      </c>
      <c r="BE7" s="9">
        <v>58</v>
      </c>
    </row>
    <row r="8" spans="1:57" ht="12.75">
      <c r="A8" s="5" t="s">
        <v>40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6"/>
      <c r="AT8" s="6"/>
      <c r="AU8" s="6"/>
      <c r="AV8" s="6"/>
      <c r="AW8" s="6"/>
      <c r="AX8" s="7"/>
      <c r="AY8" s="7"/>
      <c r="AZ8" s="7"/>
      <c r="BA8" s="7"/>
      <c r="BB8" s="7"/>
      <c r="BC8" s="7"/>
      <c r="BD8" s="7"/>
      <c r="BE8" s="12"/>
    </row>
    <row r="9" spans="1:57" ht="12.75">
      <c r="A9" s="13" t="s">
        <v>41</v>
      </c>
      <c r="B9" s="94">
        <v>3716.1</v>
      </c>
      <c r="C9" s="15">
        <f>B9*8.65</f>
        <v>32144.265</v>
      </c>
      <c r="D9" s="16">
        <f>C9*0.24088</f>
        <v>7742.9105532</v>
      </c>
      <c r="E9" s="95">
        <v>2487.84</v>
      </c>
      <c r="F9" s="95">
        <v>608.64</v>
      </c>
      <c r="G9" s="95">
        <v>3358.67</v>
      </c>
      <c r="H9" s="95">
        <v>821.65</v>
      </c>
      <c r="I9" s="95">
        <v>8085.56</v>
      </c>
      <c r="J9" s="95">
        <v>1978.08</v>
      </c>
      <c r="K9" s="95">
        <v>5597.72</v>
      </c>
      <c r="L9" s="95">
        <v>1369.44</v>
      </c>
      <c r="M9" s="90">
        <v>1990.26</v>
      </c>
      <c r="N9" s="90">
        <v>486.92</v>
      </c>
      <c r="O9" s="83">
        <v>0</v>
      </c>
      <c r="P9" s="83">
        <v>0</v>
      </c>
      <c r="Q9" s="83">
        <v>0</v>
      </c>
      <c r="R9" s="83">
        <v>0</v>
      </c>
      <c r="S9" s="17">
        <f>E9+G9+I9+K9+M9+O9+Q9</f>
        <v>21520.05</v>
      </c>
      <c r="T9" s="17">
        <f>P9+N9+L9+J9+H9+F9+R9</f>
        <v>5264.7300000000005</v>
      </c>
      <c r="U9" s="95">
        <v>22.31</v>
      </c>
      <c r="V9" s="95">
        <v>30.11</v>
      </c>
      <c r="W9" s="95">
        <v>72.5</v>
      </c>
      <c r="X9" s="95">
        <v>50.19</v>
      </c>
      <c r="Y9" s="95">
        <v>17.85</v>
      </c>
      <c r="Z9" s="93">
        <v>0</v>
      </c>
      <c r="AA9" s="93">
        <v>0</v>
      </c>
      <c r="AB9" s="19">
        <f>SUM(U9:AA9)</f>
        <v>192.96</v>
      </c>
      <c r="AC9" s="144">
        <f>AB9+T9+D9</f>
        <v>13200.600553200002</v>
      </c>
      <c r="AD9" s="145">
        <f>P9+Z9</f>
        <v>0</v>
      </c>
      <c r="AE9" s="145">
        <f>R9+AA9</f>
        <v>0</v>
      </c>
      <c r="AF9" s="144">
        <v>0</v>
      </c>
      <c r="AG9" s="20">
        <v>2229.66</v>
      </c>
      <c r="AH9" s="20">
        <v>786.5199972</v>
      </c>
      <c r="AI9" s="20">
        <v>3165.3639799999996</v>
      </c>
      <c r="AJ9" s="20">
        <v>569.7655163999999</v>
      </c>
      <c r="AK9" s="20">
        <v>3683.4875064</v>
      </c>
      <c r="AL9" s="20">
        <v>663.027751152</v>
      </c>
      <c r="AM9" s="20">
        <v>6764.866478099999</v>
      </c>
      <c r="AN9" s="20">
        <v>1217.6759660579999</v>
      </c>
      <c r="AO9" s="21">
        <v>0</v>
      </c>
      <c r="AP9" s="21">
        <v>0</v>
      </c>
      <c r="AQ9" s="21"/>
      <c r="AR9" s="21"/>
      <c r="AS9" s="100">
        <v>20041.37</v>
      </c>
      <c r="AT9" s="100"/>
      <c r="AU9" s="31">
        <f>AS9*0.18</f>
        <v>3607.4465999999998</v>
      </c>
      <c r="AV9" s="31"/>
      <c r="AW9" s="31"/>
      <c r="AX9" s="21">
        <v>0</v>
      </c>
      <c r="AY9" s="21">
        <v>0</v>
      </c>
      <c r="AZ9" s="21">
        <v>0</v>
      </c>
      <c r="BA9" s="20">
        <f aca="true" t="shared" si="0" ref="BA9:BA25">AZ9*0.18</f>
        <v>0</v>
      </c>
      <c r="BB9" s="20">
        <f>SUM(AG9:BA9)</f>
        <v>42729.18379531</v>
      </c>
      <c r="BC9" s="20"/>
      <c r="BD9" s="20">
        <f>AC9-BB9</f>
        <v>-29528.583242109995</v>
      </c>
      <c r="BE9" s="22">
        <f>AB9-S9</f>
        <v>-21327.09</v>
      </c>
    </row>
    <row r="10" spans="1:57" ht="12.75">
      <c r="A10" s="13" t="s">
        <v>42</v>
      </c>
      <c r="B10" s="94">
        <v>3716.1</v>
      </c>
      <c r="C10" s="15">
        <f>B10*8.65</f>
        <v>32144.265</v>
      </c>
      <c r="D10" s="16">
        <f>C10*0.24088</f>
        <v>7742.9105532</v>
      </c>
      <c r="E10" s="95">
        <v>1708.11</v>
      </c>
      <c r="F10" s="95">
        <v>576.72</v>
      </c>
      <c r="G10" s="95">
        <v>2305.96</v>
      </c>
      <c r="H10" s="95">
        <v>778.52</v>
      </c>
      <c r="I10" s="95">
        <v>5551.36</v>
      </c>
      <c r="J10" s="95">
        <v>1874.25</v>
      </c>
      <c r="K10" s="95">
        <v>3843.28</v>
      </c>
      <c r="L10" s="95">
        <v>1297.57</v>
      </c>
      <c r="M10" s="90">
        <v>1366.37</v>
      </c>
      <c r="N10" s="90">
        <v>461.42</v>
      </c>
      <c r="O10" s="83">
        <v>0</v>
      </c>
      <c r="P10" s="83">
        <v>0</v>
      </c>
      <c r="Q10" s="83">
        <v>0</v>
      </c>
      <c r="R10" s="83">
        <v>0</v>
      </c>
      <c r="S10" s="17">
        <f>E10+G10+I10+K10+M10+O10+Q10</f>
        <v>14775.080000000002</v>
      </c>
      <c r="T10" s="17">
        <f>P10+N10+L10+J10+H10+F10+R10</f>
        <v>4988.4800000000005</v>
      </c>
      <c r="U10" s="95">
        <v>1301.73</v>
      </c>
      <c r="V10" s="95">
        <v>1757.31</v>
      </c>
      <c r="W10" s="95">
        <v>4896.88</v>
      </c>
      <c r="X10" s="95">
        <v>2928.87</v>
      </c>
      <c r="Y10" s="95">
        <v>1041.34</v>
      </c>
      <c r="Z10" s="93">
        <v>0</v>
      </c>
      <c r="AA10" s="93">
        <v>0</v>
      </c>
      <c r="AB10" s="19">
        <f>SUM(U10:AA10)</f>
        <v>11926.130000000001</v>
      </c>
      <c r="AC10" s="144">
        <f>AB10+T10+D10</f>
        <v>24657.5205532</v>
      </c>
      <c r="AD10" s="145">
        <f>P10+Z10</f>
        <v>0</v>
      </c>
      <c r="AE10" s="145">
        <f>R10+AA10</f>
        <v>0</v>
      </c>
      <c r="AF10" s="144">
        <v>0</v>
      </c>
      <c r="AG10" s="20">
        <v>2229.66</v>
      </c>
      <c r="AH10" s="20">
        <v>746.9361</v>
      </c>
      <c r="AI10" s="20">
        <v>3165.3639799999996</v>
      </c>
      <c r="AJ10" s="20">
        <v>569.7655163999999</v>
      </c>
      <c r="AK10" s="20">
        <v>3683.4875064</v>
      </c>
      <c r="AL10" s="20">
        <v>663.027751152</v>
      </c>
      <c r="AM10" s="20">
        <v>6764.866478099999</v>
      </c>
      <c r="AN10" s="20">
        <v>1217.6759660579999</v>
      </c>
      <c r="AO10" s="21"/>
      <c r="AP10" s="21">
        <v>0</v>
      </c>
      <c r="AQ10" s="21"/>
      <c r="AR10" s="21"/>
      <c r="AS10" s="100">
        <v>900</v>
      </c>
      <c r="AT10" s="100"/>
      <c r="AU10" s="31">
        <v>162</v>
      </c>
      <c r="AV10" s="31"/>
      <c r="AW10" s="31"/>
      <c r="AX10" s="21">
        <v>0</v>
      </c>
      <c r="AY10" s="21">
        <v>0</v>
      </c>
      <c r="AZ10" s="21">
        <v>0</v>
      </c>
      <c r="BA10" s="20">
        <f t="shared" si="0"/>
        <v>0</v>
      </c>
      <c r="BB10" s="20">
        <f>SUM(AG10:BA10)</f>
        <v>20102.783298109996</v>
      </c>
      <c r="BC10" s="20"/>
      <c r="BD10" s="20">
        <f>AC10-BB10</f>
        <v>4554.737255090004</v>
      </c>
      <c r="BE10" s="22">
        <f>AB10-S10</f>
        <v>-2848.9500000000007</v>
      </c>
    </row>
    <row r="11" spans="1:57" ht="12.75">
      <c r="A11" s="13" t="s">
        <v>43</v>
      </c>
      <c r="B11" s="94">
        <v>3716.1</v>
      </c>
      <c r="C11" s="15">
        <f>B11*8.65</f>
        <v>32144.265</v>
      </c>
      <c r="D11" s="16">
        <f>C11*0.24035</f>
        <v>7725.87409275</v>
      </c>
      <c r="E11" s="95">
        <v>2308.5</v>
      </c>
      <c r="F11" s="95">
        <v>591.4</v>
      </c>
      <c r="G11" s="95">
        <v>3116.56</v>
      </c>
      <c r="H11" s="95">
        <v>798.36</v>
      </c>
      <c r="I11" s="95">
        <v>7503.66</v>
      </c>
      <c r="J11" s="95">
        <v>1922</v>
      </c>
      <c r="K11" s="95">
        <v>5194.21</v>
      </c>
      <c r="L11" s="95">
        <v>1330.62</v>
      </c>
      <c r="M11" s="90">
        <v>1846.63</v>
      </c>
      <c r="N11" s="96">
        <v>473.14</v>
      </c>
      <c r="O11" s="83">
        <v>0</v>
      </c>
      <c r="P11" s="92">
        <v>0</v>
      </c>
      <c r="Q11" s="83">
        <v>0</v>
      </c>
      <c r="R11" s="92">
        <v>0</v>
      </c>
      <c r="S11" s="17">
        <f>E11+G11+I11+K11+M11+O11+Q11</f>
        <v>19969.56</v>
      </c>
      <c r="T11" s="17">
        <f>P11+N11+L11+J11+H11+F11+R11</f>
        <v>5115.5199999999995</v>
      </c>
      <c r="U11" s="95">
        <v>2673.14</v>
      </c>
      <c r="V11" s="95">
        <v>3608.87</v>
      </c>
      <c r="W11" s="95">
        <v>8572.29</v>
      </c>
      <c r="X11" s="95">
        <v>6014.68</v>
      </c>
      <c r="Y11" s="95">
        <v>2138.38</v>
      </c>
      <c r="Z11" s="93">
        <v>0</v>
      </c>
      <c r="AA11" s="93">
        <v>0</v>
      </c>
      <c r="AB11" s="19">
        <f>SUM(U11:AA11)</f>
        <v>23007.360000000004</v>
      </c>
      <c r="AC11" s="144">
        <f>AB11+T11+D11</f>
        <v>35848.75409275001</v>
      </c>
      <c r="AD11" s="145">
        <f>P11+Z11</f>
        <v>0</v>
      </c>
      <c r="AE11" s="145">
        <f>R11+AA11</f>
        <v>0</v>
      </c>
      <c r="AF11" s="144">
        <v>0</v>
      </c>
      <c r="AG11" s="20">
        <v>2229.66</v>
      </c>
      <c r="AH11" s="20">
        <v>761.9788728</v>
      </c>
      <c r="AI11" s="20">
        <v>3156.1580519999998</v>
      </c>
      <c r="AJ11" s="20">
        <v>568.1084493599999</v>
      </c>
      <c r="AK11" s="20">
        <v>3672.78216552</v>
      </c>
      <c r="AL11" s="20">
        <v>661.1007897936</v>
      </c>
      <c r="AM11" s="20">
        <v>6745.2057078299995</v>
      </c>
      <c r="AN11" s="20">
        <v>1214.1370274094</v>
      </c>
      <c r="AO11" s="21"/>
      <c r="AP11" s="21">
        <v>0</v>
      </c>
      <c r="AQ11" s="21"/>
      <c r="AR11" s="21"/>
      <c r="AS11" s="101">
        <v>22522</v>
      </c>
      <c r="AT11" s="101"/>
      <c r="AU11" s="31">
        <v>4053.96</v>
      </c>
      <c r="AV11" s="31"/>
      <c r="AW11" s="31"/>
      <c r="AX11" s="21">
        <v>0</v>
      </c>
      <c r="AY11" s="21">
        <v>0</v>
      </c>
      <c r="AZ11" s="21">
        <v>0</v>
      </c>
      <c r="BA11" s="20">
        <f t="shared" si="0"/>
        <v>0</v>
      </c>
      <c r="BB11" s="20">
        <f>SUM(AG11:BA11)</f>
        <v>45585.091064713</v>
      </c>
      <c r="BC11" s="20"/>
      <c r="BD11" s="20">
        <f>AC11-BB11</f>
        <v>-9736.336971962992</v>
      </c>
      <c r="BE11" s="22">
        <f>AB11-S11</f>
        <v>3037.800000000003</v>
      </c>
    </row>
    <row r="12" spans="1:57" s="29" customFormat="1" ht="15" customHeight="1">
      <c r="A12" s="23" t="s">
        <v>5</v>
      </c>
      <c r="B12" s="24"/>
      <c r="C12" s="24">
        <f aca="true" t="shared" si="1" ref="C12:BE12">SUM(C9:C11)</f>
        <v>96432.795</v>
      </c>
      <c r="D12" s="24">
        <f t="shared" si="1"/>
        <v>23211.695199150003</v>
      </c>
      <c r="E12" s="85">
        <f t="shared" si="1"/>
        <v>6504.45</v>
      </c>
      <c r="F12" s="85">
        <f t="shared" si="1"/>
        <v>1776.7600000000002</v>
      </c>
      <c r="G12" s="85">
        <f t="shared" si="1"/>
        <v>8781.19</v>
      </c>
      <c r="H12" s="85">
        <f t="shared" si="1"/>
        <v>2398.53</v>
      </c>
      <c r="I12" s="85">
        <f t="shared" si="1"/>
        <v>21140.58</v>
      </c>
      <c r="J12" s="85">
        <f t="shared" si="1"/>
        <v>5774.33</v>
      </c>
      <c r="K12" s="85">
        <f t="shared" si="1"/>
        <v>14635.21</v>
      </c>
      <c r="L12" s="85">
        <f t="shared" si="1"/>
        <v>3997.63</v>
      </c>
      <c r="M12" s="85">
        <f t="shared" si="1"/>
        <v>5203.26</v>
      </c>
      <c r="N12" s="85">
        <f t="shared" si="1"/>
        <v>1421.48</v>
      </c>
      <c r="O12" s="86">
        <f t="shared" si="1"/>
        <v>0</v>
      </c>
      <c r="P12" s="25">
        <f t="shared" si="1"/>
        <v>0</v>
      </c>
      <c r="Q12" s="25">
        <f t="shared" si="1"/>
        <v>0</v>
      </c>
      <c r="R12" s="25">
        <f t="shared" si="1"/>
        <v>0</v>
      </c>
      <c r="S12" s="25">
        <f t="shared" si="1"/>
        <v>56264.69</v>
      </c>
      <c r="T12" s="25">
        <f t="shared" si="1"/>
        <v>15368.73</v>
      </c>
      <c r="U12" s="26">
        <f t="shared" si="1"/>
        <v>3997.18</v>
      </c>
      <c r="V12" s="26">
        <f t="shared" si="1"/>
        <v>5396.29</v>
      </c>
      <c r="W12" s="26">
        <f t="shared" si="1"/>
        <v>13541.670000000002</v>
      </c>
      <c r="X12" s="26">
        <f t="shared" si="1"/>
        <v>8993.74</v>
      </c>
      <c r="Y12" s="26">
        <f t="shared" si="1"/>
        <v>3197.5699999999997</v>
      </c>
      <c r="Z12" s="26">
        <f t="shared" si="1"/>
        <v>0</v>
      </c>
      <c r="AA12" s="26">
        <f t="shared" si="1"/>
        <v>0</v>
      </c>
      <c r="AB12" s="26">
        <f t="shared" si="1"/>
        <v>35126.450000000004</v>
      </c>
      <c r="AC12" s="26">
        <f t="shared" si="1"/>
        <v>73706.87519915</v>
      </c>
      <c r="AD12" s="146">
        <f t="shared" si="1"/>
        <v>0</v>
      </c>
      <c r="AE12" s="146">
        <f t="shared" si="1"/>
        <v>0</v>
      </c>
      <c r="AF12" s="26">
        <f>SUM(AF9:AF11)</f>
        <v>0</v>
      </c>
      <c r="AG12" s="27">
        <f t="shared" si="1"/>
        <v>6688.98</v>
      </c>
      <c r="AH12" s="27">
        <f t="shared" si="1"/>
        <v>2295.43497</v>
      </c>
      <c r="AI12" s="27">
        <f t="shared" si="1"/>
        <v>9486.886011999999</v>
      </c>
      <c r="AJ12" s="27">
        <f t="shared" si="1"/>
        <v>1707.6394821599997</v>
      </c>
      <c r="AK12" s="27">
        <f t="shared" si="1"/>
        <v>11039.75717832</v>
      </c>
      <c r="AL12" s="27">
        <f t="shared" si="1"/>
        <v>1987.1562920975998</v>
      </c>
      <c r="AM12" s="27">
        <f>SUM(AM9:AM11)</f>
        <v>20274.938664029996</v>
      </c>
      <c r="AN12" s="27">
        <f>SUM(AN9:AN11)</f>
        <v>3649.4889595254</v>
      </c>
      <c r="AO12" s="27">
        <f t="shared" si="1"/>
        <v>0</v>
      </c>
      <c r="AP12" s="27">
        <f t="shared" si="1"/>
        <v>0</v>
      </c>
      <c r="AQ12" s="27"/>
      <c r="AR12" s="27"/>
      <c r="AS12" s="85">
        <f t="shared" si="1"/>
        <v>43463.369999999995</v>
      </c>
      <c r="AT12" s="85"/>
      <c r="AU12" s="85">
        <f t="shared" si="1"/>
        <v>7823.4066</v>
      </c>
      <c r="AV12" s="85"/>
      <c r="AW12" s="85"/>
      <c r="AX12" s="27">
        <f t="shared" si="1"/>
        <v>0</v>
      </c>
      <c r="AY12" s="27">
        <f t="shared" si="1"/>
        <v>0</v>
      </c>
      <c r="AZ12" s="27">
        <f t="shared" si="1"/>
        <v>0</v>
      </c>
      <c r="BA12" s="27">
        <f t="shared" si="1"/>
        <v>0</v>
      </c>
      <c r="BB12" s="27">
        <f t="shared" si="1"/>
        <v>108417.058158133</v>
      </c>
      <c r="BC12" s="27"/>
      <c r="BD12" s="27">
        <f t="shared" si="1"/>
        <v>-34710.18295898299</v>
      </c>
      <c r="BE12" s="28">
        <f t="shared" si="1"/>
        <v>-21138.239999999998</v>
      </c>
    </row>
    <row r="13" spans="1:57" ht="15" customHeight="1">
      <c r="A13" s="5" t="s">
        <v>44</v>
      </c>
      <c r="B13" s="82"/>
      <c r="C13" s="15"/>
      <c r="D13" s="15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4"/>
      <c r="P13" s="18"/>
      <c r="Q13" s="17"/>
      <c r="R13" s="17"/>
      <c r="S13" s="17"/>
      <c r="T13" s="17"/>
      <c r="U13" s="30"/>
      <c r="V13" s="30"/>
      <c r="W13" s="30"/>
      <c r="X13" s="30"/>
      <c r="Y13" s="30"/>
      <c r="Z13" s="30"/>
      <c r="AA13" s="19"/>
      <c r="AB13" s="19"/>
      <c r="AC13" s="144"/>
      <c r="AD13" s="145"/>
      <c r="AE13" s="145"/>
      <c r="AF13" s="144"/>
      <c r="AG13" s="20"/>
      <c r="AH13" s="20"/>
      <c r="AI13" s="20"/>
      <c r="AJ13" s="20"/>
      <c r="AK13" s="20"/>
      <c r="AL13" s="20"/>
      <c r="AM13" s="20"/>
      <c r="AN13" s="20"/>
      <c r="AO13" s="21"/>
      <c r="AP13" s="21"/>
      <c r="AQ13" s="21"/>
      <c r="AR13" s="21"/>
      <c r="AS13" s="100"/>
      <c r="AT13" s="100"/>
      <c r="AU13" s="31"/>
      <c r="AV13" s="31"/>
      <c r="AW13" s="31"/>
      <c r="AX13" s="21"/>
      <c r="AY13" s="21"/>
      <c r="AZ13" s="21"/>
      <c r="BA13" s="20"/>
      <c r="BB13" s="20"/>
      <c r="BC13" s="20"/>
      <c r="BD13" s="20"/>
      <c r="BE13" s="22"/>
    </row>
    <row r="14" spans="1:57" ht="12.75">
      <c r="A14" s="13" t="s">
        <v>45</v>
      </c>
      <c r="B14" s="149">
        <v>3714.7</v>
      </c>
      <c r="C14" s="150">
        <f aca="true" t="shared" si="2" ref="C14:C25">B14*8.65</f>
        <v>32132.155</v>
      </c>
      <c r="D14" s="151">
        <f>C14*0.125</f>
        <v>4016.519375</v>
      </c>
      <c r="E14" s="95">
        <v>2152.85</v>
      </c>
      <c r="F14" s="95">
        <v>591.36</v>
      </c>
      <c r="G14" s="95">
        <v>2906.37</v>
      </c>
      <c r="H14" s="95">
        <v>798.3</v>
      </c>
      <c r="I14" s="95">
        <v>7235.12</v>
      </c>
      <c r="J14" s="95">
        <v>1921.87</v>
      </c>
      <c r="K14" s="95">
        <v>4843.93</v>
      </c>
      <c r="L14" s="95">
        <v>1330.53</v>
      </c>
      <c r="M14" s="90">
        <v>1722.21</v>
      </c>
      <c r="N14" s="96">
        <v>473.11</v>
      </c>
      <c r="O14" s="103">
        <v>0</v>
      </c>
      <c r="P14" s="103">
        <v>0</v>
      </c>
      <c r="Q14" s="103">
        <v>0</v>
      </c>
      <c r="R14" s="103">
        <v>0</v>
      </c>
      <c r="S14" s="95">
        <f aca="true" t="shared" si="3" ref="S14:S25">E14+G14+I14+K14+M14+O14+Q14</f>
        <v>18860.48</v>
      </c>
      <c r="T14" s="152">
        <f aca="true" t="shared" si="4" ref="T14:T25">P14+N14+L14+J14+H14+F14+R14</f>
        <v>5115.169999999999</v>
      </c>
      <c r="U14" s="95">
        <v>2468.74</v>
      </c>
      <c r="V14" s="95">
        <v>3332.86</v>
      </c>
      <c r="W14" s="95">
        <v>7726.58</v>
      </c>
      <c r="X14" s="95">
        <v>5554.79</v>
      </c>
      <c r="Y14" s="95">
        <v>1974.88</v>
      </c>
      <c r="Z14" s="95">
        <v>0</v>
      </c>
      <c r="AA14" s="103">
        <v>0</v>
      </c>
      <c r="AB14" s="153">
        <f aca="true" t="shared" si="5" ref="AB14:AB22">SUM(U14:AA14)</f>
        <v>21057.850000000002</v>
      </c>
      <c r="AC14" s="154">
        <f aca="true" t="shared" si="6" ref="AC14:AC22">D14+T14+AB14</f>
        <v>30189.539375</v>
      </c>
      <c r="AD14" s="155">
        <f aca="true" t="shared" si="7" ref="AD14:AD25">P14+Z14</f>
        <v>0</v>
      </c>
      <c r="AE14" s="155">
        <f aca="true" t="shared" si="8" ref="AE14:AE25">R14+AA14</f>
        <v>0</v>
      </c>
      <c r="AF14" s="155">
        <f>'[1]Т01-09'!$I$4+'[1]Т01-09'!$I$11+'[1]Т01-09'!$I$16</f>
        <v>11757.672308000001</v>
      </c>
      <c r="AG14" s="32">
        <f>0.6*B14*0.9</f>
        <v>2005.9379999999999</v>
      </c>
      <c r="AH14" s="32">
        <f>B14*0.2*0.891</f>
        <v>661.9595400000001</v>
      </c>
      <c r="AI14" s="32">
        <f>0.85*B14*0.867-0.02</f>
        <v>2737.5281649999997</v>
      </c>
      <c r="AJ14" s="32">
        <f aca="true" t="shared" si="9" ref="AJ14:AJ25">AI14*0.18</f>
        <v>492.7550696999999</v>
      </c>
      <c r="AK14" s="32">
        <f>0.83*B14*0.8685</f>
        <v>2677.7600684999998</v>
      </c>
      <c r="AL14" s="32">
        <f aca="true" t="shared" si="10" ref="AL14:AL25">AK14*0.18</f>
        <v>481.99681232999995</v>
      </c>
      <c r="AM14" s="32">
        <f>1.91*B14*0.8686</f>
        <v>6162.783882199999</v>
      </c>
      <c r="AN14" s="32">
        <f aca="true" t="shared" si="11" ref="AN14:AN25">AM14*0.18</f>
        <v>1109.301098796</v>
      </c>
      <c r="AO14" s="32"/>
      <c r="AP14" s="32">
        <f aca="true" t="shared" si="12" ref="AP14:AR25">AO14*0.18</f>
        <v>0</v>
      </c>
      <c r="AQ14" s="156"/>
      <c r="AR14" s="156">
        <f>AQ14*0.18</f>
        <v>0</v>
      </c>
      <c r="AS14" s="101">
        <v>21681</v>
      </c>
      <c r="AT14" s="101"/>
      <c r="AU14" s="101">
        <f>(AS14+AT14)*0.18+0.01</f>
        <v>3902.59</v>
      </c>
      <c r="AV14" s="157">
        <v>508</v>
      </c>
      <c r="AW14" s="158">
        <v>2.5</v>
      </c>
      <c r="AX14" s="32">
        <f aca="true" t="shared" si="13" ref="AX14:AX25">AV14*AW14*1.12*1.18</f>
        <v>1678.432</v>
      </c>
      <c r="AY14" s="159"/>
      <c r="AZ14" s="160"/>
      <c r="BA14" s="160">
        <f>AZ14*0.18</f>
        <v>0</v>
      </c>
      <c r="BB14" s="160">
        <f>SUM(AG14:AU14)</f>
        <v>41913.612636526</v>
      </c>
      <c r="BC14" s="161">
        <f>'[2]Т01-09'!$O$4+'[2]Т01-09'!$O$11+'[2]Т01-09'!$O$16</f>
        <v>4998.747953692001</v>
      </c>
      <c r="BD14" s="162">
        <f>(AC14-BB14)+(AF14-BC14)</f>
        <v>-4965.148907217998</v>
      </c>
      <c r="BE14" s="22">
        <f>AB14-S14</f>
        <v>2197.3700000000026</v>
      </c>
    </row>
    <row r="15" spans="1:57" ht="12.75">
      <c r="A15" s="13" t="s">
        <v>46</v>
      </c>
      <c r="B15" s="149">
        <v>3714.7</v>
      </c>
      <c r="C15" s="150">
        <f t="shared" si="2"/>
        <v>32132.155</v>
      </c>
      <c r="D15" s="151">
        <f>C15*0.125</f>
        <v>4016.519375</v>
      </c>
      <c r="E15" s="95">
        <v>2473.26</v>
      </c>
      <c r="F15" s="95">
        <v>591.36</v>
      </c>
      <c r="G15" s="95">
        <v>3339.01</v>
      </c>
      <c r="H15" s="95">
        <v>798.3</v>
      </c>
      <c r="I15" s="95">
        <v>8038.19</v>
      </c>
      <c r="J15" s="95">
        <v>1921.87</v>
      </c>
      <c r="K15" s="95">
        <v>5564.94</v>
      </c>
      <c r="L15" s="95">
        <v>1330.53</v>
      </c>
      <c r="M15" s="90">
        <v>1978.56</v>
      </c>
      <c r="N15" s="96">
        <v>473.11</v>
      </c>
      <c r="O15" s="103">
        <v>0</v>
      </c>
      <c r="P15" s="103">
        <v>0</v>
      </c>
      <c r="Q15" s="103">
        <v>0</v>
      </c>
      <c r="R15" s="103">
        <v>0</v>
      </c>
      <c r="S15" s="95">
        <f t="shared" si="3"/>
        <v>21393.96</v>
      </c>
      <c r="T15" s="152">
        <f t="shared" si="4"/>
        <v>5115.169999999999</v>
      </c>
      <c r="U15" s="95">
        <v>1691.5</v>
      </c>
      <c r="V15" s="95">
        <v>2283.63</v>
      </c>
      <c r="W15" s="95">
        <v>5497.19</v>
      </c>
      <c r="X15" s="95">
        <v>3805.94</v>
      </c>
      <c r="Y15" s="95">
        <v>1353.22</v>
      </c>
      <c r="Z15" s="95">
        <v>0</v>
      </c>
      <c r="AA15" s="103">
        <v>0</v>
      </c>
      <c r="AB15" s="163">
        <f t="shared" si="5"/>
        <v>14631.48</v>
      </c>
      <c r="AC15" s="154">
        <f t="shared" si="6"/>
        <v>23763.169374999998</v>
      </c>
      <c r="AD15" s="155">
        <f t="shared" si="7"/>
        <v>0</v>
      </c>
      <c r="AE15" s="155">
        <f t="shared" si="8"/>
        <v>0</v>
      </c>
      <c r="AF15" s="155">
        <f>'[1]Т02-09'!$I$4+'[1]Т02-09'!$I$11+'[1]Т02-09'!$I$16</f>
        <v>11757.672308000001</v>
      </c>
      <c r="AG15" s="32">
        <f>0.6*B15*0.9</f>
        <v>2005.9379999999999</v>
      </c>
      <c r="AH15" s="32">
        <f>B15*0.2*0.9153</f>
        <v>680.0129820000001</v>
      </c>
      <c r="AI15" s="32">
        <f>0.85*B15*0.867</f>
        <v>2737.5481649999997</v>
      </c>
      <c r="AJ15" s="32">
        <f t="shared" si="9"/>
        <v>492.7586696999999</v>
      </c>
      <c r="AK15" s="32">
        <f>0.83*B15*0.8684</f>
        <v>2677.4517483999994</v>
      </c>
      <c r="AL15" s="32">
        <f t="shared" si="10"/>
        <v>481.9413147119999</v>
      </c>
      <c r="AM15" s="32">
        <f>(1.91)*B15*0.8684</f>
        <v>6161.364866799999</v>
      </c>
      <c r="AN15" s="32">
        <f t="shared" si="11"/>
        <v>1109.0456760239997</v>
      </c>
      <c r="AO15" s="32"/>
      <c r="AP15" s="32">
        <f t="shared" si="12"/>
        <v>0</v>
      </c>
      <c r="AQ15" s="156"/>
      <c r="AR15" s="156">
        <f>AQ15*0.18</f>
        <v>0</v>
      </c>
      <c r="AS15" s="101">
        <v>15803</v>
      </c>
      <c r="AT15" s="101">
        <f>756*6</f>
        <v>4536</v>
      </c>
      <c r="AU15" s="101">
        <f aca="true" t="shared" si="14" ref="AU15:AU25">(AS15+AT15)*0.18</f>
        <v>3661.02</v>
      </c>
      <c r="AV15" s="157">
        <v>407</v>
      </c>
      <c r="AW15" s="158">
        <v>2.5</v>
      </c>
      <c r="AX15" s="32">
        <f t="shared" si="13"/>
        <v>1344.728</v>
      </c>
      <c r="AY15" s="159"/>
      <c r="AZ15" s="160"/>
      <c r="BA15" s="160">
        <f>AZ15*0.18</f>
        <v>0</v>
      </c>
      <c r="BB15" s="160">
        <f>SUM(AG15:AU15)</f>
        <v>40346.081422635994</v>
      </c>
      <c r="BC15" s="164">
        <f>'[2]Т02-09'!$O$4+'[2]Т02-09'!$O$11+'[2]Т02-09'!$O$16</f>
        <v>5006.285849152</v>
      </c>
      <c r="BD15" s="162">
        <f aca="true" t="shared" si="15" ref="BD15:BD25">(AC15-BB15)+(AF15-BC15)</f>
        <v>-9831.525588787996</v>
      </c>
      <c r="BE15" s="22">
        <f aca="true" t="shared" si="16" ref="BE15:BE25">AB15-S15</f>
        <v>-6762.48</v>
      </c>
    </row>
    <row r="16" spans="1:57" ht="12.75">
      <c r="A16" s="13" t="s">
        <v>47</v>
      </c>
      <c r="B16" s="165">
        <v>3714.7</v>
      </c>
      <c r="C16" s="150">
        <f t="shared" si="2"/>
        <v>32132.155</v>
      </c>
      <c r="D16" s="151">
        <f>C16*0.125</f>
        <v>4016.519375</v>
      </c>
      <c r="E16" s="95">
        <v>2463.95</v>
      </c>
      <c r="F16" s="95">
        <v>591.36</v>
      </c>
      <c r="G16" s="95">
        <v>3326.43</v>
      </c>
      <c r="H16" s="95">
        <v>798.3</v>
      </c>
      <c r="I16" s="95">
        <v>8007.9</v>
      </c>
      <c r="J16" s="95">
        <v>1921.87</v>
      </c>
      <c r="K16" s="95">
        <v>5543.97</v>
      </c>
      <c r="L16" s="95">
        <v>1330.53</v>
      </c>
      <c r="M16" s="90">
        <v>1971.11</v>
      </c>
      <c r="N16" s="96">
        <v>473.11</v>
      </c>
      <c r="O16" s="103">
        <v>0</v>
      </c>
      <c r="P16" s="103">
        <v>0</v>
      </c>
      <c r="Q16" s="103">
        <v>0</v>
      </c>
      <c r="R16" s="103">
        <v>0</v>
      </c>
      <c r="S16" s="95">
        <f t="shared" si="3"/>
        <v>21313.36</v>
      </c>
      <c r="T16" s="152">
        <f t="shared" si="4"/>
        <v>5115.169999999999</v>
      </c>
      <c r="U16" s="97">
        <v>2369.07</v>
      </c>
      <c r="V16" s="97">
        <v>3198.35</v>
      </c>
      <c r="W16" s="97">
        <v>7690</v>
      </c>
      <c r="X16" s="97">
        <v>5330.45</v>
      </c>
      <c r="Y16" s="97">
        <v>1895.21</v>
      </c>
      <c r="Z16" s="97">
        <v>0</v>
      </c>
      <c r="AA16" s="166">
        <v>0</v>
      </c>
      <c r="AB16" s="153">
        <f t="shared" si="5"/>
        <v>20483.079999999998</v>
      </c>
      <c r="AC16" s="154">
        <f t="shared" si="6"/>
        <v>29614.769374999996</v>
      </c>
      <c r="AD16" s="155">
        <f t="shared" si="7"/>
        <v>0</v>
      </c>
      <c r="AE16" s="155">
        <f t="shared" si="8"/>
        <v>0</v>
      </c>
      <c r="AF16" s="155">
        <f>'[1]Т02-09'!$I$4+'[1]Т02-09'!$I$11+'[1]Т02-09'!$I$16</f>
        <v>11757.672308000001</v>
      </c>
      <c r="AG16" s="32">
        <f>0.6*B16*0.9</f>
        <v>2005.9379999999999</v>
      </c>
      <c r="AH16" s="167">
        <f>B16*0.2*0.9082</f>
        <v>674.738108</v>
      </c>
      <c r="AI16" s="32">
        <f>0.85*B16*0.8675</f>
        <v>2739.1269125</v>
      </c>
      <c r="AJ16" s="32">
        <f t="shared" si="9"/>
        <v>493.04284425</v>
      </c>
      <c r="AK16" s="167">
        <f>0.83*B16*0.838</f>
        <v>2583.7224379999993</v>
      </c>
      <c r="AL16" s="32">
        <f t="shared" si="10"/>
        <v>465.0700388399999</v>
      </c>
      <c r="AM16" s="32">
        <f>1.91*B16*0.8381</f>
        <v>5946.384033699999</v>
      </c>
      <c r="AN16" s="32">
        <f t="shared" si="11"/>
        <v>1070.3491260659998</v>
      </c>
      <c r="AO16" s="32"/>
      <c r="AP16" s="32">
        <f t="shared" si="12"/>
        <v>0</v>
      </c>
      <c r="AQ16" s="156"/>
      <c r="AR16" s="156">
        <f>AQ16*0.18</f>
        <v>0</v>
      </c>
      <c r="AS16" s="101">
        <v>27928</v>
      </c>
      <c r="AT16" s="101"/>
      <c r="AU16" s="101">
        <f t="shared" si="14"/>
        <v>5027.04</v>
      </c>
      <c r="AV16" s="157">
        <v>383</v>
      </c>
      <c r="AW16" s="158">
        <v>2.5</v>
      </c>
      <c r="AX16" s="32">
        <f t="shared" si="13"/>
        <v>1265.432</v>
      </c>
      <c r="AY16" s="159"/>
      <c r="AZ16" s="160"/>
      <c r="BA16" s="160">
        <f>AZ16*0.18</f>
        <v>0</v>
      </c>
      <c r="BB16" s="160">
        <f>SUM(AG16:AU16)</f>
        <v>48933.411501356</v>
      </c>
      <c r="BC16" s="164">
        <f>'[2]Т03-09'!$O$4+'[2]Т03-09'!$O$11+'[2]Т03-09'!$O$16</f>
        <v>4901.281463265999</v>
      </c>
      <c r="BD16" s="162">
        <f t="shared" si="15"/>
        <v>-12462.251281622002</v>
      </c>
      <c r="BE16" s="22">
        <f t="shared" si="16"/>
        <v>-830.2800000000025</v>
      </c>
    </row>
    <row r="17" spans="1:57" ht="12.75">
      <c r="A17" s="13" t="s">
        <v>48</v>
      </c>
      <c r="B17" s="168">
        <v>3714.7</v>
      </c>
      <c r="C17" s="150">
        <f t="shared" si="2"/>
        <v>32132.155</v>
      </c>
      <c r="D17" s="151">
        <f>C17*0.125</f>
        <v>4016.519375</v>
      </c>
      <c r="E17" s="97">
        <v>2514.85</v>
      </c>
      <c r="F17" s="97">
        <v>591.36</v>
      </c>
      <c r="G17" s="97">
        <v>3395.15</v>
      </c>
      <c r="H17" s="97">
        <v>798.3</v>
      </c>
      <c r="I17" s="97">
        <v>8173.34</v>
      </c>
      <c r="J17" s="97">
        <v>1921.87</v>
      </c>
      <c r="K17" s="97">
        <v>5658.53</v>
      </c>
      <c r="L17" s="97">
        <v>1330.53</v>
      </c>
      <c r="M17" s="98">
        <v>2011.82</v>
      </c>
      <c r="N17" s="99">
        <v>473.11</v>
      </c>
      <c r="O17" s="166">
        <v>0</v>
      </c>
      <c r="P17" s="166">
        <v>0</v>
      </c>
      <c r="Q17" s="166">
        <v>0</v>
      </c>
      <c r="R17" s="166">
        <v>0</v>
      </c>
      <c r="S17" s="95">
        <f t="shared" si="3"/>
        <v>21753.69</v>
      </c>
      <c r="T17" s="152">
        <f t="shared" si="4"/>
        <v>5115.169999999999</v>
      </c>
      <c r="U17" s="95">
        <v>2222.19</v>
      </c>
      <c r="V17" s="95">
        <v>3000.04</v>
      </c>
      <c r="W17" s="95">
        <v>7222.23</v>
      </c>
      <c r="X17" s="95">
        <v>5000.07</v>
      </c>
      <c r="Y17" s="95">
        <v>1777.67</v>
      </c>
      <c r="Z17" s="95">
        <v>0</v>
      </c>
      <c r="AA17" s="95">
        <v>0</v>
      </c>
      <c r="AB17" s="153">
        <f t="shared" si="5"/>
        <v>19222.199999999997</v>
      </c>
      <c r="AC17" s="154">
        <f t="shared" si="6"/>
        <v>28353.889374999995</v>
      </c>
      <c r="AD17" s="155">
        <f t="shared" si="7"/>
        <v>0</v>
      </c>
      <c r="AE17" s="155">
        <f t="shared" si="8"/>
        <v>0</v>
      </c>
      <c r="AF17" s="155">
        <f>'[2]Т04-09'!$I$4+'[2]Т04-09'!$I$11+'[2]Т04-09'!$I$16</f>
        <v>11757.672308000001</v>
      </c>
      <c r="AG17" s="32">
        <f>0.6*B17*0.9</f>
        <v>2005.9379999999999</v>
      </c>
      <c r="AH17" s="167">
        <f>B17*0.2*0.9234</f>
        <v>686.030796</v>
      </c>
      <c r="AI17" s="32">
        <f>0.85*B17*0.8934</f>
        <v>2820.9060329999998</v>
      </c>
      <c r="AJ17" s="32">
        <f t="shared" si="9"/>
        <v>507.76308593999994</v>
      </c>
      <c r="AK17" s="32">
        <f>0.83*B17*0.8498</f>
        <v>2620.1042098</v>
      </c>
      <c r="AL17" s="32">
        <f t="shared" si="10"/>
        <v>471.61875776399995</v>
      </c>
      <c r="AM17" s="32">
        <f>(1.91)*B17*0.8498</f>
        <v>6029.396434599999</v>
      </c>
      <c r="AN17" s="32">
        <f t="shared" si="11"/>
        <v>1085.2913582279998</v>
      </c>
      <c r="AO17" s="32"/>
      <c r="AP17" s="32">
        <f t="shared" si="12"/>
        <v>0</v>
      </c>
      <c r="AQ17" s="156"/>
      <c r="AR17" s="156">
        <f t="shared" si="12"/>
        <v>0</v>
      </c>
      <c r="AS17" s="101">
        <v>14943.08</v>
      </c>
      <c r="AT17" s="101"/>
      <c r="AU17" s="101">
        <f t="shared" si="14"/>
        <v>2689.7544</v>
      </c>
      <c r="AV17" s="157">
        <v>307</v>
      </c>
      <c r="AW17" s="158">
        <v>2.5</v>
      </c>
      <c r="AX17" s="32">
        <f t="shared" si="13"/>
        <v>1014.3280000000001</v>
      </c>
      <c r="AY17" s="77">
        <v>0</v>
      </c>
      <c r="AZ17" s="77">
        <v>0</v>
      </c>
      <c r="BA17" s="61">
        <f t="shared" si="0"/>
        <v>0</v>
      </c>
      <c r="BB17" s="160">
        <f>SUM(AG17:AU17)+AX14+AX15+AX16+AX17</f>
        <v>39162.803075332005</v>
      </c>
      <c r="BC17" s="164">
        <f>'[2]Т04-09'!$O$4+'[2]Т04-09'!$O$11+'[2]Т04-09'!$O$16</f>
        <v>5041.116818696</v>
      </c>
      <c r="BD17" s="162">
        <f>(AC17-BB17)+(AF17-BC17)</f>
        <v>-4092.3582110280095</v>
      </c>
      <c r="BE17" s="22">
        <f t="shared" si="16"/>
        <v>-2531.4900000000016</v>
      </c>
    </row>
    <row r="18" spans="1:57" ht="12.75">
      <c r="A18" s="13" t="s">
        <v>49</v>
      </c>
      <c r="B18" s="165">
        <v>3714.7</v>
      </c>
      <c r="C18" s="150">
        <f t="shared" si="2"/>
        <v>32132.155</v>
      </c>
      <c r="D18" s="169">
        <f aca="true" t="shared" si="17" ref="D18:D25">C18-E18-F18-G18-H18-I18-J18-K18-L18-M18-N18</f>
        <v>2980.044999999996</v>
      </c>
      <c r="E18" s="97">
        <v>2675.52</v>
      </c>
      <c r="F18" s="97">
        <v>689.41</v>
      </c>
      <c r="G18" s="97">
        <v>3623.27</v>
      </c>
      <c r="H18" s="97">
        <v>934.52</v>
      </c>
      <c r="I18" s="97">
        <v>8706.85</v>
      </c>
      <c r="J18" s="97">
        <v>2244.37</v>
      </c>
      <c r="K18" s="97">
        <v>6031.3</v>
      </c>
      <c r="L18" s="97">
        <v>1554.93</v>
      </c>
      <c r="M18" s="98">
        <v>2140.38</v>
      </c>
      <c r="N18" s="99">
        <v>551.56</v>
      </c>
      <c r="O18" s="166">
        <v>0</v>
      </c>
      <c r="P18" s="166">
        <v>0</v>
      </c>
      <c r="Q18" s="166">
        <v>0</v>
      </c>
      <c r="R18" s="166">
        <v>0</v>
      </c>
      <c r="S18" s="95">
        <f t="shared" si="3"/>
        <v>23177.32</v>
      </c>
      <c r="T18" s="152">
        <f t="shared" si="4"/>
        <v>5974.789999999999</v>
      </c>
      <c r="U18" s="97">
        <v>2619.63</v>
      </c>
      <c r="V18" s="97">
        <v>3536.58</v>
      </c>
      <c r="W18" s="97">
        <v>8513.87</v>
      </c>
      <c r="X18" s="97">
        <v>5894.29</v>
      </c>
      <c r="Y18" s="97">
        <v>2095.68</v>
      </c>
      <c r="Z18" s="97">
        <v>0</v>
      </c>
      <c r="AA18" s="166">
        <v>0</v>
      </c>
      <c r="AB18" s="153">
        <f t="shared" si="5"/>
        <v>22660.050000000003</v>
      </c>
      <c r="AC18" s="154">
        <f t="shared" si="6"/>
        <v>31614.885</v>
      </c>
      <c r="AD18" s="155">
        <f t="shared" si="7"/>
        <v>0</v>
      </c>
      <c r="AE18" s="155">
        <f t="shared" si="8"/>
        <v>0</v>
      </c>
      <c r="AF18" s="155">
        <f>'[2]Т04-09'!$I$4+'[2]Т04-09'!$I$11+'[2]Т04-09'!$I$16</f>
        <v>11757.672308000001</v>
      </c>
      <c r="AG18" s="32">
        <f aca="true" t="shared" si="18" ref="AG18:AG25">0.6*B18</f>
        <v>2228.8199999999997</v>
      </c>
      <c r="AH18" s="32">
        <f>B18*0.2*1.01</f>
        <v>750.3694</v>
      </c>
      <c r="AI18" s="32">
        <f>0.85*B18</f>
        <v>3157.495</v>
      </c>
      <c r="AJ18" s="32">
        <f t="shared" si="9"/>
        <v>568.3490999999999</v>
      </c>
      <c r="AK18" s="32">
        <f>0.83*B18</f>
        <v>3083.2009999999996</v>
      </c>
      <c r="AL18" s="32">
        <f t="shared" si="10"/>
        <v>554.9761799999999</v>
      </c>
      <c r="AM18" s="32">
        <f>(1.91)*B18</f>
        <v>7095.076999999999</v>
      </c>
      <c r="AN18" s="32">
        <f t="shared" si="11"/>
        <v>1277.11386</v>
      </c>
      <c r="AO18" s="32"/>
      <c r="AP18" s="32">
        <f t="shared" si="12"/>
        <v>0</v>
      </c>
      <c r="AQ18" s="156">
        <v>4237.3</v>
      </c>
      <c r="AR18" s="156">
        <f t="shared" si="12"/>
        <v>762.714</v>
      </c>
      <c r="AS18" s="101">
        <f>7836.03</f>
        <v>7836.03</v>
      </c>
      <c r="AT18" s="101">
        <f>600</f>
        <v>600</v>
      </c>
      <c r="AU18" s="101">
        <f t="shared" si="14"/>
        <v>1518.4853999999998</v>
      </c>
      <c r="AV18" s="157">
        <v>263</v>
      </c>
      <c r="AW18" s="158">
        <v>2.5</v>
      </c>
      <c r="AX18" s="32">
        <f t="shared" si="13"/>
        <v>868.9520000000001</v>
      </c>
      <c r="AY18" s="159"/>
      <c r="AZ18" s="160"/>
      <c r="BA18" s="160">
        <f t="shared" si="0"/>
        <v>0</v>
      </c>
      <c r="BB18" s="160">
        <f>SUM(AG18:BA18)-AV18-AW18</f>
        <v>34538.882939999996</v>
      </c>
      <c r="BC18" s="164">
        <f>'[2]Т05-09'!$O$4+'[2]Т05-09'!$O$11+'[2]Т05-09'!$O$16</f>
        <v>5627.2199853036</v>
      </c>
      <c r="BD18" s="162">
        <f t="shared" si="15"/>
        <v>3206.4543826964036</v>
      </c>
      <c r="BE18" s="22">
        <f t="shared" si="16"/>
        <v>-517.2699999999968</v>
      </c>
    </row>
    <row r="19" spans="1:57" ht="12.75">
      <c r="A19" s="13" t="s">
        <v>50</v>
      </c>
      <c r="B19" s="165">
        <v>3714.7</v>
      </c>
      <c r="C19" s="150">
        <f t="shared" si="2"/>
        <v>32132.155</v>
      </c>
      <c r="D19" s="169">
        <f t="shared" si="17"/>
        <v>2965.094999999996</v>
      </c>
      <c r="E19" s="97">
        <v>2672.73</v>
      </c>
      <c r="F19" s="97">
        <v>693.88</v>
      </c>
      <c r="G19" s="97">
        <v>3619.66</v>
      </c>
      <c r="H19" s="97">
        <v>940.56</v>
      </c>
      <c r="I19" s="97">
        <v>8697.94</v>
      </c>
      <c r="J19" s="97">
        <v>2258.85</v>
      </c>
      <c r="K19" s="97">
        <v>6025.14</v>
      </c>
      <c r="L19" s="97">
        <v>1565</v>
      </c>
      <c r="M19" s="98">
        <v>2138.22</v>
      </c>
      <c r="N19" s="99">
        <v>555.08</v>
      </c>
      <c r="O19" s="166">
        <v>0</v>
      </c>
      <c r="P19" s="166">
        <v>0</v>
      </c>
      <c r="Q19" s="166">
        <v>0</v>
      </c>
      <c r="R19" s="166">
        <v>0</v>
      </c>
      <c r="S19" s="95">
        <f t="shared" si="3"/>
        <v>23153.690000000002</v>
      </c>
      <c r="T19" s="152">
        <f t="shared" si="4"/>
        <v>6013.37</v>
      </c>
      <c r="U19" s="97">
        <v>2148.07</v>
      </c>
      <c r="V19" s="97">
        <v>2908.51</v>
      </c>
      <c r="W19" s="97">
        <v>6986.32</v>
      </c>
      <c r="X19" s="97">
        <v>4841.61</v>
      </c>
      <c r="Y19" s="97">
        <v>1718.36</v>
      </c>
      <c r="Z19" s="97">
        <v>0</v>
      </c>
      <c r="AA19" s="166">
        <v>0</v>
      </c>
      <c r="AB19" s="153">
        <f t="shared" si="5"/>
        <v>18602.87</v>
      </c>
      <c r="AC19" s="154">
        <f t="shared" si="6"/>
        <v>27581.334999999995</v>
      </c>
      <c r="AD19" s="155">
        <f t="shared" si="7"/>
        <v>0</v>
      </c>
      <c r="AE19" s="155">
        <f t="shared" si="8"/>
        <v>0</v>
      </c>
      <c r="AF19" s="155">
        <f>'[2]Т06-09'!$I$4+'[2]Т06-09'!$I$11+'[2]Т06-09'!$I$16</f>
        <v>11757.672308000001</v>
      </c>
      <c r="AG19" s="32">
        <f t="shared" si="18"/>
        <v>2228.8199999999997</v>
      </c>
      <c r="AH19" s="32">
        <f>B19*0.2*1.01045</f>
        <v>750.7037230000001</v>
      </c>
      <c r="AI19" s="32">
        <f>0.85*B19</f>
        <v>3157.495</v>
      </c>
      <c r="AJ19" s="32">
        <f t="shared" si="9"/>
        <v>568.3490999999999</v>
      </c>
      <c r="AK19" s="32">
        <f>0.83*B19</f>
        <v>3083.2009999999996</v>
      </c>
      <c r="AL19" s="32">
        <f t="shared" si="10"/>
        <v>554.9761799999999</v>
      </c>
      <c r="AM19" s="32">
        <f>(1.91)*B19</f>
        <v>7095.076999999999</v>
      </c>
      <c r="AN19" s="32">
        <f t="shared" si="11"/>
        <v>1277.11386</v>
      </c>
      <c r="AO19" s="32"/>
      <c r="AP19" s="32">
        <f t="shared" si="12"/>
        <v>0</v>
      </c>
      <c r="AQ19" s="156"/>
      <c r="AR19" s="156">
        <f t="shared" si="12"/>
        <v>0</v>
      </c>
      <c r="AS19" s="101">
        <v>1420</v>
      </c>
      <c r="AT19" s="101"/>
      <c r="AU19" s="101">
        <f t="shared" si="14"/>
        <v>255.6</v>
      </c>
      <c r="AV19" s="157">
        <v>233</v>
      </c>
      <c r="AW19" s="158">
        <v>2.5</v>
      </c>
      <c r="AX19" s="32">
        <f t="shared" si="13"/>
        <v>769.8320000000001</v>
      </c>
      <c r="AY19" s="159"/>
      <c r="AZ19" s="160"/>
      <c r="BA19" s="160">
        <f t="shared" si="0"/>
        <v>0</v>
      </c>
      <c r="BB19" s="160">
        <f>SUM(AG19:BA19)-AV19-AW19</f>
        <v>21161.167862999995</v>
      </c>
      <c r="BC19" s="164">
        <f>'[2]Т06-09'!$O$4+'[2]Т06-09'!$O$11+'[2]Т06-09'!$O$16</f>
        <v>5327.4304193240005</v>
      </c>
      <c r="BD19" s="162">
        <f t="shared" si="15"/>
        <v>12850.409025676001</v>
      </c>
      <c r="BE19" s="22">
        <f t="shared" si="16"/>
        <v>-4550.820000000003</v>
      </c>
    </row>
    <row r="20" spans="1:57" ht="12.75">
      <c r="A20" s="13" t="s">
        <v>51</v>
      </c>
      <c r="B20" s="149">
        <v>3714.7</v>
      </c>
      <c r="C20" s="150">
        <f t="shared" si="2"/>
        <v>32132.155</v>
      </c>
      <c r="D20" s="169">
        <f t="shared" si="17"/>
        <v>1960.924999999996</v>
      </c>
      <c r="E20" s="97">
        <v>3697.38</v>
      </c>
      <c r="F20" s="97">
        <v>669.74</v>
      </c>
      <c r="G20" s="97">
        <v>3653</v>
      </c>
      <c r="H20" s="97">
        <v>907.84</v>
      </c>
      <c r="I20" s="97">
        <v>8778.08</v>
      </c>
      <c r="J20" s="97">
        <v>2180.28</v>
      </c>
      <c r="K20" s="97">
        <v>6080.66</v>
      </c>
      <c r="L20" s="97">
        <v>1510.57</v>
      </c>
      <c r="M20" s="98">
        <v>2157.89</v>
      </c>
      <c r="N20" s="99">
        <v>535.79</v>
      </c>
      <c r="O20" s="166">
        <v>0</v>
      </c>
      <c r="P20" s="166">
        <v>0</v>
      </c>
      <c r="Q20" s="166">
        <v>0</v>
      </c>
      <c r="R20" s="166">
        <v>0</v>
      </c>
      <c r="S20" s="95">
        <f t="shared" si="3"/>
        <v>24367.01</v>
      </c>
      <c r="T20" s="152">
        <f t="shared" si="4"/>
        <v>5804.22</v>
      </c>
      <c r="U20" s="97">
        <v>2275.66</v>
      </c>
      <c r="V20" s="97">
        <v>3081.24</v>
      </c>
      <c r="W20" s="97">
        <v>7404.65</v>
      </c>
      <c r="X20" s="97">
        <v>5129.4</v>
      </c>
      <c r="Y20" s="97">
        <v>1820.55</v>
      </c>
      <c r="Z20" s="97">
        <v>0</v>
      </c>
      <c r="AA20" s="166">
        <v>0</v>
      </c>
      <c r="AB20" s="153">
        <f t="shared" si="5"/>
        <v>19711.499999999996</v>
      </c>
      <c r="AC20" s="154">
        <f t="shared" si="6"/>
        <v>27476.644999999993</v>
      </c>
      <c r="AD20" s="155">
        <f t="shared" si="7"/>
        <v>0</v>
      </c>
      <c r="AE20" s="155">
        <f t="shared" si="8"/>
        <v>0</v>
      </c>
      <c r="AF20" s="155">
        <f>'[1]Т07-09'!$I$4+'[1]Т07-09'!$I$12+'[1]Т07-09'!$I$17+'[1]Т07-09'!$I$43+'[1]Т07-09'!$I$50+'[1]Т07-09'!$I$89</f>
        <v>20474.210768</v>
      </c>
      <c r="AG20" s="32">
        <f t="shared" si="18"/>
        <v>2228.8199999999997</v>
      </c>
      <c r="AH20" s="32">
        <f>B20*0.2*0.99426</f>
        <v>738.6755244000001</v>
      </c>
      <c r="AI20" s="32">
        <f>0.85*B20*0.9857</f>
        <v>3112.3428215</v>
      </c>
      <c r="AJ20" s="32">
        <f t="shared" si="9"/>
        <v>560.2217078699999</v>
      </c>
      <c r="AK20" s="32">
        <f>0.83*B20*0.9905</f>
        <v>3053.9105904999997</v>
      </c>
      <c r="AL20" s="32">
        <f t="shared" si="10"/>
        <v>549.70390629</v>
      </c>
      <c r="AM20" s="32">
        <f>(1.91)*B20*0.9905</f>
        <v>7027.6737685</v>
      </c>
      <c r="AN20" s="32">
        <f t="shared" si="11"/>
        <v>1264.98127833</v>
      </c>
      <c r="AO20" s="32"/>
      <c r="AP20" s="32">
        <f t="shared" si="12"/>
        <v>0</v>
      </c>
      <c r="AQ20" s="156"/>
      <c r="AR20" s="156">
        <f t="shared" si="12"/>
        <v>0</v>
      </c>
      <c r="AS20" s="101">
        <v>14936.85</v>
      </c>
      <c r="AT20" s="101"/>
      <c r="AU20" s="101">
        <f t="shared" si="14"/>
        <v>2688.633</v>
      </c>
      <c r="AV20" s="157">
        <v>248</v>
      </c>
      <c r="AW20" s="158">
        <v>2.5</v>
      </c>
      <c r="AX20" s="32">
        <f t="shared" si="13"/>
        <v>819.392</v>
      </c>
      <c r="AY20" s="159"/>
      <c r="AZ20" s="160"/>
      <c r="BA20" s="160">
        <f t="shared" si="0"/>
        <v>0</v>
      </c>
      <c r="BB20" s="160">
        <f>SUM(AG20:BA20)-AV20-AW20</f>
        <v>36981.20459739</v>
      </c>
      <c r="BC20" s="164">
        <f>'[2]Т07-09'!$O$4+'[2]Т07-09'!$O$12+'[2]Т07-09'!$O$17+'[2]Т07-09'!$O$43+'[2]Т07-09'!$O$50+'[2]Т07-09'!$O$89</f>
        <v>9619.535480096003</v>
      </c>
      <c r="BD20" s="162">
        <f t="shared" si="15"/>
        <v>1350.1156905139887</v>
      </c>
      <c r="BE20" s="22">
        <f t="shared" si="16"/>
        <v>-4655.510000000002</v>
      </c>
    </row>
    <row r="21" spans="1:57" ht="12.75">
      <c r="A21" s="13" t="s">
        <v>52</v>
      </c>
      <c r="B21" s="149">
        <v>3714.7</v>
      </c>
      <c r="C21" s="150">
        <f t="shared" si="2"/>
        <v>32132.155</v>
      </c>
      <c r="D21" s="169">
        <f t="shared" si="17"/>
        <v>2926.8750000000005</v>
      </c>
      <c r="E21" s="97">
        <v>2728.37</v>
      </c>
      <c r="F21" s="97">
        <v>642.75</v>
      </c>
      <c r="G21" s="97">
        <v>3694.79</v>
      </c>
      <c r="H21" s="97">
        <v>871.26</v>
      </c>
      <c r="I21" s="97">
        <v>8878.73</v>
      </c>
      <c r="J21" s="97">
        <v>2092.44</v>
      </c>
      <c r="K21" s="97">
        <v>6150.34</v>
      </c>
      <c r="L21" s="97">
        <v>1449.7</v>
      </c>
      <c r="M21" s="98">
        <v>2182.69</v>
      </c>
      <c r="N21" s="99">
        <v>514.21</v>
      </c>
      <c r="O21" s="166">
        <v>0</v>
      </c>
      <c r="P21" s="166">
        <v>0</v>
      </c>
      <c r="Q21" s="97">
        <v>0</v>
      </c>
      <c r="R21" s="97">
        <v>0</v>
      </c>
      <c r="S21" s="95">
        <f t="shared" si="3"/>
        <v>23634.92</v>
      </c>
      <c r="T21" s="152">
        <f t="shared" si="4"/>
        <v>5570.360000000001</v>
      </c>
      <c r="U21" s="97">
        <v>2093.12</v>
      </c>
      <c r="V21" s="97">
        <v>2834.78</v>
      </c>
      <c r="W21" s="97">
        <v>6811.7</v>
      </c>
      <c r="X21" s="97">
        <v>4718.71</v>
      </c>
      <c r="Y21" s="97">
        <v>1674.52</v>
      </c>
      <c r="Z21" s="97">
        <v>0</v>
      </c>
      <c r="AA21" s="166">
        <v>0</v>
      </c>
      <c r="AB21" s="153">
        <f t="shared" si="5"/>
        <v>18132.829999999998</v>
      </c>
      <c r="AC21" s="154">
        <f t="shared" si="6"/>
        <v>26630.065</v>
      </c>
      <c r="AD21" s="155">
        <f t="shared" si="7"/>
        <v>0</v>
      </c>
      <c r="AE21" s="155">
        <f t="shared" si="8"/>
        <v>0</v>
      </c>
      <c r="AF21" s="155">
        <f>'[1]Т07-09'!$I$4+'[1]Т07-09'!$I$12+'[1]Т07-09'!$I$17+'[1]Т07-09'!$I$43+'[1]Т07-09'!$I$50+'[1]Т07-09'!$I$89</f>
        <v>20474.210768</v>
      </c>
      <c r="AG21" s="32">
        <f t="shared" si="18"/>
        <v>2228.8199999999997</v>
      </c>
      <c r="AH21" s="32">
        <f>B21*0.2*0.99875</f>
        <v>742.011325</v>
      </c>
      <c r="AI21" s="32">
        <f>0.85*B21*0.98526</f>
        <v>3110.9535237</v>
      </c>
      <c r="AJ21" s="32">
        <f t="shared" si="9"/>
        <v>559.971634266</v>
      </c>
      <c r="AK21" s="32">
        <f>0.83*B21*0.99</f>
        <v>3052.3689899999995</v>
      </c>
      <c r="AL21" s="32">
        <f t="shared" si="10"/>
        <v>549.4264182</v>
      </c>
      <c r="AM21" s="32">
        <f>(1.91)*B21*0.99</f>
        <v>7024.126229999999</v>
      </c>
      <c r="AN21" s="32">
        <f t="shared" si="11"/>
        <v>1264.3427213999998</v>
      </c>
      <c r="AO21" s="32"/>
      <c r="AP21" s="32">
        <f t="shared" si="12"/>
        <v>0</v>
      </c>
      <c r="AQ21" s="156">
        <f>7200.71+1557.31</f>
        <v>8758.02</v>
      </c>
      <c r="AR21" s="156">
        <f t="shared" si="12"/>
        <v>1576.4436</v>
      </c>
      <c r="AS21" s="101">
        <v>5560.55</v>
      </c>
      <c r="AT21" s="101"/>
      <c r="AU21" s="101">
        <f t="shared" si="14"/>
        <v>1000.899</v>
      </c>
      <c r="AV21" s="157">
        <v>293</v>
      </c>
      <c r="AW21" s="158">
        <v>2.5</v>
      </c>
      <c r="AX21" s="32">
        <f t="shared" si="13"/>
        <v>968.072</v>
      </c>
      <c r="AY21" s="159"/>
      <c r="AZ21" s="160"/>
      <c r="BA21" s="160">
        <f t="shared" si="0"/>
        <v>0</v>
      </c>
      <c r="BB21" s="160">
        <f>SUM(AG21:BA21)-AV21-AW21</f>
        <v>36396.005442566</v>
      </c>
      <c r="BC21" s="164">
        <f>'[2]Т08-09'!$O$4+'[2]Т08-09'!$O$12+'[2]Т08-09'!$O$17+'[2]Т08-09'!$O$43+'[2]Т08-09'!$O$50+'[2]Т08-09'!$O$90</f>
        <v>9615.1646809888</v>
      </c>
      <c r="BD21" s="162">
        <f t="shared" si="15"/>
        <v>1093.1056444452006</v>
      </c>
      <c r="BE21" s="22">
        <f t="shared" si="16"/>
        <v>-5502.09</v>
      </c>
    </row>
    <row r="22" spans="1:57" ht="12.75">
      <c r="A22" s="13" t="s">
        <v>53</v>
      </c>
      <c r="B22" s="94">
        <v>3715</v>
      </c>
      <c r="C22" s="150">
        <f t="shared" si="2"/>
        <v>32134.75</v>
      </c>
      <c r="D22" s="169">
        <f t="shared" si="17"/>
        <v>2931.480000000003</v>
      </c>
      <c r="E22" s="95">
        <v>2714.7</v>
      </c>
      <c r="F22" s="95">
        <v>656.17</v>
      </c>
      <c r="G22" s="95">
        <v>3676.32</v>
      </c>
      <c r="H22" s="95">
        <v>889.44</v>
      </c>
      <c r="I22" s="95">
        <v>8834.32</v>
      </c>
      <c r="J22" s="95">
        <v>2136.09</v>
      </c>
      <c r="K22" s="95">
        <v>6119.58</v>
      </c>
      <c r="L22" s="95">
        <v>1479.95</v>
      </c>
      <c r="M22" s="90">
        <v>2171.77</v>
      </c>
      <c r="N22" s="96">
        <v>524.93</v>
      </c>
      <c r="O22" s="103">
        <v>0</v>
      </c>
      <c r="P22" s="103">
        <v>0</v>
      </c>
      <c r="Q22" s="103">
        <v>0</v>
      </c>
      <c r="R22" s="103">
        <v>0</v>
      </c>
      <c r="S22" s="95">
        <f t="shared" si="3"/>
        <v>23516.69</v>
      </c>
      <c r="T22" s="152">
        <f t="shared" si="4"/>
        <v>5686.58</v>
      </c>
      <c r="U22" s="95">
        <v>2627.58</v>
      </c>
      <c r="V22" s="95">
        <v>3558.73</v>
      </c>
      <c r="W22" s="95">
        <v>8551.15</v>
      </c>
      <c r="X22" s="95">
        <v>5923.5</v>
      </c>
      <c r="Y22" s="95">
        <v>2102.01</v>
      </c>
      <c r="Z22" s="95">
        <v>0</v>
      </c>
      <c r="AA22" s="103">
        <v>0</v>
      </c>
      <c r="AB22" s="153">
        <f t="shared" si="5"/>
        <v>22762.97</v>
      </c>
      <c r="AC22" s="154">
        <f t="shared" si="6"/>
        <v>31381.030000000006</v>
      </c>
      <c r="AD22" s="155">
        <f t="shared" si="7"/>
        <v>0</v>
      </c>
      <c r="AE22" s="155">
        <f t="shared" si="8"/>
        <v>0</v>
      </c>
      <c r="AF22" s="155">
        <f>'[1]Т07-09'!$I$4+'[1]Т07-09'!$I$12+'[1]Т07-09'!$I$17+'[1]Т07-09'!$I$43+'[1]Т07-09'!$I$50+'[1]Т07-09'!$I$89</f>
        <v>20474.210768</v>
      </c>
      <c r="AG22" s="32">
        <f t="shared" si="18"/>
        <v>2229</v>
      </c>
      <c r="AH22" s="32">
        <f>B22*0.2*0.9997</f>
        <v>742.7771</v>
      </c>
      <c r="AI22" s="32">
        <f>0.85*B22*0.98509</f>
        <v>3110.6679475</v>
      </c>
      <c r="AJ22" s="32">
        <f t="shared" si="9"/>
        <v>559.92023055</v>
      </c>
      <c r="AK22" s="32">
        <f>0.83*B22*0.98981</f>
        <v>3052.0296445</v>
      </c>
      <c r="AL22" s="32">
        <f t="shared" si="10"/>
        <v>549.36533601</v>
      </c>
      <c r="AM22" s="32">
        <f>(1.91)*B22*0.9898</f>
        <v>7023.27437</v>
      </c>
      <c r="AN22" s="32">
        <f t="shared" si="11"/>
        <v>1264.1893866</v>
      </c>
      <c r="AO22" s="32"/>
      <c r="AP22" s="32">
        <f t="shared" si="12"/>
        <v>0</v>
      </c>
      <c r="AQ22" s="156"/>
      <c r="AR22" s="156">
        <f t="shared" si="12"/>
        <v>0</v>
      </c>
      <c r="AS22" s="101"/>
      <c r="AT22" s="101"/>
      <c r="AU22" s="101">
        <f t="shared" si="14"/>
        <v>0</v>
      </c>
      <c r="AV22" s="157">
        <v>349</v>
      </c>
      <c r="AW22" s="158">
        <v>2.5</v>
      </c>
      <c r="AX22" s="32">
        <f t="shared" si="13"/>
        <v>1153.096</v>
      </c>
      <c r="AY22" s="159"/>
      <c r="AZ22" s="160"/>
      <c r="BA22" s="160">
        <f t="shared" si="0"/>
        <v>0</v>
      </c>
      <c r="BB22" s="160">
        <f>SUM(AG22:BA22)-AV22-AW22</f>
        <v>19684.32001516</v>
      </c>
      <c r="BC22" s="164">
        <f>'[2]Т09-09'!$O$4+'[2]Т09-09'!$O$12+'[2]Т09-09'!$O$17+'[2]Т09-09'!$O$43+'[2]Т09-09'!$O$50+'[2]Т09-09'!$O$90</f>
        <v>9613.710444627519</v>
      </c>
      <c r="BD22" s="162">
        <f t="shared" si="15"/>
        <v>22557.21030821249</v>
      </c>
      <c r="BE22" s="22">
        <f t="shared" si="16"/>
        <v>-753.7199999999975</v>
      </c>
    </row>
    <row r="23" spans="1:57" ht="12.75">
      <c r="A23" s="91" t="s">
        <v>41</v>
      </c>
      <c r="B23" s="94">
        <v>3716.1</v>
      </c>
      <c r="C23" s="170">
        <f t="shared" si="2"/>
        <v>32144.265</v>
      </c>
      <c r="D23" s="169">
        <f t="shared" si="17"/>
        <v>2922.705000000002</v>
      </c>
      <c r="E23" s="102">
        <v>2723.21</v>
      </c>
      <c r="F23" s="95">
        <v>649.79</v>
      </c>
      <c r="G23" s="95">
        <v>3687.8</v>
      </c>
      <c r="H23" s="95">
        <v>880.78</v>
      </c>
      <c r="I23" s="95">
        <v>8862.01</v>
      </c>
      <c r="J23" s="95">
        <v>2115.29</v>
      </c>
      <c r="K23" s="95">
        <f>6138.74-0.01</f>
        <v>6138.73</v>
      </c>
      <c r="L23" s="95">
        <v>1465.54</v>
      </c>
      <c r="M23" s="95">
        <v>2178.59</v>
      </c>
      <c r="N23" s="103">
        <v>519.82</v>
      </c>
      <c r="O23" s="103">
        <v>0</v>
      </c>
      <c r="P23" s="103">
        <v>0</v>
      </c>
      <c r="Q23" s="95">
        <v>0</v>
      </c>
      <c r="R23" s="95">
        <v>0</v>
      </c>
      <c r="S23" s="95">
        <f t="shared" si="3"/>
        <v>23590.34</v>
      </c>
      <c r="T23" s="152">
        <f t="shared" si="4"/>
        <v>5631.219999999999</v>
      </c>
      <c r="U23" s="104">
        <f>2129.41+1266.4</f>
        <v>3395.81</v>
      </c>
      <c r="V23" s="95">
        <f>2882.18+1714.9</f>
        <v>4597.08</v>
      </c>
      <c r="W23" s="95">
        <f>6927.34+4121.11</f>
        <v>11048.45</v>
      </c>
      <c r="X23" s="95">
        <f>4798.46+2854.62</f>
        <v>7653.08</v>
      </c>
      <c r="Y23" s="95">
        <f>1703.52+1013.1</f>
        <v>2716.62</v>
      </c>
      <c r="Z23" s="103">
        <v>0</v>
      </c>
      <c r="AA23" s="103">
        <v>0</v>
      </c>
      <c r="AB23" s="103">
        <f>SUM(U23:AA23)</f>
        <v>29411.039999999997</v>
      </c>
      <c r="AC23" s="154">
        <f>AB23+T23+D23</f>
        <v>37964.965</v>
      </c>
      <c r="AD23" s="155">
        <f t="shared" si="7"/>
        <v>0</v>
      </c>
      <c r="AE23" s="155">
        <f t="shared" si="8"/>
        <v>0</v>
      </c>
      <c r="AF23" s="155">
        <f>'[3]Т10'!$I$4+'[3]Т10'!$I$12+'[3]Т10'!$I$17+'[3]Т10'!$I$44+'[3]Т10'!$I$51+'[3]Т10'!$I$99+'[3]Т10'!$I$100</f>
        <v>21375.046368</v>
      </c>
      <c r="AG23" s="32">
        <f t="shared" si="18"/>
        <v>2229.66</v>
      </c>
      <c r="AH23" s="32">
        <f>B23*0.2</f>
        <v>743.22</v>
      </c>
      <c r="AI23" s="32">
        <f>0.847*B23</f>
        <v>3147.5366999999997</v>
      </c>
      <c r="AJ23" s="32">
        <f t="shared" si="9"/>
        <v>566.5566059999999</v>
      </c>
      <c r="AK23" s="32">
        <f>0.83*B23</f>
        <v>3084.363</v>
      </c>
      <c r="AL23" s="32">
        <f t="shared" si="10"/>
        <v>555.18534</v>
      </c>
      <c r="AM23" s="32">
        <f>(2.25/1.18)*B23</f>
        <v>7085.783898305084</v>
      </c>
      <c r="AN23" s="32">
        <f t="shared" si="11"/>
        <v>1275.441101694915</v>
      </c>
      <c r="AO23" s="32"/>
      <c r="AP23" s="32">
        <f t="shared" si="12"/>
        <v>0</v>
      </c>
      <c r="AQ23" s="156"/>
      <c r="AR23" s="156">
        <f t="shared" si="12"/>
        <v>0</v>
      </c>
      <c r="AS23" s="101">
        <v>357.79</v>
      </c>
      <c r="AT23" s="101"/>
      <c r="AU23" s="101">
        <f t="shared" si="14"/>
        <v>64.40220000000001</v>
      </c>
      <c r="AV23" s="157">
        <v>425</v>
      </c>
      <c r="AW23" s="158">
        <v>2.5</v>
      </c>
      <c r="AX23" s="32">
        <f t="shared" si="13"/>
        <v>1404.1999999999998</v>
      </c>
      <c r="AY23" s="159"/>
      <c r="AZ23" s="171"/>
      <c r="BA23" s="160">
        <f t="shared" si="0"/>
        <v>0</v>
      </c>
      <c r="BB23" s="160">
        <f>SUM(AG23:AU23)+AX23+AY23+AZ23+BA23</f>
        <v>20514.138846</v>
      </c>
      <c r="BC23" s="164">
        <f>'[4]Т10'!$O$4+'[4]Т10'!$O$12+'[4]Т10'!$O$17+'[4]Т10'!$O$44+'[4]Т10'!$O$51+'[4]Т10'!$O$99+'[4]Т10'!$O$100</f>
        <v>10117.7693216</v>
      </c>
      <c r="BD23" s="162">
        <f t="shared" si="15"/>
        <v>28708.103200399994</v>
      </c>
      <c r="BE23" s="22">
        <f t="shared" si="16"/>
        <v>5820.699999999997</v>
      </c>
    </row>
    <row r="24" spans="1:57" ht="12.75">
      <c r="A24" s="13" t="s">
        <v>42</v>
      </c>
      <c r="B24" s="149">
        <v>3715.6</v>
      </c>
      <c r="C24" s="170">
        <f t="shared" si="2"/>
        <v>32139.940000000002</v>
      </c>
      <c r="D24" s="169">
        <f t="shared" si="17"/>
        <v>2946.6200000000035</v>
      </c>
      <c r="E24" s="95">
        <v>2720.12</v>
      </c>
      <c r="F24" s="95">
        <v>649.57</v>
      </c>
      <c r="G24" s="95">
        <v>3683.76</v>
      </c>
      <c r="H24" s="95">
        <v>880.49</v>
      </c>
      <c r="I24" s="95">
        <v>8852.07</v>
      </c>
      <c r="J24" s="95">
        <v>2114.59</v>
      </c>
      <c r="K24" s="95">
        <v>6131.91</v>
      </c>
      <c r="L24" s="95">
        <v>1465.05</v>
      </c>
      <c r="M24" s="90">
        <v>2176.11</v>
      </c>
      <c r="N24" s="96">
        <v>519.65</v>
      </c>
      <c r="O24" s="103">
        <v>0</v>
      </c>
      <c r="P24" s="103">
        <v>0</v>
      </c>
      <c r="Q24" s="103">
        <v>0</v>
      </c>
      <c r="R24" s="103">
        <v>0</v>
      </c>
      <c r="S24" s="95">
        <f t="shared" si="3"/>
        <v>23563.97</v>
      </c>
      <c r="T24" s="152">
        <f t="shared" si="4"/>
        <v>5629.349999999999</v>
      </c>
      <c r="U24" s="95">
        <v>3289.39</v>
      </c>
      <c r="V24" s="95">
        <v>4453.21</v>
      </c>
      <c r="W24" s="95">
        <v>10703.06</v>
      </c>
      <c r="X24" s="95">
        <v>7413.68</v>
      </c>
      <c r="Y24" s="95">
        <v>2631.55</v>
      </c>
      <c r="Z24" s="95">
        <v>0</v>
      </c>
      <c r="AA24" s="103">
        <v>0</v>
      </c>
      <c r="AB24" s="103">
        <f>SUM(U24:AA24)</f>
        <v>28490.89</v>
      </c>
      <c r="AC24" s="154">
        <f>D24+T24+AB24</f>
        <v>37066.86</v>
      </c>
      <c r="AD24" s="155">
        <f t="shared" si="7"/>
        <v>0</v>
      </c>
      <c r="AE24" s="155">
        <f t="shared" si="8"/>
        <v>0</v>
      </c>
      <c r="AF24" s="155">
        <f>'[3]Т11'!$I$4+'[3]Т11'!$I$12+'[3]Т11'!$I$17+'[3]Т11'!$I$44+'[3]Т11'!$I$51+'[3]Т11'!$I$99+'[3]Т11'!$I$100</f>
        <v>21375.046368</v>
      </c>
      <c r="AG24" s="32">
        <f t="shared" si="18"/>
        <v>2229.3599999999997</v>
      </c>
      <c r="AH24" s="32">
        <f>B24*0.2</f>
        <v>743.12</v>
      </c>
      <c r="AI24" s="32">
        <f>0.85*B24</f>
        <v>3158.2599999999998</v>
      </c>
      <c r="AJ24" s="32">
        <f t="shared" si="9"/>
        <v>568.4867999999999</v>
      </c>
      <c r="AK24" s="32">
        <f>0.83*B24</f>
        <v>3083.948</v>
      </c>
      <c r="AL24" s="32">
        <f t="shared" si="10"/>
        <v>555.11064</v>
      </c>
      <c r="AM24" s="32">
        <f>(1.91)*B24</f>
        <v>7096.795999999999</v>
      </c>
      <c r="AN24" s="32">
        <f t="shared" si="11"/>
        <v>1277.4232799999997</v>
      </c>
      <c r="AO24" s="32"/>
      <c r="AP24" s="32">
        <f t="shared" si="12"/>
        <v>0</v>
      </c>
      <c r="AQ24" s="156"/>
      <c r="AR24" s="156">
        <f t="shared" si="12"/>
        <v>0</v>
      </c>
      <c r="AS24" s="101">
        <v>4710</v>
      </c>
      <c r="AT24" s="101"/>
      <c r="AU24" s="101">
        <f t="shared" si="14"/>
        <v>847.8</v>
      </c>
      <c r="AV24" s="157">
        <v>470</v>
      </c>
      <c r="AW24" s="158">
        <v>2.5</v>
      </c>
      <c r="AX24" s="32">
        <f t="shared" si="13"/>
        <v>1552.88</v>
      </c>
      <c r="AY24" s="159"/>
      <c r="AZ24" s="160"/>
      <c r="BA24" s="160">
        <f t="shared" si="0"/>
        <v>0</v>
      </c>
      <c r="BB24" s="160">
        <f>SUM(AG24:AU24)+AX24+AY24+AZ24+BA24</f>
        <v>25823.184719999997</v>
      </c>
      <c r="BC24" s="161">
        <f>'[3]Т11'!$O$4+'[3]Т11'!$O$12+'[3]Т11'!$O$17+'[3]Т11'!$O$44+'[3]Т11'!$O$51+'[3]Т11'!$O$99+'[3]Т11'!$O$100</f>
        <v>10131.837551999999</v>
      </c>
      <c r="BD24" s="162">
        <f t="shared" si="15"/>
        <v>22486.884096</v>
      </c>
      <c r="BE24" s="22">
        <f t="shared" si="16"/>
        <v>4926.919999999998</v>
      </c>
    </row>
    <row r="25" spans="1:57" ht="12.75">
      <c r="A25" s="13" t="s">
        <v>43</v>
      </c>
      <c r="B25" s="94">
        <v>3715.6</v>
      </c>
      <c r="C25" s="170">
        <f t="shared" si="2"/>
        <v>32139.940000000002</v>
      </c>
      <c r="D25" s="169">
        <f t="shared" si="17"/>
        <v>2931.300000000003</v>
      </c>
      <c r="E25" s="95">
        <v>2730.02</v>
      </c>
      <c r="F25" s="95">
        <v>641.47</v>
      </c>
      <c r="G25" s="95">
        <v>3697.09</v>
      </c>
      <c r="H25" s="95">
        <v>869.51</v>
      </c>
      <c r="I25" s="95">
        <v>8884.19</v>
      </c>
      <c r="J25" s="95">
        <v>2088.22</v>
      </c>
      <c r="K25" s="95">
        <v>6154.15</v>
      </c>
      <c r="L25" s="95">
        <v>1446.78</v>
      </c>
      <c r="M25" s="90">
        <v>2184.04</v>
      </c>
      <c r="N25" s="96">
        <v>513.17</v>
      </c>
      <c r="O25" s="103">
        <v>0</v>
      </c>
      <c r="P25" s="103">
        <v>0</v>
      </c>
      <c r="Q25" s="103"/>
      <c r="R25" s="103"/>
      <c r="S25" s="95">
        <f t="shared" si="3"/>
        <v>23649.49</v>
      </c>
      <c r="T25" s="152">
        <f t="shared" si="4"/>
        <v>5559.15</v>
      </c>
      <c r="U25" s="95">
        <v>3443.39</v>
      </c>
      <c r="V25" s="95">
        <v>4663.59</v>
      </c>
      <c r="W25" s="95">
        <v>11206.19</v>
      </c>
      <c r="X25" s="95">
        <v>7762.68</v>
      </c>
      <c r="Y25" s="95">
        <v>2754.72</v>
      </c>
      <c r="Z25" s="95">
        <v>0</v>
      </c>
      <c r="AA25" s="103">
        <v>0</v>
      </c>
      <c r="AB25" s="103">
        <f>SUM(U25:AA25)</f>
        <v>29830.57</v>
      </c>
      <c r="AC25" s="154">
        <f>D25+T25+AB25</f>
        <v>38321.020000000004</v>
      </c>
      <c r="AD25" s="155">
        <f t="shared" si="7"/>
        <v>0</v>
      </c>
      <c r="AE25" s="155">
        <f t="shared" si="8"/>
        <v>0</v>
      </c>
      <c r="AF25" s="155">
        <f>'[3]Т12'!$I$4+'[3]Т12'!$I$12+'[3]Т12'!$I$17+'[3]Т12'!$I$44+'[3]Т12'!$I$52+'[3]Т12'!$I$100+'[3]Т12'!$I$101</f>
        <v>21375.046368</v>
      </c>
      <c r="AG25" s="32">
        <f t="shared" si="18"/>
        <v>2229.3599999999997</v>
      </c>
      <c r="AH25" s="32">
        <f>B25*0.2</f>
        <v>743.12</v>
      </c>
      <c r="AI25" s="32">
        <f>0.85*B25</f>
        <v>3158.2599999999998</v>
      </c>
      <c r="AJ25" s="32">
        <f t="shared" si="9"/>
        <v>568.4867999999999</v>
      </c>
      <c r="AK25" s="32">
        <f>0.83*B25</f>
        <v>3083.948</v>
      </c>
      <c r="AL25" s="32">
        <f t="shared" si="10"/>
        <v>555.11064</v>
      </c>
      <c r="AM25" s="32">
        <f>(1.91)*B25</f>
        <v>7096.795999999999</v>
      </c>
      <c r="AN25" s="32">
        <f t="shared" si="11"/>
        <v>1277.4232799999997</v>
      </c>
      <c r="AO25" s="32"/>
      <c r="AP25" s="32">
        <f t="shared" si="12"/>
        <v>0</v>
      </c>
      <c r="AQ25" s="156"/>
      <c r="AR25" s="156">
        <f t="shared" si="12"/>
        <v>0</v>
      </c>
      <c r="AS25" s="101">
        <v>4150</v>
      </c>
      <c r="AT25" s="101"/>
      <c r="AU25" s="101">
        <f t="shared" si="14"/>
        <v>747</v>
      </c>
      <c r="AV25" s="157">
        <v>514</v>
      </c>
      <c r="AW25" s="158">
        <v>2.5</v>
      </c>
      <c r="AX25" s="32">
        <f t="shared" si="13"/>
        <v>1698.2559999999999</v>
      </c>
      <c r="AY25" s="159"/>
      <c r="AZ25" s="160"/>
      <c r="BA25" s="160">
        <f t="shared" si="0"/>
        <v>0</v>
      </c>
      <c r="BB25" s="160">
        <f>SUM(AG25:BA25)-AV25-AW25</f>
        <v>25307.76072</v>
      </c>
      <c r="BC25" s="161">
        <f>'[3]Т12'!$O$4+'[3]Т12'!$O$12+'[3]Т12'!$O$17+'[3]Т12'!$O$44+'[3]Т12'!$O$52+'[3]Т12'!$O$100+'[3]Т12'!$O$101</f>
        <v>10131.837551999999</v>
      </c>
      <c r="BD25" s="162">
        <f t="shared" si="15"/>
        <v>24256.468096000004</v>
      </c>
      <c r="BE25" s="22">
        <f t="shared" si="16"/>
        <v>6181.079999999998</v>
      </c>
    </row>
    <row r="26" spans="1:57" s="29" customFormat="1" ht="12.75">
      <c r="A26" s="23" t="s">
        <v>5</v>
      </c>
      <c r="B26" s="24"/>
      <c r="C26" s="24">
        <f aca="true" t="shared" si="19" ref="C26:BC26">SUM(C14:C25)</f>
        <v>385616.135</v>
      </c>
      <c r="D26" s="24">
        <f t="shared" si="19"/>
        <v>38631.1225</v>
      </c>
      <c r="E26" s="25">
        <f t="shared" si="19"/>
        <v>32266.96</v>
      </c>
      <c r="F26" s="25">
        <f t="shared" si="19"/>
        <v>7658.22</v>
      </c>
      <c r="G26" s="25">
        <f t="shared" si="19"/>
        <v>42302.65000000001</v>
      </c>
      <c r="H26" s="25">
        <f t="shared" si="19"/>
        <v>10367.6</v>
      </c>
      <c r="I26" s="25">
        <f t="shared" si="19"/>
        <v>101948.73999999999</v>
      </c>
      <c r="J26" s="25">
        <f t="shared" si="19"/>
        <v>24917.61</v>
      </c>
      <c r="K26" s="25">
        <f t="shared" si="19"/>
        <v>70443.18</v>
      </c>
      <c r="L26" s="25">
        <f t="shared" si="19"/>
        <v>17259.64</v>
      </c>
      <c r="M26" s="25">
        <f t="shared" si="19"/>
        <v>25013.39</v>
      </c>
      <c r="N26" s="25">
        <f t="shared" si="19"/>
        <v>6126.65</v>
      </c>
      <c r="O26" s="25">
        <f t="shared" si="19"/>
        <v>0</v>
      </c>
      <c r="P26" s="25">
        <f t="shared" si="19"/>
        <v>0</v>
      </c>
      <c r="Q26" s="25">
        <f t="shared" si="19"/>
        <v>0</v>
      </c>
      <c r="R26" s="25">
        <f t="shared" si="19"/>
        <v>0</v>
      </c>
      <c r="S26" s="25">
        <f t="shared" si="19"/>
        <v>271974.92</v>
      </c>
      <c r="T26" s="25">
        <f t="shared" si="19"/>
        <v>66329.71999999999</v>
      </c>
      <c r="U26" s="26">
        <f t="shared" si="19"/>
        <v>30644.149999999998</v>
      </c>
      <c r="V26" s="26">
        <f t="shared" si="19"/>
        <v>41448.59999999999</v>
      </c>
      <c r="W26" s="26">
        <f t="shared" si="19"/>
        <v>99361.39</v>
      </c>
      <c r="X26" s="26">
        <f t="shared" si="19"/>
        <v>69028.20000000001</v>
      </c>
      <c r="Y26" s="26">
        <f t="shared" si="19"/>
        <v>24514.989999999998</v>
      </c>
      <c r="Z26" s="26">
        <f t="shared" si="19"/>
        <v>0</v>
      </c>
      <c r="AA26" s="26">
        <f t="shared" si="19"/>
        <v>0</v>
      </c>
      <c r="AB26" s="26">
        <f t="shared" si="19"/>
        <v>264997.33</v>
      </c>
      <c r="AC26" s="26">
        <f t="shared" si="19"/>
        <v>369958.1725</v>
      </c>
      <c r="AD26" s="146">
        <f t="shared" si="19"/>
        <v>0</v>
      </c>
      <c r="AE26" s="146">
        <f t="shared" si="19"/>
        <v>0</v>
      </c>
      <c r="AF26" s="26">
        <f t="shared" si="19"/>
        <v>196093.80525600005</v>
      </c>
      <c r="AG26" s="27">
        <f t="shared" si="19"/>
        <v>25856.412</v>
      </c>
      <c r="AH26" s="27">
        <f t="shared" si="19"/>
        <v>8656.738498400002</v>
      </c>
      <c r="AI26" s="27">
        <f t="shared" si="19"/>
        <v>36148.12026819999</v>
      </c>
      <c r="AJ26" s="27">
        <f t="shared" si="19"/>
        <v>6506.661648275999</v>
      </c>
      <c r="AK26" s="27">
        <f t="shared" si="19"/>
        <v>35136.00868969999</v>
      </c>
      <c r="AL26" s="27">
        <f t="shared" si="19"/>
        <v>6324.481564145999</v>
      </c>
      <c r="AM26" s="27">
        <f t="shared" si="19"/>
        <v>80844.53348410508</v>
      </c>
      <c r="AN26" s="27">
        <f t="shared" si="19"/>
        <v>14552.016027138912</v>
      </c>
      <c r="AO26" s="27">
        <f t="shared" si="19"/>
        <v>0</v>
      </c>
      <c r="AP26" s="27">
        <f t="shared" si="19"/>
        <v>0</v>
      </c>
      <c r="AQ26" s="27">
        <f t="shared" si="19"/>
        <v>12995.32</v>
      </c>
      <c r="AR26" s="27">
        <f t="shared" si="19"/>
        <v>2339.1576</v>
      </c>
      <c r="AS26" s="85">
        <f t="shared" si="19"/>
        <v>119326.3</v>
      </c>
      <c r="AT26" s="85">
        <f t="shared" si="19"/>
        <v>5136</v>
      </c>
      <c r="AU26" s="85">
        <f t="shared" si="19"/>
        <v>22403.224</v>
      </c>
      <c r="AV26" s="85"/>
      <c r="AW26" s="85"/>
      <c r="AX26" s="27">
        <f t="shared" si="19"/>
        <v>14537.6</v>
      </c>
      <c r="AY26" s="27">
        <f t="shared" si="19"/>
        <v>0</v>
      </c>
      <c r="AZ26" s="27">
        <f t="shared" si="19"/>
        <v>0</v>
      </c>
      <c r="BA26" s="27">
        <f t="shared" si="19"/>
        <v>0</v>
      </c>
      <c r="BB26" s="27">
        <f t="shared" si="19"/>
        <v>390762.5737799661</v>
      </c>
      <c r="BC26" s="27">
        <f t="shared" si="19"/>
        <v>90131.93752074592</v>
      </c>
      <c r="BD26" s="27">
        <f>SUM(BD14:BD25)</f>
        <v>85157.46645528807</v>
      </c>
      <c r="BE26" s="28">
        <f>SUM(BE14:BE25)</f>
        <v>-6977.590000000007</v>
      </c>
    </row>
    <row r="27" spans="1:57" ht="15" customHeight="1">
      <c r="A27" s="5" t="s">
        <v>89</v>
      </c>
      <c r="B27" s="82"/>
      <c r="C27" s="15"/>
      <c r="D27" s="15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4"/>
      <c r="P27" s="18"/>
      <c r="Q27" s="17"/>
      <c r="R27" s="17"/>
      <c r="S27" s="17"/>
      <c r="T27" s="17"/>
      <c r="U27" s="30"/>
      <c r="V27" s="30"/>
      <c r="W27" s="30"/>
      <c r="X27" s="30"/>
      <c r="Y27" s="30"/>
      <c r="Z27" s="30"/>
      <c r="AA27" s="19"/>
      <c r="AB27" s="19"/>
      <c r="AC27" s="144"/>
      <c r="AD27" s="145"/>
      <c r="AE27" s="145"/>
      <c r="AF27" s="144"/>
      <c r="AG27" s="20"/>
      <c r="AH27" s="20"/>
      <c r="AI27" s="20"/>
      <c r="AJ27" s="20"/>
      <c r="AK27" s="20"/>
      <c r="AL27" s="20"/>
      <c r="AM27" s="20"/>
      <c r="AN27" s="20"/>
      <c r="AO27" s="21"/>
      <c r="AP27" s="21"/>
      <c r="AQ27" s="21"/>
      <c r="AR27" s="21"/>
      <c r="AS27" s="100"/>
      <c r="AT27" s="100"/>
      <c r="AU27" s="31"/>
      <c r="AV27" s="31"/>
      <c r="AW27" s="31"/>
      <c r="AX27" s="21"/>
      <c r="AY27" s="21"/>
      <c r="AZ27" s="21"/>
      <c r="BA27" s="20"/>
      <c r="BB27" s="20"/>
      <c r="BC27" s="20"/>
      <c r="BD27" s="20"/>
      <c r="BE27" s="22"/>
    </row>
    <row r="28" spans="1:57" ht="12.75">
      <c r="A28" s="13" t="s">
        <v>45</v>
      </c>
      <c r="B28" s="94">
        <v>3715.6</v>
      </c>
      <c r="C28" s="170">
        <f aca="true" t="shared" si="20" ref="C28:C39">B28*8.65</f>
        <v>32139.940000000002</v>
      </c>
      <c r="D28" s="169">
        <f aca="true" t="shared" si="21" ref="D28:D39">C28-E28-F28-G28-H28-I28-J28-K28-L28-M28-N28</f>
        <v>2945.9400000000032</v>
      </c>
      <c r="E28" s="95">
        <v>2728.3</v>
      </c>
      <c r="F28" s="95">
        <v>641.47</v>
      </c>
      <c r="G28" s="95">
        <v>3694.84</v>
      </c>
      <c r="H28" s="95">
        <v>869.51</v>
      </c>
      <c r="I28" s="95">
        <v>8878.7</v>
      </c>
      <c r="J28" s="95">
        <v>2088.22</v>
      </c>
      <c r="K28" s="95">
        <v>6150.35</v>
      </c>
      <c r="L28" s="95">
        <v>1446.78</v>
      </c>
      <c r="M28" s="90">
        <v>2182.66</v>
      </c>
      <c r="N28" s="96">
        <v>513.17</v>
      </c>
      <c r="O28" s="103">
        <v>0</v>
      </c>
      <c r="P28" s="103">
        <v>0</v>
      </c>
      <c r="Q28" s="103"/>
      <c r="R28" s="103"/>
      <c r="S28" s="95">
        <f aca="true" t="shared" si="22" ref="S28:S39">E28+G28+I28+K28+M28+O28+Q28</f>
        <v>23634.850000000002</v>
      </c>
      <c r="T28" s="152">
        <f aca="true" t="shared" si="23" ref="T28:T39">P28+N28+L28+J28+H28+F28+R28</f>
        <v>5559.15</v>
      </c>
      <c r="U28" s="95">
        <v>1920.84</v>
      </c>
      <c r="V28" s="95">
        <v>2601.39</v>
      </c>
      <c r="W28" s="95">
        <v>6251</v>
      </c>
      <c r="X28" s="95">
        <v>4330.17</v>
      </c>
      <c r="Y28" s="95">
        <v>1536.59</v>
      </c>
      <c r="Z28" s="95">
        <v>0</v>
      </c>
      <c r="AA28" s="103">
        <v>0</v>
      </c>
      <c r="AB28" s="103">
        <f aca="true" t="shared" si="24" ref="AB28:AB36">SUM(U28:AA28)</f>
        <v>16639.989999999998</v>
      </c>
      <c r="AC28" s="154">
        <f aca="true" t="shared" si="25" ref="AC28:AC39">D28+T28+AB28</f>
        <v>25145.08</v>
      </c>
      <c r="AD28" s="155">
        <f aca="true" t="shared" si="26" ref="AD28:AD39">P28+Z28</f>
        <v>0</v>
      </c>
      <c r="AE28" s="155">
        <f aca="true" t="shared" si="27" ref="AE28:AE39">R28+AA28</f>
        <v>0</v>
      </c>
      <c r="AF28" s="155">
        <f>'[5]Т01-10'!$I$4+'[5]Т01-10'!$I$12+'[5]Т01-10'!$I$17+'[5]Т01-10'!$I$42+'[5]Т01-10'!$I$49+'[5]Т01-10'!$I$97+'[5]Т01-10'!$I$98</f>
        <v>21375.046368</v>
      </c>
      <c r="AG28" s="32">
        <f aca="true" t="shared" si="28" ref="AG28:AG39">0.6*B28</f>
        <v>2229.3599999999997</v>
      </c>
      <c r="AH28" s="32">
        <f aca="true" t="shared" si="29" ref="AH28:AH39">B28*0.2</f>
        <v>743.12</v>
      </c>
      <c r="AI28" s="32">
        <f aca="true" t="shared" si="30" ref="AI28:AI39">1*B28</f>
        <v>3715.6</v>
      </c>
      <c r="AJ28" s="32">
        <v>0</v>
      </c>
      <c r="AK28" s="32">
        <f aca="true" t="shared" si="31" ref="AK28:AK39">0.98*B28</f>
        <v>3641.288</v>
      </c>
      <c r="AL28" s="32">
        <v>0</v>
      </c>
      <c r="AM28" s="32">
        <f aca="true" t="shared" si="32" ref="AM28:AM39">2.25*B28</f>
        <v>8360.1</v>
      </c>
      <c r="AN28" s="32">
        <v>0</v>
      </c>
      <c r="AO28" s="32"/>
      <c r="AP28" s="32">
        <v>0</v>
      </c>
      <c r="AQ28" s="156"/>
      <c r="AR28" s="156"/>
      <c r="AS28" s="101">
        <v>154</v>
      </c>
      <c r="AT28" s="101"/>
      <c r="AU28" s="101">
        <f aca="true" t="shared" si="33" ref="AU28:AU34">AT28*0.18</f>
        <v>0</v>
      </c>
      <c r="AV28" s="157">
        <v>508</v>
      </c>
      <c r="AW28" s="158">
        <v>2.5</v>
      </c>
      <c r="AX28" s="32">
        <f aca="true" t="shared" si="34" ref="AX28:AX39">AV28*AW28*1.4</f>
        <v>1778</v>
      </c>
      <c r="AY28" s="159"/>
      <c r="AZ28" s="160"/>
      <c r="BA28" s="160">
        <f aca="true" t="shared" si="35" ref="BA28:BA39">AZ28*0.18</f>
        <v>0</v>
      </c>
      <c r="BB28" s="160">
        <f aca="true" t="shared" si="36" ref="BB28:BB36">SUM(AG28:BA28)-AV28-AW28</f>
        <v>20621.468</v>
      </c>
      <c r="BC28" s="161">
        <f>'[5]Т03-10'!$M$4+'[5]Т03-10'!$M$12+'[5]Т03-10'!$M$17+'[5]Т03-10'!$M$43+'[5]Т03-10'!$M$50+'[5]Т03-10'!$M$98+'[5]Т03-10'!$M$99</f>
        <v>10119.8408</v>
      </c>
      <c r="BD28" s="162">
        <f>(AC28-BB28)+(AF28-BC28)</f>
        <v>15778.817568</v>
      </c>
      <c r="BE28" s="22">
        <f>AB28-S28</f>
        <v>-6994.860000000004</v>
      </c>
    </row>
    <row r="29" spans="1:57" ht="12.75">
      <c r="A29" s="13" t="s">
        <v>46</v>
      </c>
      <c r="B29" s="149">
        <v>3715.6</v>
      </c>
      <c r="C29" s="170">
        <f t="shared" si="20"/>
        <v>32139.940000000002</v>
      </c>
      <c r="D29" s="169">
        <f t="shared" si="21"/>
        <v>2934.990000000003</v>
      </c>
      <c r="E29" s="172">
        <v>2738.92</v>
      </c>
      <c r="F29" s="173">
        <v>632.14</v>
      </c>
      <c r="G29" s="173">
        <v>3709.15</v>
      </c>
      <c r="H29" s="173">
        <v>856.87</v>
      </c>
      <c r="I29" s="173">
        <v>8913.17</v>
      </c>
      <c r="J29" s="173">
        <v>2057.87</v>
      </c>
      <c r="K29" s="173">
        <v>6174.22</v>
      </c>
      <c r="L29" s="173">
        <v>1425.75</v>
      </c>
      <c r="M29" s="174">
        <v>2191.15</v>
      </c>
      <c r="N29" s="175">
        <v>505.71</v>
      </c>
      <c r="O29" s="176">
        <v>0</v>
      </c>
      <c r="P29" s="176">
        <v>0</v>
      </c>
      <c r="Q29" s="173">
        <v>0</v>
      </c>
      <c r="R29" s="176">
        <v>0</v>
      </c>
      <c r="S29" s="95">
        <f t="shared" si="22"/>
        <v>23726.61</v>
      </c>
      <c r="T29" s="152">
        <f t="shared" si="23"/>
        <v>5478.34</v>
      </c>
      <c r="U29" s="95">
        <v>4862.32</v>
      </c>
      <c r="V29" s="95">
        <v>6580.03</v>
      </c>
      <c r="W29" s="95">
        <v>15818.58</v>
      </c>
      <c r="X29" s="95">
        <v>10956.16</v>
      </c>
      <c r="Y29" s="95">
        <v>3889.87</v>
      </c>
      <c r="Z29" s="95">
        <v>0</v>
      </c>
      <c r="AA29" s="103">
        <v>0</v>
      </c>
      <c r="AB29" s="103">
        <f t="shared" si="24"/>
        <v>42106.96</v>
      </c>
      <c r="AC29" s="154">
        <f t="shared" si="25"/>
        <v>50520.29</v>
      </c>
      <c r="AD29" s="155">
        <f t="shared" si="26"/>
        <v>0</v>
      </c>
      <c r="AE29" s="155">
        <f t="shared" si="27"/>
        <v>0</v>
      </c>
      <c r="AF29" s="155">
        <f>'[5]Т01-10'!$I$4+'[5]Т01-10'!$I$12+'[5]Т01-10'!$I$17+'[5]Т01-10'!$I$42+'[5]Т01-10'!$I$49+'[5]Т01-10'!$I$97+'[5]Т01-10'!$I$98</f>
        <v>21375.046368</v>
      </c>
      <c r="AG29" s="32">
        <f t="shared" si="28"/>
        <v>2229.3599999999997</v>
      </c>
      <c r="AH29" s="32">
        <f t="shared" si="29"/>
        <v>743.12</v>
      </c>
      <c r="AI29" s="32">
        <f t="shared" si="30"/>
        <v>3715.6</v>
      </c>
      <c r="AJ29" s="32">
        <v>0</v>
      </c>
      <c r="AK29" s="32">
        <f t="shared" si="31"/>
        <v>3641.288</v>
      </c>
      <c r="AL29" s="32">
        <v>0</v>
      </c>
      <c r="AM29" s="32">
        <f t="shared" si="32"/>
        <v>8360.1</v>
      </c>
      <c r="AN29" s="32">
        <v>0</v>
      </c>
      <c r="AO29" s="32"/>
      <c r="AP29" s="32"/>
      <c r="AQ29" s="156"/>
      <c r="AR29" s="156"/>
      <c r="AS29" s="101">
        <v>16028</v>
      </c>
      <c r="AT29" s="101"/>
      <c r="AU29" s="101">
        <f t="shared" si="33"/>
        <v>0</v>
      </c>
      <c r="AV29" s="157">
        <v>407</v>
      </c>
      <c r="AW29" s="158">
        <v>2.5</v>
      </c>
      <c r="AX29" s="32">
        <f t="shared" si="34"/>
        <v>1424.5</v>
      </c>
      <c r="AY29" s="159"/>
      <c r="AZ29" s="160"/>
      <c r="BA29" s="160">
        <f t="shared" si="35"/>
        <v>0</v>
      </c>
      <c r="BB29" s="160">
        <f t="shared" si="36"/>
        <v>36141.968</v>
      </c>
      <c r="BC29" s="161">
        <f>'[5]Т03-10'!$M$4+'[5]Т03-10'!$M$12+'[5]Т03-10'!$M$17+'[5]Т03-10'!$M$43+'[5]Т03-10'!$M$50+'[5]Т03-10'!$M$98+'[5]Т03-10'!$M$99</f>
        <v>10119.8408</v>
      </c>
      <c r="BD29" s="162">
        <f aca="true" t="shared" si="37" ref="BD29:BD39">(AC29-BB29)+(AF29-BC29)</f>
        <v>25633.527567999998</v>
      </c>
      <c r="BE29" s="22">
        <f aca="true" t="shared" si="38" ref="BE29:BE36">AB29-S29</f>
        <v>18380.35</v>
      </c>
    </row>
    <row r="30" spans="1:57" ht="12.75">
      <c r="A30" s="13" t="s">
        <v>47</v>
      </c>
      <c r="B30" s="94">
        <v>3715.6</v>
      </c>
      <c r="C30" s="170">
        <f t="shared" si="20"/>
        <v>32139.940000000002</v>
      </c>
      <c r="D30" s="169">
        <f t="shared" si="21"/>
        <v>2926.030000000003</v>
      </c>
      <c r="E30" s="95">
        <v>2729.41</v>
      </c>
      <c r="F30" s="95">
        <v>642.7</v>
      </c>
      <c r="G30" s="95">
        <v>3696.24</v>
      </c>
      <c r="H30" s="95">
        <v>871.15</v>
      </c>
      <c r="I30" s="95">
        <v>8882.21</v>
      </c>
      <c r="J30" s="95">
        <v>2092.19</v>
      </c>
      <c r="K30" s="95">
        <v>6152.78</v>
      </c>
      <c r="L30" s="95">
        <v>1449.53</v>
      </c>
      <c r="M30" s="90">
        <v>2183.55</v>
      </c>
      <c r="N30" s="96">
        <v>514.15</v>
      </c>
      <c r="O30" s="103">
        <v>0</v>
      </c>
      <c r="P30" s="103">
        <v>0</v>
      </c>
      <c r="Q30" s="103">
        <v>0</v>
      </c>
      <c r="R30" s="103">
        <v>0</v>
      </c>
      <c r="S30" s="95">
        <f t="shared" si="22"/>
        <v>23644.19</v>
      </c>
      <c r="T30" s="152">
        <f t="shared" si="23"/>
        <v>5569.719999999999</v>
      </c>
      <c r="U30" s="95">
        <v>2579.89</v>
      </c>
      <c r="V30" s="95">
        <v>3493.56</v>
      </c>
      <c r="W30" s="95">
        <v>8405.42</v>
      </c>
      <c r="X30" s="95">
        <v>5815.48</v>
      </c>
      <c r="Y30" s="95">
        <v>2063.86</v>
      </c>
      <c r="Z30" s="95">
        <v>0</v>
      </c>
      <c r="AA30" s="103">
        <v>0</v>
      </c>
      <c r="AB30" s="103">
        <f t="shared" si="24"/>
        <v>22358.21</v>
      </c>
      <c r="AC30" s="154">
        <f t="shared" si="25"/>
        <v>30853.96</v>
      </c>
      <c r="AD30" s="155">
        <f t="shared" si="26"/>
        <v>0</v>
      </c>
      <c r="AE30" s="155">
        <f t="shared" si="27"/>
        <v>0</v>
      </c>
      <c r="AF30" s="155">
        <f>'[5]Т01-10'!$I$4+'[5]Т01-10'!$I$12+'[5]Т01-10'!$I$17+'[5]Т01-10'!$I$42+'[5]Т01-10'!$I$49+'[5]Т01-10'!$I$97+'[5]Т01-10'!$I$98</f>
        <v>21375.046368</v>
      </c>
      <c r="AG30" s="32">
        <f t="shared" si="28"/>
        <v>2229.3599999999997</v>
      </c>
      <c r="AH30" s="32">
        <f t="shared" si="29"/>
        <v>743.12</v>
      </c>
      <c r="AI30" s="32">
        <f t="shared" si="30"/>
        <v>3715.6</v>
      </c>
      <c r="AJ30" s="32">
        <v>0</v>
      </c>
      <c r="AK30" s="32">
        <f t="shared" si="31"/>
        <v>3641.288</v>
      </c>
      <c r="AL30" s="32">
        <v>0</v>
      </c>
      <c r="AM30" s="32">
        <f t="shared" si="32"/>
        <v>8360.1</v>
      </c>
      <c r="AN30" s="32">
        <v>0</v>
      </c>
      <c r="AO30" s="32"/>
      <c r="AP30" s="32"/>
      <c r="AQ30" s="156"/>
      <c r="AR30" s="156"/>
      <c r="AS30" s="101">
        <v>51034</v>
      </c>
      <c r="AT30" s="101"/>
      <c r="AU30" s="101">
        <f t="shared" si="33"/>
        <v>0</v>
      </c>
      <c r="AV30" s="157">
        <v>383</v>
      </c>
      <c r="AW30" s="158">
        <v>2.5</v>
      </c>
      <c r="AX30" s="32">
        <f t="shared" si="34"/>
        <v>1340.5</v>
      </c>
      <c r="AY30" s="159"/>
      <c r="AZ30" s="160"/>
      <c r="BA30" s="160">
        <f t="shared" si="35"/>
        <v>0</v>
      </c>
      <c r="BB30" s="160">
        <f t="shared" si="36"/>
        <v>71063.968</v>
      </c>
      <c r="BC30" s="161">
        <f>'[5]Т03-10'!$M$4+'[5]Т03-10'!$M$12+'[5]Т03-10'!$M$17+'[5]Т03-10'!$M$43+'[5]Т03-10'!$M$50+'[5]Т03-10'!$M$98+'[5]Т03-10'!$M$99</f>
        <v>10119.8408</v>
      </c>
      <c r="BD30" s="162">
        <f t="shared" si="37"/>
        <v>-28954.802431999997</v>
      </c>
      <c r="BE30" s="22">
        <f t="shared" si="38"/>
        <v>-1285.9799999999996</v>
      </c>
    </row>
    <row r="31" spans="1:57" ht="12.75">
      <c r="A31" s="13" t="s">
        <v>48</v>
      </c>
      <c r="B31" s="94">
        <v>3715.6</v>
      </c>
      <c r="C31" s="170">
        <f t="shared" si="20"/>
        <v>32139.940000000002</v>
      </c>
      <c r="D31" s="169">
        <f t="shared" si="21"/>
        <v>2919.310000000004</v>
      </c>
      <c r="E31" s="95">
        <v>2746.06</v>
      </c>
      <c r="F31" s="95">
        <v>626.84</v>
      </c>
      <c r="G31" s="95">
        <v>3718.73</v>
      </c>
      <c r="H31" s="95">
        <v>849.69</v>
      </c>
      <c r="I31" s="95">
        <v>8936.3</v>
      </c>
      <c r="J31" s="95">
        <v>2040.64</v>
      </c>
      <c r="K31" s="95">
        <v>6190.24</v>
      </c>
      <c r="L31" s="95">
        <v>1413.8</v>
      </c>
      <c r="M31" s="90">
        <v>2196.84</v>
      </c>
      <c r="N31" s="96">
        <v>501.49</v>
      </c>
      <c r="O31" s="103">
        <v>0</v>
      </c>
      <c r="P31" s="103">
        <v>0</v>
      </c>
      <c r="Q31" s="103"/>
      <c r="R31" s="103"/>
      <c r="S31" s="95">
        <f t="shared" si="22"/>
        <v>23788.170000000002</v>
      </c>
      <c r="T31" s="152">
        <f t="shared" si="23"/>
        <v>5432.460000000001</v>
      </c>
      <c r="U31" s="95">
        <v>2222.19</v>
      </c>
      <c r="V31" s="95">
        <v>3000.04</v>
      </c>
      <c r="W31" s="95">
        <v>7222.23</v>
      </c>
      <c r="X31" s="95">
        <v>5000.07</v>
      </c>
      <c r="Y31" s="95">
        <v>1777.67</v>
      </c>
      <c r="Z31" s="95">
        <v>0</v>
      </c>
      <c r="AA31" s="103">
        <v>0</v>
      </c>
      <c r="AB31" s="103">
        <f t="shared" si="24"/>
        <v>19222.199999999997</v>
      </c>
      <c r="AC31" s="154">
        <f t="shared" si="25"/>
        <v>27573.97</v>
      </c>
      <c r="AD31" s="155">
        <f t="shared" si="26"/>
        <v>0</v>
      </c>
      <c r="AE31" s="155">
        <f t="shared" si="27"/>
        <v>0</v>
      </c>
      <c r="AF31" s="155">
        <f>'[6]Т04-10'!$I$4+'[6]Т04-10'!$I$12+'[6]Т04-10'!$I$17+'[6]Т04-10'!$I$43+'[6]Т04-10'!$I$50+'[6]Т04-10'!$I$98+'[6]Т04-10'!$I$99</f>
        <v>21375.046368</v>
      </c>
      <c r="AG31" s="32">
        <f t="shared" si="28"/>
        <v>2229.3599999999997</v>
      </c>
      <c r="AH31" s="32">
        <f t="shared" si="29"/>
        <v>743.12</v>
      </c>
      <c r="AI31" s="32">
        <f t="shared" si="30"/>
        <v>3715.6</v>
      </c>
      <c r="AJ31" s="32">
        <v>0</v>
      </c>
      <c r="AK31" s="32">
        <f t="shared" si="31"/>
        <v>3641.288</v>
      </c>
      <c r="AL31" s="32">
        <v>0</v>
      </c>
      <c r="AM31" s="32">
        <f t="shared" si="32"/>
        <v>8360.1</v>
      </c>
      <c r="AN31" s="32">
        <v>0</v>
      </c>
      <c r="AO31" s="32"/>
      <c r="AP31" s="32"/>
      <c r="AQ31" s="156"/>
      <c r="AR31" s="156"/>
      <c r="AS31" s="101">
        <v>11532</v>
      </c>
      <c r="AT31" s="101">
        <v>500</v>
      </c>
      <c r="AU31" s="101">
        <v>0</v>
      </c>
      <c r="AV31" s="157">
        <v>307</v>
      </c>
      <c r="AW31" s="158">
        <v>2.5</v>
      </c>
      <c r="AX31" s="32">
        <f t="shared" si="34"/>
        <v>1074.5</v>
      </c>
      <c r="AY31" s="159"/>
      <c r="AZ31" s="160"/>
      <c r="BA31" s="160">
        <f t="shared" si="35"/>
        <v>0</v>
      </c>
      <c r="BB31" s="160">
        <f t="shared" si="36"/>
        <v>31795.968</v>
      </c>
      <c r="BC31" s="161">
        <f>'[6]Т04-10'!$M$4+'[6]Т04-10'!$M$12+'[6]Т04-10'!$M$17+'[6]Т04-10'!$M$43+'[6]Т04-10'!$M$50+'[6]Т04-10'!$M$98+'[6]Т04-10'!$M$99</f>
        <v>10119.8408</v>
      </c>
      <c r="BD31" s="162">
        <f t="shared" si="37"/>
        <v>7033.207568</v>
      </c>
      <c r="BE31" s="22">
        <f t="shared" si="38"/>
        <v>-4565.970000000005</v>
      </c>
    </row>
    <row r="32" spans="1:57" ht="12.75">
      <c r="A32" s="13" t="s">
        <v>49</v>
      </c>
      <c r="B32" s="94">
        <v>3717.4</v>
      </c>
      <c r="C32" s="170">
        <f t="shared" si="20"/>
        <v>32155.510000000002</v>
      </c>
      <c r="D32" s="169">
        <f t="shared" si="21"/>
        <v>2919.5700000000043</v>
      </c>
      <c r="E32" s="95">
        <v>2748.32</v>
      </c>
      <c r="F32" s="95">
        <v>626.36</v>
      </c>
      <c r="G32" s="95">
        <v>3721.78</v>
      </c>
      <c r="H32" s="95">
        <v>849.01</v>
      </c>
      <c r="I32" s="95">
        <v>8943.75</v>
      </c>
      <c r="J32" s="95">
        <v>2038.97</v>
      </c>
      <c r="K32" s="95">
        <v>6195.31</v>
      </c>
      <c r="L32" s="95">
        <v>1412.68</v>
      </c>
      <c r="M32" s="90">
        <v>2198.67</v>
      </c>
      <c r="N32" s="96">
        <v>501.09</v>
      </c>
      <c r="O32" s="103">
        <v>0</v>
      </c>
      <c r="P32" s="103">
        <v>0</v>
      </c>
      <c r="Q32" s="103"/>
      <c r="R32" s="103"/>
      <c r="S32" s="95">
        <f t="shared" si="22"/>
        <v>23807.83</v>
      </c>
      <c r="T32" s="152">
        <f t="shared" si="23"/>
        <v>5428.11</v>
      </c>
      <c r="U32" s="177">
        <v>3782.55</v>
      </c>
      <c r="V32" s="177">
        <v>5120.52</v>
      </c>
      <c r="W32" s="177">
        <v>12307.33</v>
      </c>
      <c r="X32" s="177">
        <v>8524.82</v>
      </c>
      <c r="Y32" s="177">
        <v>3026.01</v>
      </c>
      <c r="Z32" s="177">
        <v>0</v>
      </c>
      <c r="AA32" s="178">
        <v>0</v>
      </c>
      <c r="AB32" s="103">
        <f t="shared" si="24"/>
        <v>32761.230000000003</v>
      </c>
      <c r="AC32" s="154">
        <f t="shared" si="25"/>
        <v>41108.91</v>
      </c>
      <c r="AD32" s="155">
        <f t="shared" si="26"/>
        <v>0</v>
      </c>
      <c r="AE32" s="155">
        <f t="shared" si="27"/>
        <v>0</v>
      </c>
      <c r="AF32" s="155">
        <f>'[6]Т04-10'!$I$4+'[6]Т04-10'!$I$12+'[6]Т04-10'!$I$17+'[6]Т04-10'!$I$43+'[6]Т04-10'!$I$50+'[6]Т04-10'!$I$98+'[6]Т04-10'!$I$99</f>
        <v>21375.046368</v>
      </c>
      <c r="AG32" s="32">
        <f t="shared" si="28"/>
        <v>2230.44</v>
      </c>
      <c r="AH32" s="32">
        <f t="shared" si="29"/>
        <v>743.48</v>
      </c>
      <c r="AI32" s="32">
        <f t="shared" si="30"/>
        <v>3717.4</v>
      </c>
      <c r="AJ32" s="32">
        <v>0</v>
      </c>
      <c r="AK32" s="32">
        <f t="shared" si="31"/>
        <v>3643.052</v>
      </c>
      <c r="AL32" s="32">
        <v>0</v>
      </c>
      <c r="AM32" s="32">
        <f t="shared" si="32"/>
        <v>8364.15</v>
      </c>
      <c r="AN32" s="32">
        <v>0</v>
      </c>
      <c r="AO32" s="32"/>
      <c r="AP32" s="32"/>
      <c r="AQ32" s="156"/>
      <c r="AR32" s="156"/>
      <c r="AS32" s="101">
        <v>2377</v>
      </c>
      <c r="AT32" s="101">
        <v>766.27</v>
      </c>
      <c r="AU32" s="101">
        <v>0</v>
      </c>
      <c r="AV32" s="157">
        <v>263</v>
      </c>
      <c r="AW32" s="158">
        <v>2.5</v>
      </c>
      <c r="AX32" s="32">
        <f t="shared" si="34"/>
        <v>920.4999999999999</v>
      </c>
      <c r="AY32" s="159"/>
      <c r="AZ32" s="160"/>
      <c r="BA32" s="160">
        <f t="shared" si="35"/>
        <v>0</v>
      </c>
      <c r="BB32" s="160">
        <f t="shared" si="36"/>
        <v>22762.291999999998</v>
      </c>
      <c r="BC32" s="161">
        <f>'[6]Т04-10'!$M$4+'[6]Т04-10'!$M$12+'[6]Т04-10'!$M$17+'[6]Т04-10'!$M$43+'[6]Т04-10'!$M$50+'[6]Т04-10'!$M$98+'[6]Т04-10'!$M$99</f>
        <v>10119.8408</v>
      </c>
      <c r="BD32" s="162">
        <f t="shared" si="37"/>
        <v>29601.823568000007</v>
      </c>
      <c r="BE32" s="22">
        <f t="shared" si="38"/>
        <v>8953.400000000001</v>
      </c>
    </row>
    <row r="33" spans="1:57" ht="12.75">
      <c r="A33" s="13" t="s">
        <v>50</v>
      </c>
      <c r="B33" s="94">
        <v>3717.4</v>
      </c>
      <c r="C33" s="170">
        <f t="shared" si="20"/>
        <v>32155.510000000002</v>
      </c>
      <c r="D33" s="169">
        <f t="shared" si="21"/>
        <v>2934.9300000000026</v>
      </c>
      <c r="E33" s="95">
        <v>2738.42</v>
      </c>
      <c r="F33" s="95">
        <v>634.46</v>
      </c>
      <c r="G33" s="95">
        <v>3708.45</v>
      </c>
      <c r="H33" s="95">
        <v>859.99</v>
      </c>
      <c r="I33" s="95">
        <v>8911.58</v>
      </c>
      <c r="J33" s="95">
        <v>2065.34</v>
      </c>
      <c r="K33" s="95">
        <v>6173.08</v>
      </c>
      <c r="L33" s="95">
        <v>1430.95</v>
      </c>
      <c r="M33" s="90">
        <v>2190.75</v>
      </c>
      <c r="N33" s="96">
        <v>507.56</v>
      </c>
      <c r="O33" s="103">
        <v>0</v>
      </c>
      <c r="P33" s="103">
        <v>0</v>
      </c>
      <c r="Q33" s="103">
        <v>0</v>
      </c>
      <c r="R33" s="103">
        <v>0</v>
      </c>
      <c r="S33" s="95">
        <f t="shared" si="22"/>
        <v>23722.28</v>
      </c>
      <c r="T33" s="152">
        <f t="shared" si="23"/>
        <v>5498.3</v>
      </c>
      <c r="U33" s="95">
        <v>4455.58</v>
      </c>
      <c r="V33" s="95">
        <v>6031.36</v>
      </c>
      <c r="W33" s="95">
        <v>14497.36</v>
      </c>
      <c r="X33" s="95">
        <v>10041.55</v>
      </c>
      <c r="Y33" s="95">
        <v>3564.44</v>
      </c>
      <c r="Z33" s="95">
        <v>0</v>
      </c>
      <c r="AA33" s="103">
        <v>0</v>
      </c>
      <c r="AB33" s="103">
        <f t="shared" si="24"/>
        <v>38590.29</v>
      </c>
      <c r="AC33" s="154">
        <f t="shared" si="25"/>
        <v>47023.520000000004</v>
      </c>
      <c r="AD33" s="155">
        <f t="shared" si="26"/>
        <v>0</v>
      </c>
      <c r="AE33" s="155">
        <f t="shared" si="27"/>
        <v>0</v>
      </c>
      <c r="AF33" s="155">
        <f>'[6]Т04-10'!$I$4+'[6]Т04-10'!$I$12+'[6]Т04-10'!$I$17+'[6]Т04-10'!$I$43+'[6]Т04-10'!$I$50+'[6]Т04-10'!$I$98+'[6]Т04-10'!$I$99</f>
        <v>21375.046368</v>
      </c>
      <c r="AG33" s="32">
        <f t="shared" si="28"/>
        <v>2230.44</v>
      </c>
      <c r="AH33" s="32">
        <f t="shared" si="29"/>
        <v>743.48</v>
      </c>
      <c r="AI33" s="32">
        <f t="shared" si="30"/>
        <v>3717.4</v>
      </c>
      <c r="AJ33" s="32">
        <v>0</v>
      </c>
      <c r="AK33" s="32">
        <f t="shared" si="31"/>
        <v>3643.052</v>
      </c>
      <c r="AL33" s="32">
        <v>0</v>
      </c>
      <c r="AM33" s="32">
        <f t="shared" si="32"/>
        <v>8364.15</v>
      </c>
      <c r="AN33" s="32">
        <v>0</v>
      </c>
      <c r="AO33" s="32"/>
      <c r="AP33" s="32"/>
      <c r="AQ33" s="156"/>
      <c r="AR33" s="156"/>
      <c r="AS33" s="101">
        <v>1448</v>
      </c>
      <c r="AT33" s="101"/>
      <c r="AU33" s="101">
        <f t="shared" si="33"/>
        <v>0</v>
      </c>
      <c r="AV33" s="157">
        <v>233</v>
      </c>
      <c r="AW33" s="158">
        <v>2.5</v>
      </c>
      <c r="AX33" s="32">
        <f t="shared" si="34"/>
        <v>815.5</v>
      </c>
      <c r="AY33" s="159"/>
      <c r="AZ33" s="160"/>
      <c r="BA33" s="160">
        <f t="shared" si="35"/>
        <v>0</v>
      </c>
      <c r="BB33" s="160">
        <f t="shared" si="36"/>
        <v>20962.021999999997</v>
      </c>
      <c r="BC33" s="161">
        <f>'[6]Т06-10'!$M$4+'[6]Т06-10'!$M$12+'[6]Т06-10'!$M$17+'[6]Т06-10'!$M$43+'[6]Т06-10'!$M$50+'[6]Т06-10'!$M$96+'[6]Т06-10'!$M$97</f>
        <v>10119.8408</v>
      </c>
      <c r="BD33" s="162">
        <f t="shared" si="37"/>
        <v>37316.703568000004</v>
      </c>
      <c r="BE33" s="22">
        <f t="shared" si="38"/>
        <v>14868.010000000002</v>
      </c>
    </row>
    <row r="34" spans="1:57" ht="12.75">
      <c r="A34" s="13" t="s">
        <v>51</v>
      </c>
      <c r="B34" s="94">
        <v>3717.4</v>
      </c>
      <c r="C34" s="170">
        <f t="shared" si="20"/>
        <v>32155.510000000002</v>
      </c>
      <c r="D34" s="169">
        <f t="shared" si="21"/>
        <v>2895.2700000000023</v>
      </c>
      <c r="E34" s="102">
        <v>3347.84</v>
      </c>
      <c r="F34" s="95">
        <v>29.7</v>
      </c>
      <c r="G34" s="95">
        <v>4534.25</v>
      </c>
      <c r="H34" s="95">
        <v>40.26</v>
      </c>
      <c r="I34" s="95">
        <v>10839.51</v>
      </c>
      <c r="J34" s="95">
        <v>152.35</v>
      </c>
      <c r="K34" s="95">
        <v>7547.29</v>
      </c>
      <c r="L34" s="95">
        <v>66.99</v>
      </c>
      <c r="M34" s="90">
        <v>2678.29</v>
      </c>
      <c r="N34" s="96">
        <v>23.76</v>
      </c>
      <c r="O34" s="103">
        <v>0</v>
      </c>
      <c r="P34" s="103">
        <v>0</v>
      </c>
      <c r="Q34" s="103"/>
      <c r="R34" s="103"/>
      <c r="S34" s="95">
        <f t="shared" si="22"/>
        <v>28947.18</v>
      </c>
      <c r="T34" s="152">
        <f t="shared" si="23"/>
        <v>313.06</v>
      </c>
      <c r="U34" s="102">
        <v>3051.4</v>
      </c>
      <c r="V34" s="95">
        <v>4130.76</v>
      </c>
      <c r="W34" s="95">
        <v>9928.66</v>
      </c>
      <c r="X34" s="95">
        <v>6876.89</v>
      </c>
      <c r="Y34" s="95">
        <v>2441.14</v>
      </c>
      <c r="Z34" s="95">
        <v>0</v>
      </c>
      <c r="AA34" s="103">
        <v>0</v>
      </c>
      <c r="AB34" s="103">
        <f t="shared" si="24"/>
        <v>26428.85</v>
      </c>
      <c r="AC34" s="154">
        <f t="shared" si="25"/>
        <v>29637.18</v>
      </c>
      <c r="AD34" s="155">
        <f t="shared" si="26"/>
        <v>0</v>
      </c>
      <c r="AE34" s="155">
        <f t="shared" si="27"/>
        <v>0</v>
      </c>
      <c r="AF34" s="155">
        <f>'[7]Т07-10'!$I$4+'[7]Т07-10'!$I$11+'[7]Т07-10'!$I$16+'[7]Т07-10'!$I$43+'[7]Т07-10'!$I$50+'[7]Т07-10'!$I$95+'[7]Т07-10'!$I$96</f>
        <v>21375.046368</v>
      </c>
      <c r="AG34" s="32">
        <f t="shared" si="28"/>
        <v>2230.44</v>
      </c>
      <c r="AH34" s="32">
        <f t="shared" si="29"/>
        <v>743.48</v>
      </c>
      <c r="AI34" s="32">
        <f t="shared" si="30"/>
        <v>3717.4</v>
      </c>
      <c r="AJ34" s="32">
        <v>0</v>
      </c>
      <c r="AK34" s="32">
        <f t="shared" si="31"/>
        <v>3643.052</v>
      </c>
      <c r="AL34" s="32">
        <v>0</v>
      </c>
      <c r="AM34" s="32">
        <f t="shared" si="32"/>
        <v>8364.15</v>
      </c>
      <c r="AN34" s="32">
        <v>0</v>
      </c>
      <c r="AO34" s="32"/>
      <c r="AP34" s="32"/>
      <c r="AQ34" s="156"/>
      <c r="AR34" s="156"/>
      <c r="AS34" s="101"/>
      <c r="AT34" s="101"/>
      <c r="AU34" s="101">
        <f t="shared" si="33"/>
        <v>0</v>
      </c>
      <c r="AV34" s="157">
        <v>248</v>
      </c>
      <c r="AW34" s="158">
        <v>2.5</v>
      </c>
      <c r="AX34" s="32">
        <f t="shared" si="34"/>
        <v>868</v>
      </c>
      <c r="AY34" s="159"/>
      <c r="AZ34" s="160"/>
      <c r="BA34" s="160">
        <f t="shared" si="35"/>
        <v>0</v>
      </c>
      <c r="BB34" s="160">
        <f t="shared" si="36"/>
        <v>19566.521999999997</v>
      </c>
      <c r="BC34" s="161">
        <f>'[6]Т06-10'!$M$4+'[6]Т06-10'!$M$12+'[6]Т06-10'!$M$17+'[6]Т06-10'!$M$43+'[6]Т06-10'!$M$50+'[6]Т06-10'!$M$96+'[6]Т06-10'!$M$97</f>
        <v>10119.8408</v>
      </c>
      <c r="BD34" s="162">
        <f t="shared" si="37"/>
        <v>21325.863568</v>
      </c>
      <c r="BE34" s="22">
        <f t="shared" si="38"/>
        <v>-2518.3300000000017</v>
      </c>
    </row>
    <row r="35" spans="1:57" ht="12.75">
      <c r="A35" s="13" t="s">
        <v>52</v>
      </c>
      <c r="B35" s="94">
        <v>3717.4</v>
      </c>
      <c r="C35" s="170">
        <f t="shared" si="20"/>
        <v>32155.510000000002</v>
      </c>
      <c r="D35" s="169">
        <f t="shared" si="21"/>
        <v>2895.2500000000014</v>
      </c>
      <c r="E35" s="102">
        <v>3347.83</v>
      </c>
      <c r="F35" s="95">
        <v>29.7</v>
      </c>
      <c r="G35" s="95">
        <v>4534.26</v>
      </c>
      <c r="H35" s="95">
        <v>40.26</v>
      </c>
      <c r="I35" s="95">
        <v>10839.52</v>
      </c>
      <c r="J35" s="95">
        <v>152.35</v>
      </c>
      <c r="K35" s="95">
        <v>7547.31</v>
      </c>
      <c r="L35" s="95">
        <v>66.99</v>
      </c>
      <c r="M35" s="90">
        <v>2678.28</v>
      </c>
      <c r="N35" s="96">
        <v>23.76</v>
      </c>
      <c r="O35" s="103">
        <v>0</v>
      </c>
      <c r="P35" s="103">
        <v>0</v>
      </c>
      <c r="Q35" s="103"/>
      <c r="R35" s="103"/>
      <c r="S35" s="95">
        <f t="shared" si="22"/>
        <v>28947.2</v>
      </c>
      <c r="T35" s="152">
        <f t="shared" si="23"/>
        <v>313.06</v>
      </c>
      <c r="U35" s="177">
        <v>3714.51</v>
      </c>
      <c r="V35" s="177">
        <v>5032.19</v>
      </c>
      <c r="W35" s="177">
        <v>12031.86</v>
      </c>
      <c r="X35" s="177">
        <v>8375.29</v>
      </c>
      <c r="Y35" s="177">
        <v>2971.67</v>
      </c>
      <c r="Z35" s="177">
        <v>0</v>
      </c>
      <c r="AA35" s="178">
        <v>0</v>
      </c>
      <c r="AB35" s="103">
        <f t="shared" si="24"/>
        <v>32125.520000000004</v>
      </c>
      <c r="AC35" s="154">
        <f t="shared" si="25"/>
        <v>35333.83</v>
      </c>
      <c r="AD35" s="155">
        <f t="shared" si="26"/>
        <v>0</v>
      </c>
      <c r="AE35" s="155">
        <f t="shared" si="27"/>
        <v>0</v>
      </c>
      <c r="AF35" s="155">
        <f>'[7]Т07-10'!$I$4+'[7]Т07-10'!$I$11+'[7]Т07-10'!$I$16+'[7]Т07-10'!$I$43+'[7]Т07-10'!$I$50+'[7]Т07-10'!$I$95+'[7]Т07-10'!$I$96</f>
        <v>21375.046368</v>
      </c>
      <c r="AG35" s="32">
        <f t="shared" si="28"/>
        <v>2230.44</v>
      </c>
      <c r="AH35" s="32">
        <f t="shared" si="29"/>
        <v>743.48</v>
      </c>
      <c r="AI35" s="32">
        <f t="shared" si="30"/>
        <v>3717.4</v>
      </c>
      <c r="AJ35" s="32">
        <v>0</v>
      </c>
      <c r="AK35" s="32">
        <f t="shared" si="31"/>
        <v>3643.052</v>
      </c>
      <c r="AL35" s="32">
        <v>0</v>
      </c>
      <c r="AM35" s="32">
        <f t="shared" si="32"/>
        <v>8364.15</v>
      </c>
      <c r="AN35" s="32">
        <v>0</v>
      </c>
      <c r="AO35" s="32"/>
      <c r="AP35" s="32"/>
      <c r="AQ35" s="156"/>
      <c r="AR35" s="156"/>
      <c r="AS35" s="101"/>
      <c r="AT35" s="101">
        <f>47.8+360</f>
        <v>407.8</v>
      </c>
      <c r="AU35" s="101">
        <v>0</v>
      </c>
      <c r="AV35" s="157">
        <v>293</v>
      </c>
      <c r="AW35" s="158">
        <v>2.5</v>
      </c>
      <c r="AX35" s="32">
        <f t="shared" si="34"/>
        <v>1025.5</v>
      </c>
      <c r="AY35" s="159"/>
      <c r="AZ35" s="160"/>
      <c r="BA35" s="160">
        <f t="shared" si="35"/>
        <v>0</v>
      </c>
      <c r="BB35" s="160">
        <f t="shared" si="36"/>
        <v>20131.821999999996</v>
      </c>
      <c r="BC35" s="161">
        <f>'[6]Т06-10'!$M$4+'[6]Т06-10'!$M$12+'[6]Т06-10'!$M$17+'[6]Т06-10'!$M$43+'[6]Т06-10'!$M$50+'[6]Т06-10'!$M$96+'[6]Т06-10'!$M$97</f>
        <v>10119.8408</v>
      </c>
      <c r="BD35" s="162">
        <f t="shared" si="37"/>
        <v>26457.213568000006</v>
      </c>
      <c r="BE35" s="22">
        <f t="shared" si="38"/>
        <v>3178.3200000000033</v>
      </c>
    </row>
    <row r="36" spans="1:57" ht="12.75">
      <c r="A36" s="13" t="s">
        <v>53</v>
      </c>
      <c r="B36" s="94">
        <v>3717.4</v>
      </c>
      <c r="C36" s="170">
        <f t="shared" si="20"/>
        <v>32155.510000000002</v>
      </c>
      <c r="D36" s="169">
        <f t="shared" si="21"/>
        <v>2878.880000000002</v>
      </c>
      <c r="E36" s="95">
        <v>3349.77</v>
      </c>
      <c r="F36" s="95">
        <v>29.7</v>
      </c>
      <c r="G36" s="95">
        <v>4536.75</v>
      </c>
      <c r="H36" s="95">
        <v>40.26</v>
      </c>
      <c r="I36" s="95">
        <v>10845.69</v>
      </c>
      <c r="J36" s="95">
        <v>152.35</v>
      </c>
      <c r="K36" s="95">
        <v>7551.53</v>
      </c>
      <c r="L36" s="95">
        <v>66.99</v>
      </c>
      <c r="M36" s="90">
        <v>2679.83</v>
      </c>
      <c r="N36" s="96">
        <v>23.76</v>
      </c>
      <c r="O36" s="103">
        <v>0</v>
      </c>
      <c r="P36" s="103">
        <v>0</v>
      </c>
      <c r="Q36" s="103"/>
      <c r="R36" s="103"/>
      <c r="S36" s="95">
        <f t="shared" si="22"/>
        <v>28963.57</v>
      </c>
      <c r="T36" s="152">
        <f t="shared" si="23"/>
        <v>313.06</v>
      </c>
      <c r="U36" s="95">
        <v>2862.49</v>
      </c>
      <c r="V36" s="95">
        <v>3877.68</v>
      </c>
      <c r="W36" s="95">
        <v>9251.15</v>
      </c>
      <c r="X36" s="95">
        <v>6453.83</v>
      </c>
      <c r="Y36" s="95">
        <v>2290.03</v>
      </c>
      <c r="Z36" s="95">
        <v>0</v>
      </c>
      <c r="AA36" s="103">
        <v>0</v>
      </c>
      <c r="AB36" s="103">
        <f t="shared" si="24"/>
        <v>24735.18</v>
      </c>
      <c r="AC36" s="154">
        <f t="shared" si="25"/>
        <v>27927.120000000003</v>
      </c>
      <c r="AD36" s="155">
        <f t="shared" si="26"/>
        <v>0</v>
      </c>
      <c r="AE36" s="155">
        <f t="shared" si="27"/>
        <v>0</v>
      </c>
      <c r="AF36" s="155">
        <f>'[7]Т07-10'!$I$4+'[7]Т07-10'!$I$11+'[7]Т07-10'!$I$16+'[7]Т07-10'!$I$43+'[7]Т07-10'!$I$50+'[7]Т07-10'!$I$95+'[7]Т07-10'!$I$96</f>
        <v>21375.046368</v>
      </c>
      <c r="AG36" s="32">
        <f t="shared" si="28"/>
        <v>2230.44</v>
      </c>
      <c r="AH36" s="32">
        <f t="shared" si="29"/>
        <v>743.48</v>
      </c>
      <c r="AI36" s="32">
        <f t="shared" si="30"/>
        <v>3717.4</v>
      </c>
      <c r="AJ36" s="32">
        <v>0</v>
      </c>
      <c r="AK36" s="32">
        <f t="shared" si="31"/>
        <v>3643.052</v>
      </c>
      <c r="AL36" s="32">
        <v>0</v>
      </c>
      <c r="AM36" s="32">
        <f t="shared" si="32"/>
        <v>8364.15</v>
      </c>
      <c r="AN36" s="32">
        <v>0</v>
      </c>
      <c r="AO36" s="32"/>
      <c r="AP36" s="32"/>
      <c r="AQ36" s="156"/>
      <c r="AR36" s="156"/>
      <c r="AS36" s="101">
        <v>14846</v>
      </c>
      <c r="AT36" s="101">
        <f>14636.35</f>
        <v>14636.35</v>
      </c>
      <c r="AU36" s="179">
        <f>0*0.18</f>
        <v>0</v>
      </c>
      <c r="AV36" s="157">
        <v>349</v>
      </c>
      <c r="AW36" s="158">
        <v>2.5</v>
      </c>
      <c r="AX36" s="32">
        <f t="shared" si="34"/>
        <v>1221.5</v>
      </c>
      <c r="AY36" s="159"/>
      <c r="AZ36" s="160"/>
      <c r="BA36" s="160">
        <f t="shared" si="35"/>
        <v>0</v>
      </c>
      <c r="BB36" s="160">
        <f t="shared" si="36"/>
        <v>49402.371999999996</v>
      </c>
      <c r="BC36" s="161">
        <f>'[6]Т06-10'!$M$4+'[6]Т06-10'!$M$12+'[6]Т06-10'!$M$17+'[6]Т06-10'!$M$43+'[6]Т06-10'!$M$50+'[6]Т06-10'!$M$96+'[6]Т06-10'!$M$97</f>
        <v>10119.8408</v>
      </c>
      <c r="BD36" s="162">
        <f t="shared" si="37"/>
        <v>-10220.046431999994</v>
      </c>
      <c r="BE36" s="22">
        <f t="shared" si="38"/>
        <v>-4228.389999999999</v>
      </c>
    </row>
    <row r="37" spans="1:57" ht="12.75">
      <c r="A37" s="91" t="s">
        <v>41</v>
      </c>
      <c r="B37" s="94">
        <v>3717.4</v>
      </c>
      <c r="C37" s="170">
        <f t="shared" si="20"/>
        <v>32155.510000000002</v>
      </c>
      <c r="D37" s="169">
        <f t="shared" si="21"/>
        <v>2871.8600000000006</v>
      </c>
      <c r="E37" s="97">
        <v>3350.59</v>
      </c>
      <c r="F37" s="97">
        <v>29.7</v>
      </c>
      <c r="G37" s="97">
        <v>4537.83</v>
      </c>
      <c r="H37" s="97">
        <v>40.26</v>
      </c>
      <c r="I37" s="97">
        <v>10848.33</v>
      </c>
      <c r="J37" s="97">
        <v>152.35</v>
      </c>
      <c r="K37" s="97">
        <v>7553.35</v>
      </c>
      <c r="L37" s="97">
        <v>66.99</v>
      </c>
      <c r="M37" s="98">
        <v>2680.49</v>
      </c>
      <c r="N37" s="99">
        <v>23.76</v>
      </c>
      <c r="O37" s="166">
        <v>0</v>
      </c>
      <c r="P37" s="166">
        <v>0</v>
      </c>
      <c r="Q37" s="166"/>
      <c r="R37" s="166"/>
      <c r="S37" s="95">
        <f t="shared" si="22"/>
        <v>28970.589999999997</v>
      </c>
      <c r="T37" s="152">
        <f t="shared" si="23"/>
        <v>313.06</v>
      </c>
      <c r="U37" s="95">
        <v>3113.34</v>
      </c>
      <c r="V37" s="95">
        <v>4216.15</v>
      </c>
      <c r="W37" s="95">
        <v>10085.23</v>
      </c>
      <c r="X37" s="95">
        <v>7017.89</v>
      </c>
      <c r="Y37" s="95">
        <v>2490.67</v>
      </c>
      <c r="Z37" s="95">
        <v>0</v>
      </c>
      <c r="AA37" s="103">
        <v>0</v>
      </c>
      <c r="AB37" s="103">
        <f>SUM(U37:AA37)</f>
        <v>26923.28</v>
      </c>
      <c r="AC37" s="154">
        <f t="shared" si="25"/>
        <v>30108.2</v>
      </c>
      <c r="AD37" s="155">
        <f t="shared" si="26"/>
        <v>0</v>
      </c>
      <c r="AE37" s="155">
        <f t="shared" si="27"/>
        <v>0</v>
      </c>
      <c r="AF37" s="155">
        <f>'[7]Т10-10'!$I$4+'[7]Т10-10'!$I$11+'[7]Т10-10'!$I$16+'[7]Т10-10'!$I$43+'[7]Т10-10'!$I$50+'[7]Т10-10'!$I$95+'[7]Т10-10'!$I$96+100</f>
        <v>21475.046368</v>
      </c>
      <c r="AG37" s="32">
        <f t="shared" si="28"/>
        <v>2230.44</v>
      </c>
      <c r="AH37" s="32">
        <f t="shared" si="29"/>
        <v>743.48</v>
      </c>
      <c r="AI37" s="32">
        <f t="shared" si="30"/>
        <v>3717.4</v>
      </c>
      <c r="AJ37" s="32">
        <v>0</v>
      </c>
      <c r="AK37" s="32">
        <f t="shared" si="31"/>
        <v>3643.052</v>
      </c>
      <c r="AL37" s="32">
        <v>0</v>
      </c>
      <c r="AM37" s="32">
        <f t="shared" si="32"/>
        <v>8364.15</v>
      </c>
      <c r="AN37" s="32">
        <v>0</v>
      </c>
      <c r="AO37" s="32"/>
      <c r="AP37" s="32"/>
      <c r="AQ37" s="156"/>
      <c r="AR37" s="156"/>
      <c r="AS37" s="101">
        <v>2741</v>
      </c>
      <c r="AT37" s="101">
        <v>12500</v>
      </c>
      <c r="AU37" s="101">
        <f>0*0.18</f>
        <v>0</v>
      </c>
      <c r="AV37" s="157">
        <v>425</v>
      </c>
      <c r="AW37" s="158">
        <v>2.5</v>
      </c>
      <c r="AX37" s="32">
        <f t="shared" si="34"/>
        <v>1487.5</v>
      </c>
      <c r="AY37" s="159"/>
      <c r="AZ37" s="160"/>
      <c r="BA37" s="160">
        <f t="shared" si="35"/>
        <v>0</v>
      </c>
      <c r="BB37" s="160">
        <f>SUM(AG37:BA37)-AV37-AW37</f>
        <v>35427.022</v>
      </c>
      <c r="BC37" s="161">
        <f>'[7]Т10-10'!$M$4+'[7]Т10-10'!$M$11+'[7]Т10-10'!$M$16+'[7]Т10-10'!$M$43+'[7]Т10-10'!$M$50+'[7]Т10-10'!$M$95+'[7]Т10-10'!$M$96+25</f>
        <v>10144.8408</v>
      </c>
      <c r="BD37" s="162">
        <f t="shared" si="37"/>
        <v>6011.383568000003</v>
      </c>
      <c r="BE37" s="22">
        <f>AB37-S37</f>
        <v>-2047.3099999999977</v>
      </c>
    </row>
    <row r="38" spans="1:57" ht="12.75">
      <c r="A38" s="13" t="s">
        <v>42</v>
      </c>
      <c r="B38" s="94">
        <v>3717.4</v>
      </c>
      <c r="C38" s="170">
        <f t="shared" si="20"/>
        <v>32155.510000000002</v>
      </c>
      <c r="D38" s="169">
        <f t="shared" si="21"/>
        <v>2871.8600000000006</v>
      </c>
      <c r="E38" s="95">
        <v>3350.59</v>
      </c>
      <c r="F38" s="95">
        <v>29.7</v>
      </c>
      <c r="G38" s="95">
        <v>4537.83</v>
      </c>
      <c r="H38" s="95">
        <v>40.26</v>
      </c>
      <c r="I38" s="95">
        <v>10848.33</v>
      </c>
      <c r="J38" s="95">
        <v>152.35</v>
      </c>
      <c r="K38" s="95">
        <v>7553.35</v>
      </c>
      <c r="L38" s="95">
        <v>66.99</v>
      </c>
      <c r="M38" s="90">
        <v>2680.49</v>
      </c>
      <c r="N38" s="96">
        <v>23.76</v>
      </c>
      <c r="O38" s="103">
        <v>0</v>
      </c>
      <c r="P38" s="103">
        <v>0</v>
      </c>
      <c r="Q38" s="103"/>
      <c r="R38" s="103"/>
      <c r="S38" s="95">
        <f t="shared" si="22"/>
        <v>28970.589999999997</v>
      </c>
      <c r="T38" s="152">
        <f t="shared" si="23"/>
        <v>313.06</v>
      </c>
      <c r="U38" s="102">
        <v>2689.97</v>
      </c>
      <c r="V38" s="95">
        <v>3643.68</v>
      </c>
      <c r="W38" s="95">
        <v>13454.02</v>
      </c>
      <c r="X38" s="95">
        <v>6064.83</v>
      </c>
      <c r="Y38" s="95">
        <v>2151.97</v>
      </c>
      <c r="Z38" s="95">
        <v>0</v>
      </c>
      <c r="AA38" s="103">
        <v>0</v>
      </c>
      <c r="AB38" s="103">
        <f>SUM(U38:AA38)</f>
        <v>28004.47</v>
      </c>
      <c r="AC38" s="154">
        <f t="shared" si="25"/>
        <v>31189.390000000003</v>
      </c>
      <c r="AD38" s="155">
        <f t="shared" si="26"/>
        <v>0</v>
      </c>
      <c r="AE38" s="155">
        <f t="shared" si="27"/>
        <v>0</v>
      </c>
      <c r="AF38" s="155">
        <f>'[7]Т10-10'!$I$4+'[7]Т10-10'!$I$11+'[7]Т10-10'!$I$16+'[7]Т10-10'!$I$43+'[7]Т10-10'!$I$50+'[7]Т10-10'!$I$95+'[7]Т10-10'!$I$96+100</f>
        <v>21475.046368</v>
      </c>
      <c r="AG38" s="32">
        <f t="shared" si="28"/>
        <v>2230.44</v>
      </c>
      <c r="AH38" s="32">
        <f t="shared" si="29"/>
        <v>743.48</v>
      </c>
      <c r="AI38" s="32">
        <f t="shared" si="30"/>
        <v>3717.4</v>
      </c>
      <c r="AJ38" s="32">
        <v>0</v>
      </c>
      <c r="AK38" s="32">
        <f t="shared" si="31"/>
        <v>3643.052</v>
      </c>
      <c r="AL38" s="32">
        <v>0</v>
      </c>
      <c r="AM38" s="32">
        <f t="shared" si="32"/>
        <v>8364.15</v>
      </c>
      <c r="AN38" s="32">
        <v>0</v>
      </c>
      <c r="AO38" s="32"/>
      <c r="AP38" s="32"/>
      <c r="AQ38" s="156"/>
      <c r="AR38" s="156"/>
      <c r="AS38" s="101">
        <v>2971</v>
      </c>
      <c r="AT38" s="101"/>
      <c r="AU38" s="101">
        <f>AT38*0.18</f>
        <v>0</v>
      </c>
      <c r="AV38" s="157">
        <v>470</v>
      </c>
      <c r="AW38" s="158">
        <v>2.5</v>
      </c>
      <c r="AX38" s="32">
        <f t="shared" si="34"/>
        <v>1645</v>
      </c>
      <c r="AY38" s="159"/>
      <c r="AZ38" s="160"/>
      <c r="BA38" s="160">
        <f t="shared" si="35"/>
        <v>0</v>
      </c>
      <c r="BB38" s="160">
        <f>SUM(AG38:BA38)-AV38-AW38</f>
        <v>23314.521999999997</v>
      </c>
      <c r="BC38" s="161">
        <f>'[7]Т10-10'!$M$4+'[7]Т10-10'!$M$11+'[7]Т10-10'!$M$16+'[7]Т10-10'!$M$43+'[7]Т10-10'!$M$50+'[7]Т10-10'!$M$95+'[7]Т10-10'!$M$96+25</f>
        <v>10144.8408</v>
      </c>
      <c r="BD38" s="162">
        <f t="shared" si="37"/>
        <v>19205.073568000007</v>
      </c>
      <c r="BE38" s="22">
        <f>AB38-S38</f>
        <v>-966.1199999999953</v>
      </c>
    </row>
    <row r="39" spans="1:57" ht="12.75">
      <c r="A39" s="13" t="s">
        <v>43</v>
      </c>
      <c r="B39" s="94">
        <v>3717.4</v>
      </c>
      <c r="C39" s="170">
        <f t="shared" si="20"/>
        <v>32155.510000000002</v>
      </c>
      <c r="D39" s="169">
        <f t="shared" si="21"/>
        <v>2871.8500000000004</v>
      </c>
      <c r="E39" s="95">
        <v>3350.59</v>
      </c>
      <c r="F39" s="95">
        <v>29.7</v>
      </c>
      <c r="G39" s="95">
        <v>4537.83</v>
      </c>
      <c r="H39" s="95">
        <v>40.26</v>
      </c>
      <c r="I39" s="95">
        <v>10848.33</v>
      </c>
      <c r="J39" s="95">
        <v>152.35</v>
      </c>
      <c r="K39" s="95">
        <v>7553.35</v>
      </c>
      <c r="L39" s="95">
        <v>66.99</v>
      </c>
      <c r="M39" s="90">
        <v>2680.5</v>
      </c>
      <c r="N39" s="96">
        <v>23.76</v>
      </c>
      <c r="O39" s="103">
        <v>0</v>
      </c>
      <c r="P39" s="103">
        <v>0</v>
      </c>
      <c r="Q39" s="103"/>
      <c r="R39" s="103"/>
      <c r="S39" s="95">
        <f t="shared" si="22"/>
        <v>28970.6</v>
      </c>
      <c r="T39" s="152">
        <f t="shared" si="23"/>
        <v>313.06</v>
      </c>
      <c r="U39" s="95">
        <v>3031.24</v>
      </c>
      <c r="V39" s="95">
        <v>4104.42</v>
      </c>
      <c r="W39" s="95">
        <v>10969.15</v>
      </c>
      <c r="X39" s="95">
        <v>6832.6</v>
      </c>
      <c r="Y39" s="95">
        <v>2425.06</v>
      </c>
      <c r="Z39" s="95">
        <v>0</v>
      </c>
      <c r="AA39" s="103">
        <v>0</v>
      </c>
      <c r="AB39" s="103">
        <f>SUM(U39:AA39)</f>
        <v>27362.469999999998</v>
      </c>
      <c r="AC39" s="154">
        <f t="shared" si="25"/>
        <v>30547.379999999997</v>
      </c>
      <c r="AD39" s="155">
        <f t="shared" si="26"/>
        <v>0</v>
      </c>
      <c r="AE39" s="155">
        <f t="shared" si="27"/>
        <v>0</v>
      </c>
      <c r="AF39" s="155">
        <f>'[8]Т10-10'!$I$4+'[8]Т10-10'!$I$11+'[8]Т10-10'!$I$16+'[8]Т10-10'!$I$43+'[8]Т10-10'!$I$50+'[8]Т10-10'!$I$95+'[8]Т10-10'!$I$96+100</f>
        <v>21475.046368</v>
      </c>
      <c r="AG39" s="32">
        <f t="shared" si="28"/>
        <v>2230.44</v>
      </c>
      <c r="AH39" s="32">
        <f t="shared" si="29"/>
        <v>743.48</v>
      </c>
      <c r="AI39" s="32">
        <f t="shared" si="30"/>
        <v>3717.4</v>
      </c>
      <c r="AJ39" s="32">
        <v>0</v>
      </c>
      <c r="AK39" s="32">
        <f t="shared" si="31"/>
        <v>3643.052</v>
      </c>
      <c r="AL39" s="32">
        <v>0</v>
      </c>
      <c r="AM39" s="32">
        <f t="shared" si="32"/>
        <v>8364.15</v>
      </c>
      <c r="AN39" s="32">
        <v>0</v>
      </c>
      <c r="AO39" s="32"/>
      <c r="AP39" s="32"/>
      <c r="AQ39" s="156"/>
      <c r="AR39" s="156"/>
      <c r="AS39" s="101"/>
      <c r="AT39" s="101">
        <f>20498.8+13104.84</f>
        <v>33603.64</v>
      </c>
      <c r="AU39" s="101">
        <f>AT39*0.18</f>
        <v>6048.655199999999</v>
      </c>
      <c r="AV39" s="157">
        <v>514</v>
      </c>
      <c r="AW39" s="158">
        <v>2.5</v>
      </c>
      <c r="AX39" s="32">
        <f t="shared" si="34"/>
        <v>1798.9999999999998</v>
      </c>
      <c r="AY39" s="159"/>
      <c r="AZ39" s="160"/>
      <c r="BA39" s="160">
        <f t="shared" si="35"/>
        <v>0</v>
      </c>
      <c r="BB39" s="160">
        <f>SUM(AG39:BA39)-AV39-AW39</f>
        <v>60149.8172</v>
      </c>
      <c r="BC39" s="161">
        <f>'[8]Т11'!$M$4+'[8]Т11'!$M$11+'[8]Т11'!$M$16+'[8]Т11'!$M$43+'[8]Т11'!$M$50+'[8]Т11'!$M$95+'[8]Т11'!$M$96+25</f>
        <v>10144.8408</v>
      </c>
      <c r="BD39" s="162">
        <f t="shared" si="37"/>
        <v>-18272.231632000003</v>
      </c>
      <c r="BE39" s="22">
        <f>AB39-S39</f>
        <v>-1608.130000000001</v>
      </c>
    </row>
    <row r="40" spans="1:57" s="29" customFormat="1" ht="12.75">
      <c r="A40" s="23" t="s">
        <v>5</v>
      </c>
      <c r="B40" s="24"/>
      <c r="C40" s="24">
        <f aca="true" t="shared" si="39" ref="C40:AR40">SUM(C28:C39)</f>
        <v>385803.8400000001</v>
      </c>
      <c r="D40" s="24">
        <f t="shared" si="39"/>
        <v>34865.74000000003</v>
      </c>
      <c r="E40" s="25">
        <f t="shared" si="39"/>
        <v>36526.64</v>
      </c>
      <c r="F40" s="25">
        <f t="shared" si="39"/>
        <v>3982.169999999999</v>
      </c>
      <c r="G40" s="25">
        <f t="shared" si="39"/>
        <v>49467.94</v>
      </c>
      <c r="H40" s="25">
        <f t="shared" si="39"/>
        <v>5397.780000000002</v>
      </c>
      <c r="I40" s="25">
        <f t="shared" si="39"/>
        <v>118535.42000000001</v>
      </c>
      <c r="J40" s="25">
        <f t="shared" si="39"/>
        <v>13297.330000000002</v>
      </c>
      <c r="K40" s="25">
        <f t="shared" si="39"/>
        <v>82342.16</v>
      </c>
      <c r="L40" s="25">
        <f t="shared" si="39"/>
        <v>8981.429999999998</v>
      </c>
      <c r="M40" s="25">
        <f t="shared" si="39"/>
        <v>29221.499999999993</v>
      </c>
      <c r="N40" s="25">
        <f t="shared" si="39"/>
        <v>3185.730000000001</v>
      </c>
      <c r="O40" s="25">
        <f t="shared" si="39"/>
        <v>0</v>
      </c>
      <c r="P40" s="25">
        <f t="shared" si="39"/>
        <v>0</v>
      </c>
      <c r="Q40" s="25">
        <f t="shared" si="39"/>
        <v>0</v>
      </c>
      <c r="R40" s="25">
        <f t="shared" si="39"/>
        <v>0</v>
      </c>
      <c r="S40" s="25">
        <f t="shared" si="39"/>
        <v>316093.66</v>
      </c>
      <c r="T40" s="25">
        <f t="shared" si="39"/>
        <v>34844.43999999999</v>
      </c>
      <c r="U40" s="26">
        <f t="shared" si="39"/>
        <v>38286.32</v>
      </c>
      <c r="V40" s="26">
        <f t="shared" si="39"/>
        <v>51831.780000000006</v>
      </c>
      <c r="W40" s="26">
        <f t="shared" si="39"/>
        <v>130221.98999999999</v>
      </c>
      <c r="X40" s="26">
        <f t="shared" si="39"/>
        <v>86289.58</v>
      </c>
      <c r="Y40" s="26">
        <f t="shared" si="39"/>
        <v>30628.98</v>
      </c>
      <c r="Z40" s="26">
        <f t="shared" si="39"/>
        <v>0</v>
      </c>
      <c r="AA40" s="26">
        <f t="shared" si="39"/>
        <v>0</v>
      </c>
      <c r="AB40" s="26">
        <f t="shared" si="39"/>
        <v>337258.6499999999</v>
      </c>
      <c r="AC40" s="26">
        <f t="shared" si="39"/>
        <v>406968.83</v>
      </c>
      <c r="AD40" s="146">
        <f t="shared" si="39"/>
        <v>0</v>
      </c>
      <c r="AE40" s="146">
        <f t="shared" si="39"/>
        <v>0</v>
      </c>
      <c r="AF40" s="26">
        <f t="shared" si="39"/>
        <v>256800.55641600004</v>
      </c>
      <c r="AG40" s="27">
        <f t="shared" si="39"/>
        <v>26760.959999999995</v>
      </c>
      <c r="AH40" s="27">
        <f t="shared" si="39"/>
        <v>8920.319999999998</v>
      </c>
      <c r="AI40" s="27">
        <f t="shared" si="39"/>
        <v>44601.600000000006</v>
      </c>
      <c r="AJ40" s="27">
        <f t="shared" si="39"/>
        <v>0</v>
      </c>
      <c r="AK40" s="27">
        <f t="shared" si="39"/>
        <v>43709.568000000014</v>
      </c>
      <c r="AL40" s="27">
        <f t="shared" si="39"/>
        <v>0</v>
      </c>
      <c r="AM40" s="27">
        <f t="shared" si="39"/>
        <v>100353.59999999998</v>
      </c>
      <c r="AN40" s="27">
        <f t="shared" si="39"/>
        <v>0</v>
      </c>
      <c r="AO40" s="27">
        <f t="shared" si="39"/>
        <v>0</v>
      </c>
      <c r="AP40" s="27">
        <f t="shared" si="39"/>
        <v>0</v>
      </c>
      <c r="AQ40" s="27">
        <f t="shared" si="39"/>
        <v>0</v>
      </c>
      <c r="AR40" s="27">
        <f t="shared" si="39"/>
        <v>0</v>
      </c>
      <c r="AS40" s="85">
        <f>SUM(AS28:AS39)</f>
        <v>103131</v>
      </c>
      <c r="AT40" s="85">
        <f>SUM(AT28:AT39)</f>
        <v>62414.06</v>
      </c>
      <c r="AU40" s="85">
        <f>SUM(AU28:AU39)</f>
        <v>6048.655199999999</v>
      </c>
      <c r="AV40" s="85"/>
      <c r="AW40" s="85"/>
      <c r="AX40" s="27">
        <f aca="true" t="shared" si="40" ref="AX40:BE40">SUM(AX28:AX39)</f>
        <v>15400</v>
      </c>
      <c r="AY40" s="27">
        <f t="shared" si="40"/>
        <v>0</v>
      </c>
      <c r="AZ40" s="27">
        <f t="shared" si="40"/>
        <v>0</v>
      </c>
      <c r="BA40" s="27">
        <f t="shared" si="40"/>
        <v>0</v>
      </c>
      <c r="BB40" s="27">
        <f t="shared" si="40"/>
        <v>411339.7631999999</v>
      </c>
      <c r="BC40" s="27">
        <f t="shared" si="40"/>
        <v>121513.08960000002</v>
      </c>
      <c r="BD40" s="27">
        <f t="shared" si="40"/>
        <v>130916.53361600003</v>
      </c>
      <c r="BE40" s="28">
        <f t="shared" si="40"/>
        <v>21164.99</v>
      </c>
    </row>
    <row r="41" spans="1:57" s="29" customFormat="1" ht="12.75">
      <c r="A41" s="23"/>
      <c r="B41" s="24"/>
      <c r="C41" s="24"/>
      <c r="D41" s="24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6"/>
      <c r="V41" s="26"/>
      <c r="W41" s="26"/>
      <c r="X41" s="26"/>
      <c r="Y41" s="26"/>
      <c r="Z41" s="26"/>
      <c r="AA41" s="26"/>
      <c r="AB41" s="26"/>
      <c r="AC41" s="26"/>
      <c r="AD41" s="146"/>
      <c r="AE41" s="146"/>
      <c r="AF41" s="14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85"/>
      <c r="AT41" s="85"/>
      <c r="AU41" s="85"/>
      <c r="AV41" s="85"/>
      <c r="AW41" s="85"/>
      <c r="AX41" s="27"/>
      <c r="AY41" s="27"/>
      <c r="AZ41" s="27"/>
      <c r="BA41" s="27"/>
      <c r="BB41" s="27"/>
      <c r="BC41" s="27"/>
      <c r="BD41" s="27"/>
      <c r="BE41" s="105"/>
    </row>
    <row r="42" spans="1:57" s="29" customFormat="1" ht="13.5" thickBot="1">
      <c r="A42" s="33" t="s">
        <v>54</v>
      </c>
      <c r="B42" s="34"/>
      <c r="C42" s="34">
        <f>C12+C26+C40</f>
        <v>867852.77</v>
      </c>
      <c r="D42" s="34">
        <f aca="true" t="shared" si="41" ref="D42:BE42">D12+D26+D40</f>
        <v>96708.55769915003</v>
      </c>
      <c r="E42" s="34">
        <f t="shared" si="41"/>
        <v>75298.04999999999</v>
      </c>
      <c r="F42" s="34">
        <f t="shared" si="41"/>
        <v>13417.149999999998</v>
      </c>
      <c r="G42" s="34">
        <f t="shared" si="41"/>
        <v>100551.78000000001</v>
      </c>
      <c r="H42" s="34">
        <f t="shared" si="41"/>
        <v>18163.910000000003</v>
      </c>
      <c r="I42" s="34">
        <f t="shared" si="41"/>
        <v>241624.74</v>
      </c>
      <c r="J42" s="34">
        <f t="shared" si="41"/>
        <v>43989.270000000004</v>
      </c>
      <c r="K42" s="34">
        <f t="shared" si="41"/>
        <v>167420.55</v>
      </c>
      <c r="L42" s="34">
        <f t="shared" si="41"/>
        <v>30238.699999999997</v>
      </c>
      <c r="M42" s="34">
        <f t="shared" si="41"/>
        <v>59438.149999999994</v>
      </c>
      <c r="N42" s="34">
        <f t="shared" si="41"/>
        <v>10733.86</v>
      </c>
      <c r="O42" s="34">
        <f t="shared" si="41"/>
        <v>0</v>
      </c>
      <c r="P42" s="34">
        <f t="shared" si="41"/>
        <v>0</v>
      </c>
      <c r="Q42" s="34">
        <f t="shared" si="41"/>
        <v>0</v>
      </c>
      <c r="R42" s="34">
        <f t="shared" si="41"/>
        <v>0</v>
      </c>
      <c r="S42" s="34">
        <f t="shared" si="41"/>
        <v>644333.27</v>
      </c>
      <c r="T42" s="34">
        <f t="shared" si="41"/>
        <v>116542.88999999997</v>
      </c>
      <c r="U42" s="34">
        <f t="shared" si="41"/>
        <v>72927.65</v>
      </c>
      <c r="V42" s="34">
        <f t="shared" si="41"/>
        <v>98676.67</v>
      </c>
      <c r="W42" s="34">
        <f t="shared" si="41"/>
        <v>243125.05</v>
      </c>
      <c r="X42" s="34">
        <f t="shared" si="41"/>
        <v>164311.52000000002</v>
      </c>
      <c r="Y42" s="34">
        <f t="shared" si="41"/>
        <v>58341.53999999999</v>
      </c>
      <c r="Z42" s="34">
        <f t="shared" si="41"/>
        <v>0</v>
      </c>
      <c r="AA42" s="34">
        <f t="shared" si="41"/>
        <v>0</v>
      </c>
      <c r="AB42" s="34">
        <f t="shared" si="41"/>
        <v>637382.4299999999</v>
      </c>
      <c r="AC42" s="34">
        <f t="shared" si="41"/>
        <v>850633.87769915</v>
      </c>
      <c r="AD42" s="34">
        <f t="shared" si="41"/>
        <v>0</v>
      </c>
      <c r="AE42" s="34">
        <f t="shared" si="41"/>
        <v>0</v>
      </c>
      <c r="AF42" s="34">
        <f t="shared" si="41"/>
        <v>452894.3616720001</v>
      </c>
      <c r="AG42" s="34">
        <f t="shared" si="41"/>
        <v>59306.352</v>
      </c>
      <c r="AH42" s="34">
        <f t="shared" si="41"/>
        <v>19872.4934684</v>
      </c>
      <c r="AI42" s="34">
        <f t="shared" si="41"/>
        <v>90236.6062802</v>
      </c>
      <c r="AJ42" s="34">
        <f t="shared" si="41"/>
        <v>8214.301130435999</v>
      </c>
      <c r="AK42" s="34">
        <f t="shared" si="41"/>
        <v>89885.33386802001</v>
      </c>
      <c r="AL42" s="34">
        <f t="shared" si="41"/>
        <v>8311.637856243598</v>
      </c>
      <c r="AM42" s="34">
        <f t="shared" si="41"/>
        <v>201473.07214813505</v>
      </c>
      <c r="AN42" s="34">
        <f t="shared" si="41"/>
        <v>18201.504986664313</v>
      </c>
      <c r="AO42" s="34">
        <f t="shared" si="41"/>
        <v>0</v>
      </c>
      <c r="AP42" s="34">
        <f t="shared" si="41"/>
        <v>0</v>
      </c>
      <c r="AQ42" s="34">
        <f t="shared" si="41"/>
        <v>12995.32</v>
      </c>
      <c r="AR42" s="34">
        <f t="shared" si="41"/>
        <v>2339.1576</v>
      </c>
      <c r="AS42" s="34">
        <f t="shared" si="41"/>
        <v>265920.67</v>
      </c>
      <c r="AT42" s="34">
        <f t="shared" si="41"/>
        <v>67550.06</v>
      </c>
      <c r="AU42" s="34">
        <f t="shared" si="41"/>
        <v>36275.2858</v>
      </c>
      <c r="AV42" s="34">
        <f t="shared" si="41"/>
        <v>0</v>
      </c>
      <c r="AW42" s="34">
        <f t="shared" si="41"/>
        <v>0</v>
      </c>
      <c r="AX42" s="34">
        <f t="shared" si="41"/>
        <v>29937.6</v>
      </c>
      <c r="AY42" s="34">
        <f t="shared" si="41"/>
        <v>0</v>
      </c>
      <c r="AZ42" s="34">
        <f t="shared" si="41"/>
        <v>0</v>
      </c>
      <c r="BA42" s="34">
        <f t="shared" si="41"/>
        <v>0</v>
      </c>
      <c r="BB42" s="34">
        <f t="shared" si="41"/>
        <v>910519.3951380991</v>
      </c>
      <c r="BC42" s="34">
        <f t="shared" si="41"/>
        <v>211645.02712074594</v>
      </c>
      <c r="BD42" s="34">
        <f>BD12+BD26+BD40</f>
        <v>181363.8171123051</v>
      </c>
      <c r="BE42" s="34">
        <f t="shared" si="41"/>
        <v>-6950.840000000004</v>
      </c>
    </row>
  </sheetData>
  <sheetProtection/>
  <mergeCells count="67">
    <mergeCell ref="I4:J4"/>
    <mergeCell ref="BC3:BC6"/>
    <mergeCell ref="AQ5:AQ6"/>
    <mergeCell ref="AR5:AR6"/>
    <mergeCell ref="AT5:AT6"/>
    <mergeCell ref="AV5:AX5"/>
    <mergeCell ref="AY5:AY6"/>
    <mergeCell ref="AZ5:AZ6"/>
    <mergeCell ref="S5:S6"/>
    <mergeCell ref="AF3:AF6"/>
    <mergeCell ref="A1:N1"/>
    <mergeCell ref="A3:A6"/>
    <mergeCell ref="B3:B6"/>
    <mergeCell ref="C3:C6"/>
    <mergeCell ref="D3:D6"/>
    <mergeCell ref="E3:R3"/>
    <mergeCell ref="E4:F4"/>
    <mergeCell ref="G4:H4"/>
    <mergeCell ref="M4:N4"/>
    <mergeCell ref="O4:P4"/>
    <mergeCell ref="M5:M6"/>
    <mergeCell ref="N5:N6"/>
    <mergeCell ref="O5:O6"/>
    <mergeCell ref="K4:L4"/>
    <mergeCell ref="S3:T4"/>
    <mergeCell ref="K5:K6"/>
    <mergeCell ref="L5:L6"/>
    <mergeCell ref="Z5:Z6"/>
    <mergeCell ref="AA5:AA6"/>
    <mergeCell ref="P5:P6"/>
    <mergeCell ref="Q5:Q6"/>
    <mergeCell ref="R5:R6"/>
    <mergeCell ref="Q4:R4"/>
    <mergeCell ref="BD3:BD6"/>
    <mergeCell ref="BE3:BE6"/>
    <mergeCell ref="AH5:AH6"/>
    <mergeCell ref="AI5:AI6"/>
    <mergeCell ref="AJ5:AJ6"/>
    <mergeCell ref="AK5:AK6"/>
    <mergeCell ref="AL5:AL6"/>
    <mergeCell ref="AM5:AM6"/>
    <mergeCell ref="BA5:BA6"/>
    <mergeCell ref="BB5:BB6"/>
    <mergeCell ref="E5:E6"/>
    <mergeCell ref="F5:F6"/>
    <mergeCell ref="G5:G6"/>
    <mergeCell ref="H5:H6"/>
    <mergeCell ref="I5:I6"/>
    <mergeCell ref="J5:J6"/>
    <mergeCell ref="AD3:AD6"/>
    <mergeCell ref="T5:T6"/>
    <mergeCell ref="U5:U6"/>
    <mergeCell ref="V5:V6"/>
    <mergeCell ref="W5:W6"/>
    <mergeCell ref="AC3:AC6"/>
    <mergeCell ref="AB5:AB6"/>
    <mergeCell ref="U3:AB4"/>
    <mergeCell ref="X5:X6"/>
    <mergeCell ref="Y5:Y6"/>
    <mergeCell ref="AG5:AG6"/>
    <mergeCell ref="AE3:AE6"/>
    <mergeCell ref="AG3:BB4"/>
    <mergeCell ref="AN5:AN6"/>
    <mergeCell ref="AO5:AO6"/>
    <mergeCell ref="AP5:AP6"/>
    <mergeCell ref="AS5:AS6"/>
    <mergeCell ref="AU5:AU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8"/>
  <sheetViews>
    <sheetView zoomScalePageLayoutView="0" workbookViewId="0" topLeftCell="A28">
      <selection activeCell="A13" sqref="A13:IV32"/>
    </sheetView>
  </sheetViews>
  <sheetFormatPr defaultColWidth="9.00390625" defaultRowHeight="12.75"/>
  <cols>
    <col min="1" max="1" width="10.125" style="2" bestFit="1" customWidth="1"/>
    <col min="2" max="2" width="10.375" style="2" customWidth="1"/>
    <col min="3" max="3" width="10.875" style="2" customWidth="1"/>
    <col min="4" max="4" width="8.875" style="2" customWidth="1"/>
    <col min="5" max="5" width="10.125" style="2" bestFit="1" customWidth="1"/>
    <col min="6" max="6" width="9.875" style="2" customWidth="1"/>
    <col min="7" max="8" width="10.875" style="2" customWidth="1"/>
    <col min="9" max="9" width="10.125" style="2" customWidth="1"/>
    <col min="10" max="10" width="9.25390625" style="2" customWidth="1"/>
    <col min="11" max="11" width="9.125" style="2" customWidth="1"/>
    <col min="12" max="12" width="10.375" style="2" customWidth="1"/>
    <col min="13" max="13" width="10.125" style="2" customWidth="1"/>
    <col min="14" max="14" width="8.875" style="2" customWidth="1"/>
    <col min="15" max="15" width="10.375" style="2" customWidth="1"/>
    <col min="16" max="16" width="9.875" style="2" customWidth="1"/>
    <col min="17" max="18" width="10.75390625" style="2" customWidth="1"/>
    <col min="19" max="16384" width="9.125" style="2" customWidth="1"/>
  </cols>
  <sheetData>
    <row r="1" ht="18.75">
      <c r="E1" s="35" t="s">
        <v>55</v>
      </c>
    </row>
    <row r="2" ht="18.75">
      <c r="E2" s="35" t="s">
        <v>56</v>
      </c>
    </row>
    <row r="4" ht="12" customHeight="1"/>
    <row r="5" spans="1:17" ht="12.75">
      <c r="A5" s="440" t="s">
        <v>79</v>
      </c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</row>
    <row r="6" spans="1:17" ht="12.75">
      <c r="A6" s="451" t="s">
        <v>91</v>
      </c>
      <c r="B6" s="451"/>
      <c r="C6" s="451"/>
      <c r="D6" s="451"/>
      <c r="E6" s="451"/>
      <c r="F6" s="451"/>
      <c r="G6" s="451"/>
      <c r="H6" s="124"/>
      <c r="I6" s="124"/>
      <c r="J6" s="124"/>
      <c r="K6" s="124"/>
      <c r="L6" s="124"/>
      <c r="M6" s="124"/>
      <c r="N6" s="124"/>
      <c r="O6" s="124"/>
      <c r="P6" s="124"/>
      <c r="Q6" s="124"/>
    </row>
    <row r="7" spans="1:17" ht="12.75">
      <c r="A7" s="36"/>
      <c r="B7" s="36"/>
      <c r="C7" s="36"/>
      <c r="D7" s="36"/>
      <c r="E7" s="36"/>
      <c r="F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1:5" ht="13.5" thickBot="1">
      <c r="A8" s="37" t="s">
        <v>57</v>
      </c>
      <c r="D8" s="4"/>
      <c r="E8" s="184">
        <v>8.65</v>
      </c>
    </row>
    <row r="9" spans="1:18" ht="12.75" customHeight="1">
      <c r="A9" s="390" t="s">
        <v>58</v>
      </c>
      <c r="B9" s="442" t="s">
        <v>1</v>
      </c>
      <c r="C9" s="445" t="s">
        <v>59</v>
      </c>
      <c r="D9" s="448" t="s">
        <v>3</v>
      </c>
      <c r="E9" s="426" t="s">
        <v>60</v>
      </c>
      <c r="F9" s="427"/>
      <c r="G9" s="430" t="str">
        <f>Лист1!AF3</f>
        <v>Доходы по нежил.помещениям</v>
      </c>
      <c r="H9" s="421" t="s">
        <v>76</v>
      </c>
      <c r="I9" s="421"/>
      <c r="J9" s="436" t="s">
        <v>10</v>
      </c>
      <c r="K9" s="372"/>
      <c r="L9" s="372"/>
      <c r="M9" s="372"/>
      <c r="N9" s="372"/>
      <c r="O9" s="437"/>
      <c r="P9" s="423" t="s">
        <v>90</v>
      </c>
      <c r="Q9" s="433" t="s">
        <v>61</v>
      </c>
      <c r="R9" s="410" t="s">
        <v>81</v>
      </c>
    </row>
    <row r="10" spans="1:18" ht="12.75" customHeight="1" thickBot="1">
      <c r="A10" s="391"/>
      <c r="B10" s="443"/>
      <c r="C10" s="446"/>
      <c r="D10" s="449"/>
      <c r="E10" s="428"/>
      <c r="F10" s="429"/>
      <c r="G10" s="431"/>
      <c r="H10" s="422"/>
      <c r="I10" s="422"/>
      <c r="J10" s="438"/>
      <c r="K10" s="367"/>
      <c r="L10" s="367"/>
      <c r="M10" s="367"/>
      <c r="N10" s="367"/>
      <c r="O10" s="439"/>
      <c r="P10" s="424"/>
      <c r="Q10" s="434"/>
      <c r="R10" s="411"/>
    </row>
    <row r="11" spans="1:18" ht="26.25" customHeight="1">
      <c r="A11" s="391"/>
      <c r="B11" s="443"/>
      <c r="C11" s="446"/>
      <c r="D11" s="449"/>
      <c r="E11" s="413" t="s">
        <v>62</v>
      </c>
      <c r="F11" s="414"/>
      <c r="G11" s="431"/>
      <c r="H11" s="109" t="s">
        <v>63</v>
      </c>
      <c r="I11" s="415" t="s">
        <v>7</v>
      </c>
      <c r="J11" s="417" t="s">
        <v>64</v>
      </c>
      <c r="K11" s="419" t="s">
        <v>32</v>
      </c>
      <c r="L11" s="419" t="s">
        <v>65</v>
      </c>
      <c r="M11" s="419" t="s">
        <v>37</v>
      </c>
      <c r="N11" s="419" t="s">
        <v>66</v>
      </c>
      <c r="O11" s="452" t="s">
        <v>39</v>
      </c>
      <c r="P11" s="424"/>
      <c r="Q11" s="434"/>
      <c r="R11" s="411"/>
    </row>
    <row r="12" spans="1:18" ht="66.75" customHeight="1" thickBot="1">
      <c r="A12" s="441"/>
      <c r="B12" s="444"/>
      <c r="C12" s="447"/>
      <c r="D12" s="450"/>
      <c r="E12" s="189" t="s">
        <v>67</v>
      </c>
      <c r="F12" s="190" t="s">
        <v>21</v>
      </c>
      <c r="G12" s="432"/>
      <c r="H12" s="191" t="s">
        <v>77</v>
      </c>
      <c r="I12" s="416"/>
      <c r="J12" s="418"/>
      <c r="K12" s="420"/>
      <c r="L12" s="420"/>
      <c r="M12" s="420"/>
      <c r="N12" s="420"/>
      <c r="O12" s="416"/>
      <c r="P12" s="425"/>
      <c r="Q12" s="435"/>
      <c r="R12" s="412"/>
    </row>
    <row r="13" spans="1:18" ht="13.5" thickBot="1">
      <c r="A13" s="39">
        <v>1</v>
      </c>
      <c r="B13" s="40">
        <v>2</v>
      </c>
      <c r="C13" s="41">
        <v>3</v>
      </c>
      <c r="D13" s="42">
        <v>4</v>
      </c>
      <c r="E13" s="185">
        <v>5</v>
      </c>
      <c r="F13" s="186">
        <v>6</v>
      </c>
      <c r="G13" s="187">
        <v>7</v>
      </c>
      <c r="H13" s="185">
        <v>8</v>
      </c>
      <c r="I13" s="188">
        <v>9</v>
      </c>
      <c r="J13" s="185">
        <v>10</v>
      </c>
      <c r="K13" s="183">
        <v>11</v>
      </c>
      <c r="L13" s="183">
        <v>12</v>
      </c>
      <c r="M13" s="183">
        <v>13</v>
      </c>
      <c r="N13" s="183">
        <v>14</v>
      </c>
      <c r="O13" s="183">
        <v>15</v>
      </c>
      <c r="P13" s="183">
        <v>16</v>
      </c>
      <c r="Q13" s="183">
        <v>17</v>
      </c>
      <c r="R13" s="183">
        <v>18</v>
      </c>
    </row>
    <row r="14" spans="1:18" ht="12.75">
      <c r="A14" s="8" t="s">
        <v>40</v>
      </c>
      <c r="B14" s="9"/>
      <c r="C14" s="38"/>
      <c r="D14" s="44"/>
      <c r="E14" s="8"/>
      <c r="F14" s="10"/>
      <c r="G14" s="110"/>
      <c r="H14" s="43"/>
      <c r="I14" s="113"/>
      <c r="J14" s="8"/>
      <c r="K14" s="9"/>
      <c r="L14" s="9"/>
      <c r="M14" s="9"/>
      <c r="N14" s="9"/>
      <c r="O14" s="119"/>
      <c r="P14" s="180"/>
      <c r="Q14" s="137"/>
      <c r="R14" s="45"/>
    </row>
    <row r="15" spans="1:18" ht="12.75">
      <c r="A15" s="13" t="s">
        <v>41</v>
      </c>
      <c r="B15" s="14">
        <f>Лист1!B9</f>
        <v>3716.1</v>
      </c>
      <c r="C15" s="46">
        <f>Лист1!C9</f>
        <v>32144.265</v>
      </c>
      <c r="D15" s="130">
        <f>Лист1!D9</f>
        <v>7742.9105532</v>
      </c>
      <c r="E15" s="48">
        <f>Лист1!S9</f>
        <v>21520.05</v>
      </c>
      <c r="F15" s="22">
        <f>Лист1!T9</f>
        <v>5264.7300000000005</v>
      </c>
      <c r="G15" s="117">
        <f>Лист1!AF9</f>
        <v>0</v>
      </c>
      <c r="H15" s="47">
        <f>Лист1!AB9</f>
        <v>192.96</v>
      </c>
      <c r="I15" s="134">
        <f>Лист1!AC9</f>
        <v>13200.600553200002</v>
      </c>
      <c r="J15" s="48">
        <f>Лист1!AG9</f>
        <v>2229.66</v>
      </c>
      <c r="K15" s="20">
        <f>Лист1!AI9+Лист1!AJ9</f>
        <v>3735.1294963999994</v>
      </c>
      <c r="L15" s="20">
        <f>Лист1!AH9+Лист1!AK9+Лист1!AL9+Лист1!AM9+Лист1!AN9+Лист1!AO9+Лист1!AP9</f>
        <v>13115.577698909998</v>
      </c>
      <c r="M15" s="21">
        <f>Лист1!AS9+Лист1!AU9</f>
        <v>23648.8166</v>
      </c>
      <c r="N15" s="21">
        <f>Лист1!AX9</f>
        <v>0</v>
      </c>
      <c r="O15" s="120">
        <f>Лист1!BB9</f>
        <v>42729.18379531</v>
      </c>
      <c r="P15" s="181">
        <f>Лист1!BC9</f>
        <v>0</v>
      </c>
      <c r="Q15" s="138">
        <f>Лист1!BD9</f>
        <v>-29528.583242109995</v>
      </c>
      <c r="R15" s="49">
        <f>Лист1!BE9</f>
        <v>-21327.09</v>
      </c>
    </row>
    <row r="16" spans="1:18" ht="12.75">
      <c r="A16" s="13" t="s">
        <v>42</v>
      </c>
      <c r="B16" s="14">
        <f>Лист1!B10</f>
        <v>3716.1</v>
      </c>
      <c r="C16" s="46">
        <f>Лист1!C10</f>
        <v>32144.265</v>
      </c>
      <c r="D16" s="130">
        <f>Лист1!D10</f>
        <v>7742.9105532</v>
      </c>
      <c r="E16" s="48">
        <f>Лист1!S10</f>
        <v>14775.080000000002</v>
      </c>
      <c r="F16" s="22">
        <f>Лист1!T10</f>
        <v>4988.4800000000005</v>
      </c>
      <c r="G16" s="117">
        <f>Лист1!AF10</f>
        <v>0</v>
      </c>
      <c r="H16" s="47">
        <f>Лист1!AB10</f>
        <v>11926.130000000001</v>
      </c>
      <c r="I16" s="134">
        <f>Лист1!AC10</f>
        <v>24657.5205532</v>
      </c>
      <c r="J16" s="48">
        <f>Лист1!AG10</f>
        <v>2229.66</v>
      </c>
      <c r="K16" s="20">
        <f>Лист1!AI10+Лист1!AJ10</f>
        <v>3735.1294963999994</v>
      </c>
      <c r="L16" s="20">
        <f>Лист1!AH10+Лист1!AK10+Лист1!AL10+Лист1!AM10+Лист1!AN10+Лист1!AO10+Лист1!AP10</f>
        <v>13075.993801709998</v>
      </c>
      <c r="M16" s="21">
        <f>Лист1!AS10+Лист1!AU10</f>
        <v>1062</v>
      </c>
      <c r="N16" s="21">
        <f>Лист1!AX10</f>
        <v>0</v>
      </c>
      <c r="O16" s="120">
        <f>Лист1!BB10</f>
        <v>20102.783298109996</v>
      </c>
      <c r="P16" s="181">
        <f>Лист1!BC10</f>
        <v>0</v>
      </c>
      <c r="Q16" s="138">
        <f>Лист1!BD10</f>
        <v>4554.737255090004</v>
      </c>
      <c r="R16" s="49">
        <f>Лист1!BE10</f>
        <v>-2848.9500000000007</v>
      </c>
    </row>
    <row r="17" spans="1:20" ht="13.5" thickBot="1">
      <c r="A17" s="50" t="s">
        <v>43</v>
      </c>
      <c r="B17" s="70">
        <f>Лист1!B11</f>
        <v>3716.1</v>
      </c>
      <c r="C17" s="51">
        <f>Лист1!C11</f>
        <v>32144.265</v>
      </c>
      <c r="D17" s="131">
        <f>Лист1!D11</f>
        <v>7725.87409275</v>
      </c>
      <c r="E17" s="73">
        <f>Лист1!S11</f>
        <v>19969.56</v>
      </c>
      <c r="F17" s="127">
        <f>Лист1!T11</f>
        <v>5115.5199999999995</v>
      </c>
      <c r="G17" s="117">
        <f>Лист1!AF11</f>
        <v>0</v>
      </c>
      <c r="H17" s="72">
        <f>Лист1!AB11</f>
        <v>23007.360000000004</v>
      </c>
      <c r="I17" s="135">
        <f>Лист1!AC11</f>
        <v>35848.75409275001</v>
      </c>
      <c r="J17" s="73">
        <f>Лист1!AG11</f>
        <v>2229.66</v>
      </c>
      <c r="K17" s="71">
        <f>Лист1!AI11+Лист1!AJ11</f>
        <v>3724.26650136</v>
      </c>
      <c r="L17" s="71">
        <f>Лист1!AH11+Лист1!AK11+Лист1!AL11+Лист1!AM11+Лист1!AN11+Лист1!AO11+Лист1!AP11</f>
        <v>13055.204563353</v>
      </c>
      <c r="M17" s="74">
        <f>Лист1!AS11+Лист1!AU11</f>
        <v>26575.96</v>
      </c>
      <c r="N17" s="74">
        <f>Лист1!AX11</f>
        <v>0</v>
      </c>
      <c r="O17" s="121">
        <f>Лист1!BB11</f>
        <v>45585.091064713</v>
      </c>
      <c r="P17" s="181">
        <f>Лист1!BC11</f>
        <v>0</v>
      </c>
      <c r="Q17" s="139">
        <f>Лист1!BD11</f>
        <v>-9736.336971962992</v>
      </c>
      <c r="R17" s="75">
        <f>Лист1!BE11</f>
        <v>3037.800000000003</v>
      </c>
      <c r="S17" s="1"/>
      <c r="T17" s="1"/>
    </row>
    <row r="18" spans="1:20" s="29" customFormat="1" ht="13.5" thickBot="1">
      <c r="A18" s="52" t="s">
        <v>5</v>
      </c>
      <c r="B18" s="79"/>
      <c r="C18" s="80">
        <f>SUM(C15:C17)</f>
        <v>96432.795</v>
      </c>
      <c r="D18" s="126">
        <f aca="true" t="shared" si="0" ref="D18:R18">SUM(D15:D17)</f>
        <v>23211.695199150003</v>
      </c>
      <c r="E18" s="89">
        <f t="shared" si="0"/>
        <v>56264.69</v>
      </c>
      <c r="F18" s="81">
        <f t="shared" si="0"/>
        <v>15368.73</v>
      </c>
      <c r="G18" s="111">
        <f>SUM(G15:G17)</f>
        <v>0</v>
      </c>
      <c r="H18" s="88">
        <f t="shared" si="0"/>
        <v>35126.450000000004</v>
      </c>
      <c r="I18" s="114">
        <f t="shared" si="0"/>
        <v>73706.87519915</v>
      </c>
      <c r="J18" s="89">
        <f t="shared" si="0"/>
        <v>6688.98</v>
      </c>
      <c r="K18" s="80">
        <f t="shared" si="0"/>
        <v>11194.52549416</v>
      </c>
      <c r="L18" s="80">
        <f t="shared" si="0"/>
        <v>39246.776063973</v>
      </c>
      <c r="M18" s="80">
        <f t="shared" si="0"/>
        <v>51286.7766</v>
      </c>
      <c r="N18" s="80">
        <f t="shared" si="0"/>
        <v>0</v>
      </c>
      <c r="O18" s="142">
        <f t="shared" si="0"/>
        <v>108417.058158133</v>
      </c>
      <c r="P18" s="142">
        <f t="shared" si="0"/>
        <v>0</v>
      </c>
      <c r="Q18" s="125">
        <f t="shared" si="0"/>
        <v>-34710.18295898299</v>
      </c>
      <c r="R18" s="125">
        <f t="shared" si="0"/>
        <v>-21138.239999999998</v>
      </c>
      <c r="S18" s="58"/>
      <c r="T18" s="59"/>
    </row>
    <row r="19" spans="1:20" ht="12.75">
      <c r="A19" s="8" t="s">
        <v>44</v>
      </c>
      <c r="B19" s="76"/>
      <c r="C19" s="60"/>
      <c r="D19" s="132"/>
      <c r="E19" s="63"/>
      <c r="F19" s="128"/>
      <c r="G19" s="118"/>
      <c r="H19" s="62"/>
      <c r="I19" s="136"/>
      <c r="J19" s="63"/>
      <c r="K19" s="61"/>
      <c r="L19" s="61"/>
      <c r="M19" s="77"/>
      <c r="N19" s="77"/>
      <c r="O19" s="122"/>
      <c r="P19" s="182"/>
      <c r="Q19" s="140"/>
      <c r="R19" s="78"/>
      <c r="S19" s="1"/>
      <c r="T19" s="1"/>
    </row>
    <row r="20" spans="1:20" ht="12.75">
      <c r="A20" s="13" t="s">
        <v>45</v>
      </c>
      <c r="B20" s="14">
        <f>Лист1!B14</f>
        <v>3714.7</v>
      </c>
      <c r="C20" s="46">
        <f>Лист1!C14</f>
        <v>32132.155</v>
      </c>
      <c r="D20" s="130">
        <f>Лист1!D14</f>
        <v>4016.519375</v>
      </c>
      <c r="E20" s="48">
        <f>Лист1!S14</f>
        <v>18860.48</v>
      </c>
      <c r="F20" s="22">
        <f>Лист1!T14</f>
        <v>5115.169999999999</v>
      </c>
      <c r="G20" s="117">
        <f>Лист1!AF14</f>
        <v>11757.672308000001</v>
      </c>
      <c r="H20" s="47">
        <f>Лист1!AB14</f>
        <v>21057.850000000002</v>
      </c>
      <c r="I20" s="134">
        <f>Лист1!AC14</f>
        <v>30189.539375</v>
      </c>
      <c r="J20" s="48">
        <f>Лист1!AG14</f>
        <v>2005.9379999999999</v>
      </c>
      <c r="K20" s="20">
        <f>Лист1!AI14+Лист1!AJ14</f>
        <v>3230.2832346999994</v>
      </c>
      <c r="L20" s="20">
        <f>Лист1!AH14+Лист1!AK14+Лист1!AL14+Лист1!AM14+Лист1!AN14+Лист1!AO14+Лист1!AP14+Лист1!AQ14+Лист1!AR14</f>
        <v>11093.801401826</v>
      </c>
      <c r="M20" s="21">
        <f>Лист1!AS14+Лист1!AU14+Лист1!AT14</f>
        <v>25583.59</v>
      </c>
      <c r="N20" s="21">
        <f>Лист1!AX14</f>
        <v>1678.432</v>
      </c>
      <c r="O20" s="120">
        <f>Лист1!BB14</f>
        <v>41913.612636526</v>
      </c>
      <c r="P20" s="181">
        <f>Лист1!BC14</f>
        <v>4998.747953692001</v>
      </c>
      <c r="Q20" s="138">
        <f>Лист1!BD14</f>
        <v>-4965.148907217998</v>
      </c>
      <c r="R20" s="49">
        <f>Лист1!BE14</f>
        <v>2197.3700000000026</v>
      </c>
      <c r="S20" s="1"/>
      <c r="T20" s="1"/>
    </row>
    <row r="21" spans="1:20" ht="12.75">
      <c r="A21" s="13" t="s">
        <v>46</v>
      </c>
      <c r="B21" s="14">
        <f>Лист1!B15</f>
        <v>3714.7</v>
      </c>
      <c r="C21" s="46">
        <f>Лист1!C15</f>
        <v>32132.155</v>
      </c>
      <c r="D21" s="130">
        <f>Лист1!D15</f>
        <v>4016.519375</v>
      </c>
      <c r="E21" s="48">
        <f>Лист1!S15</f>
        <v>21393.96</v>
      </c>
      <c r="F21" s="22">
        <f>Лист1!T15</f>
        <v>5115.169999999999</v>
      </c>
      <c r="G21" s="117">
        <f>Лист1!AF15</f>
        <v>11757.672308000001</v>
      </c>
      <c r="H21" s="47">
        <f>Лист1!AB15</f>
        <v>14631.48</v>
      </c>
      <c r="I21" s="134">
        <f>Лист1!AC15</f>
        <v>23763.169374999998</v>
      </c>
      <c r="J21" s="48">
        <f>Лист1!AG15</f>
        <v>2005.9379999999999</v>
      </c>
      <c r="K21" s="20">
        <f>Лист1!AI15+Лист1!AJ15</f>
        <v>3230.3068347</v>
      </c>
      <c r="L21" s="20">
        <f>Лист1!AH15+Лист1!AK15+Лист1!AL15+Лист1!AM15+Лист1!AN15+Лист1!AO15+Лист1!AP15+Лист1!AQ15+Лист1!AR15</f>
        <v>11109.816587935997</v>
      </c>
      <c r="M21" s="21">
        <f>Лист1!AS15+Лист1!AU15+Лист1!AT15</f>
        <v>24000.02</v>
      </c>
      <c r="N21" s="21">
        <f>Лист1!AX15</f>
        <v>1344.728</v>
      </c>
      <c r="O21" s="120">
        <f>Лист1!BB15</f>
        <v>40346.081422635994</v>
      </c>
      <c r="P21" s="181">
        <f>Лист1!BC15</f>
        <v>5006.285849152</v>
      </c>
      <c r="Q21" s="138">
        <f>Лист1!BD15</f>
        <v>-9831.525588787996</v>
      </c>
      <c r="R21" s="49">
        <f>Лист1!BE15</f>
        <v>-6762.48</v>
      </c>
      <c r="S21" s="1"/>
      <c r="T21" s="1"/>
    </row>
    <row r="22" spans="1:20" ht="12.75">
      <c r="A22" s="13" t="s">
        <v>47</v>
      </c>
      <c r="B22" s="14">
        <f>Лист1!B16</f>
        <v>3714.7</v>
      </c>
      <c r="C22" s="46">
        <f>Лист1!C16</f>
        <v>32132.155</v>
      </c>
      <c r="D22" s="130">
        <f>Лист1!D16</f>
        <v>4016.519375</v>
      </c>
      <c r="E22" s="48">
        <f>Лист1!S16</f>
        <v>21313.36</v>
      </c>
      <c r="F22" s="22">
        <f>Лист1!T16</f>
        <v>5115.169999999999</v>
      </c>
      <c r="G22" s="117">
        <f>Лист1!AF16</f>
        <v>11757.672308000001</v>
      </c>
      <c r="H22" s="47">
        <f>Лист1!AB16</f>
        <v>20483.079999999998</v>
      </c>
      <c r="I22" s="134">
        <f>Лист1!AC16</f>
        <v>29614.769374999996</v>
      </c>
      <c r="J22" s="48">
        <f>Лист1!AG16</f>
        <v>2005.9379999999999</v>
      </c>
      <c r="K22" s="20">
        <f>Лист1!AI16+Лист1!AJ16</f>
        <v>3232.16975675</v>
      </c>
      <c r="L22" s="20">
        <f>Лист1!AH16+Лист1!AK16+Лист1!AL16+Лист1!AM16+Лист1!AN16+Лист1!AO16+Лист1!AP16+Лист1!AQ16+Лист1!AR16</f>
        <v>10740.263744605998</v>
      </c>
      <c r="M22" s="21">
        <f>Лист1!AS16+Лист1!AU16+Лист1!AT16</f>
        <v>32955.04</v>
      </c>
      <c r="N22" s="21">
        <f>Лист1!AX16</f>
        <v>1265.432</v>
      </c>
      <c r="O22" s="120">
        <f>Лист1!BB16</f>
        <v>48933.411501356</v>
      </c>
      <c r="P22" s="181">
        <f>Лист1!BC16</f>
        <v>4901.281463265999</v>
      </c>
      <c r="Q22" s="138">
        <f>Лист1!BD16</f>
        <v>-12462.251281622002</v>
      </c>
      <c r="R22" s="49">
        <f>Лист1!BE16</f>
        <v>-830.2800000000025</v>
      </c>
      <c r="S22" s="1"/>
      <c r="T22" s="1"/>
    </row>
    <row r="23" spans="1:20" ht="12.75">
      <c r="A23" s="13" t="s">
        <v>48</v>
      </c>
      <c r="B23" s="14">
        <f>Лист1!B17</f>
        <v>3714.7</v>
      </c>
      <c r="C23" s="46">
        <f>Лист1!C17</f>
        <v>32132.155</v>
      </c>
      <c r="D23" s="130">
        <f>Лист1!D17</f>
        <v>4016.519375</v>
      </c>
      <c r="E23" s="48">
        <f>Лист1!S17</f>
        <v>21753.69</v>
      </c>
      <c r="F23" s="22">
        <f>Лист1!T17</f>
        <v>5115.169999999999</v>
      </c>
      <c r="G23" s="117">
        <f>Лист1!AF17</f>
        <v>11757.672308000001</v>
      </c>
      <c r="H23" s="47">
        <f>Лист1!AB17</f>
        <v>19222.199999999997</v>
      </c>
      <c r="I23" s="134">
        <f>Лист1!AC17</f>
        <v>28353.889374999995</v>
      </c>
      <c r="J23" s="48">
        <f>Лист1!AG17</f>
        <v>2005.9379999999999</v>
      </c>
      <c r="K23" s="20">
        <f>Лист1!AI17+Лист1!AJ17</f>
        <v>3328.66911894</v>
      </c>
      <c r="L23" s="20">
        <f>Лист1!AH17+Лист1!AK17+Лист1!AL17+Лист1!AM17+Лист1!AN17+Лист1!AO17+Лист1!AP17+Лист1!AQ17+Лист1!AR17</f>
        <v>10892.441556392</v>
      </c>
      <c r="M23" s="21">
        <f>Лист1!AS17+Лист1!AU17+Лист1!AT17</f>
        <v>17632.8344</v>
      </c>
      <c r="N23" s="21">
        <f>Лист1!AX17</f>
        <v>1014.3280000000001</v>
      </c>
      <c r="O23" s="120">
        <f>Лист1!BB17</f>
        <v>39162.803075332005</v>
      </c>
      <c r="P23" s="181">
        <f>Лист1!BC17</f>
        <v>5041.116818696</v>
      </c>
      <c r="Q23" s="138">
        <f>Лист1!BD17</f>
        <v>-4092.3582110280095</v>
      </c>
      <c r="R23" s="49">
        <f>Лист1!BE17</f>
        <v>-2531.4900000000016</v>
      </c>
      <c r="S23" s="1"/>
      <c r="T23" s="1"/>
    </row>
    <row r="24" spans="1:20" ht="12.75">
      <c r="A24" s="13" t="s">
        <v>49</v>
      </c>
      <c r="B24" s="14">
        <f>Лист1!B18</f>
        <v>3714.7</v>
      </c>
      <c r="C24" s="46">
        <f>Лист1!C18</f>
        <v>32132.155</v>
      </c>
      <c r="D24" s="130">
        <f>Лист1!D18</f>
        <v>2980.044999999996</v>
      </c>
      <c r="E24" s="48">
        <f>Лист1!S18</f>
        <v>23177.32</v>
      </c>
      <c r="F24" s="22">
        <f>Лист1!T18</f>
        <v>5974.789999999999</v>
      </c>
      <c r="G24" s="117">
        <f>Лист1!AF18</f>
        <v>11757.672308000001</v>
      </c>
      <c r="H24" s="47">
        <f>Лист1!AB18</f>
        <v>22660.050000000003</v>
      </c>
      <c r="I24" s="134">
        <f>Лист1!AC18</f>
        <v>31614.885</v>
      </c>
      <c r="J24" s="48">
        <f>Лист1!AG18</f>
        <v>2228.8199999999997</v>
      </c>
      <c r="K24" s="20">
        <f>Лист1!AI18+Лист1!AJ18</f>
        <v>3725.8441</v>
      </c>
      <c r="L24" s="20">
        <f>Лист1!AH18+Лист1!AK18+Лист1!AL18+Лист1!AM18+Лист1!AN18+Лист1!AO18+Лист1!AP18+Лист1!AQ18+Лист1!AR18</f>
        <v>17760.75144</v>
      </c>
      <c r="M24" s="21">
        <f>Лист1!AS18+Лист1!AU18+Лист1!AT18</f>
        <v>9954.5154</v>
      </c>
      <c r="N24" s="21">
        <f>Лист1!AX18</f>
        <v>868.9520000000001</v>
      </c>
      <c r="O24" s="120">
        <f>Лист1!BB18</f>
        <v>34538.882939999996</v>
      </c>
      <c r="P24" s="181">
        <f>Лист1!BC18</f>
        <v>5627.2199853036</v>
      </c>
      <c r="Q24" s="138">
        <f>Лист1!BD18</f>
        <v>3206.4543826964036</v>
      </c>
      <c r="R24" s="49">
        <f>Лист1!BE18</f>
        <v>-517.2699999999968</v>
      </c>
      <c r="S24" s="1"/>
      <c r="T24" s="1"/>
    </row>
    <row r="25" spans="1:20" ht="12.75">
      <c r="A25" s="13" t="s">
        <v>50</v>
      </c>
      <c r="B25" s="14">
        <f>Лист1!B19</f>
        <v>3714.7</v>
      </c>
      <c r="C25" s="46">
        <f>Лист1!C19</f>
        <v>32132.155</v>
      </c>
      <c r="D25" s="130">
        <f>Лист1!D19</f>
        <v>2965.094999999996</v>
      </c>
      <c r="E25" s="48">
        <f>Лист1!S19</f>
        <v>23153.690000000002</v>
      </c>
      <c r="F25" s="22">
        <f>Лист1!T19</f>
        <v>6013.37</v>
      </c>
      <c r="G25" s="117">
        <f>Лист1!AF19</f>
        <v>11757.672308000001</v>
      </c>
      <c r="H25" s="47">
        <f>Лист1!AB19</f>
        <v>18602.87</v>
      </c>
      <c r="I25" s="134">
        <f>Лист1!AC19</f>
        <v>27581.334999999995</v>
      </c>
      <c r="J25" s="48">
        <f>Лист1!AG19</f>
        <v>2228.8199999999997</v>
      </c>
      <c r="K25" s="20">
        <f>Лист1!AI19+Лист1!AJ19</f>
        <v>3725.8441</v>
      </c>
      <c r="L25" s="20">
        <f>Лист1!AH19+Лист1!AK19+Лист1!AL19+Лист1!AM19+Лист1!AN19+Лист1!AO19+Лист1!AP19+Лист1!AQ19+Лист1!AR19</f>
        <v>12761.071762999998</v>
      </c>
      <c r="M25" s="21">
        <f>Лист1!AS19+Лист1!AU19+Лист1!AT19</f>
        <v>1675.6</v>
      </c>
      <c r="N25" s="21">
        <f>Лист1!AX19</f>
        <v>769.8320000000001</v>
      </c>
      <c r="O25" s="120">
        <f>Лист1!BB19</f>
        <v>21161.167862999995</v>
      </c>
      <c r="P25" s="181">
        <f>Лист1!BC19</f>
        <v>5327.4304193240005</v>
      </c>
      <c r="Q25" s="138">
        <f>Лист1!BD19</f>
        <v>12850.409025676001</v>
      </c>
      <c r="R25" s="49">
        <f>Лист1!BE19</f>
        <v>-4550.820000000003</v>
      </c>
      <c r="S25" s="1"/>
      <c r="T25" s="1"/>
    </row>
    <row r="26" spans="1:20" ht="12.75">
      <c r="A26" s="13" t="s">
        <v>51</v>
      </c>
      <c r="B26" s="14">
        <f>Лист1!B20</f>
        <v>3714.7</v>
      </c>
      <c r="C26" s="46">
        <f>Лист1!C20</f>
        <v>32132.155</v>
      </c>
      <c r="D26" s="130">
        <f>Лист1!D20</f>
        <v>1960.924999999996</v>
      </c>
      <c r="E26" s="48">
        <f>Лист1!S20</f>
        <v>24367.01</v>
      </c>
      <c r="F26" s="22">
        <f>Лист1!T20</f>
        <v>5804.22</v>
      </c>
      <c r="G26" s="117">
        <f>Лист1!AF20</f>
        <v>20474.210768</v>
      </c>
      <c r="H26" s="47">
        <f>Лист1!AB20</f>
        <v>19711.499999999996</v>
      </c>
      <c r="I26" s="134">
        <f>Лист1!AC20</f>
        <v>27476.644999999993</v>
      </c>
      <c r="J26" s="48">
        <f>Лист1!AG20</f>
        <v>2228.8199999999997</v>
      </c>
      <c r="K26" s="20">
        <f>Лист1!AI20+Лист1!AJ20</f>
        <v>3672.56452937</v>
      </c>
      <c r="L26" s="20">
        <f>Лист1!AH20+Лист1!AK20+Лист1!AL20+Лист1!AM20+Лист1!AN20+Лист1!AO20+Лист1!AP20+Лист1!AQ20+Лист1!AR20</f>
        <v>12634.945068019999</v>
      </c>
      <c r="M26" s="21">
        <f>Лист1!AS20+Лист1!AU20+Лист1!AT20</f>
        <v>17625.483</v>
      </c>
      <c r="N26" s="21">
        <f>Лист1!AX20</f>
        <v>819.392</v>
      </c>
      <c r="O26" s="120">
        <f>Лист1!BB20</f>
        <v>36981.20459739</v>
      </c>
      <c r="P26" s="181">
        <f>Лист1!BC20</f>
        <v>9619.535480096003</v>
      </c>
      <c r="Q26" s="138">
        <f>Лист1!BD20</f>
        <v>1350.1156905139887</v>
      </c>
      <c r="R26" s="49">
        <f>Лист1!BE20</f>
        <v>-4655.510000000002</v>
      </c>
      <c r="S26" s="1"/>
      <c r="T26" s="1"/>
    </row>
    <row r="27" spans="1:20" ht="12.75">
      <c r="A27" s="13" t="s">
        <v>52</v>
      </c>
      <c r="B27" s="14">
        <f>Лист1!B21</f>
        <v>3714.7</v>
      </c>
      <c r="C27" s="46">
        <f>Лист1!C21</f>
        <v>32132.155</v>
      </c>
      <c r="D27" s="130">
        <f>Лист1!D21</f>
        <v>2926.8750000000005</v>
      </c>
      <c r="E27" s="48">
        <f>Лист1!S21</f>
        <v>23634.92</v>
      </c>
      <c r="F27" s="22">
        <f>Лист1!T21</f>
        <v>5570.360000000001</v>
      </c>
      <c r="G27" s="117">
        <f>Лист1!AF21</f>
        <v>20474.210768</v>
      </c>
      <c r="H27" s="47">
        <f>Лист1!AB21</f>
        <v>18132.829999999998</v>
      </c>
      <c r="I27" s="134">
        <f>Лист1!AC21</f>
        <v>26630.065</v>
      </c>
      <c r="J27" s="48">
        <f>Лист1!AG21</f>
        <v>2228.8199999999997</v>
      </c>
      <c r="K27" s="20">
        <f>Лист1!AI21+Лист1!AJ21</f>
        <v>3670.925157966</v>
      </c>
      <c r="L27" s="20">
        <f>Лист1!AH21+Лист1!AK21+Лист1!AL21+Лист1!AM21+Лист1!AN21+Лист1!AO21+Лист1!AP21+Лист1!AQ21+Лист1!AR21</f>
        <v>22966.739284599997</v>
      </c>
      <c r="M27" s="21">
        <f>Лист1!AS21+Лист1!AU21+Лист1!AT21</f>
        <v>6561.4490000000005</v>
      </c>
      <c r="N27" s="21">
        <f>Лист1!AX21</f>
        <v>968.072</v>
      </c>
      <c r="O27" s="120">
        <f>Лист1!BB21</f>
        <v>36396.005442566</v>
      </c>
      <c r="P27" s="181">
        <f>Лист1!BC21</f>
        <v>9615.1646809888</v>
      </c>
      <c r="Q27" s="138">
        <f>Лист1!BD21</f>
        <v>1093.1056444452006</v>
      </c>
      <c r="R27" s="49">
        <f>Лист1!BE21</f>
        <v>-5502.09</v>
      </c>
      <c r="S27" s="1"/>
      <c r="T27" s="1"/>
    </row>
    <row r="28" spans="1:20" ht="12.75">
      <c r="A28" s="13" t="s">
        <v>53</v>
      </c>
      <c r="B28" s="14">
        <f>Лист1!B22</f>
        <v>3715</v>
      </c>
      <c r="C28" s="46">
        <f>Лист1!C22</f>
        <v>32134.75</v>
      </c>
      <c r="D28" s="130">
        <f>Лист1!D22</f>
        <v>2931.480000000003</v>
      </c>
      <c r="E28" s="48">
        <f>Лист1!S22</f>
        <v>23516.69</v>
      </c>
      <c r="F28" s="22">
        <f>Лист1!T22</f>
        <v>5686.58</v>
      </c>
      <c r="G28" s="117">
        <f>Лист1!AF22</f>
        <v>20474.210768</v>
      </c>
      <c r="H28" s="47">
        <f>Лист1!AB22</f>
        <v>22762.97</v>
      </c>
      <c r="I28" s="134">
        <f>Лист1!AC22</f>
        <v>31381.030000000006</v>
      </c>
      <c r="J28" s="48">
        <f>Лист1!AG22</f>
        <v>2229</v>
      </c>
      <c r="K28" s="20">
        <f>Лист1!AI22+Лист1!AJ22</f>
        <v>3670.5881780500004</v>
      </c>
      <c r="L28" s="20">
        <f>Лист1!AH22+Лист1!AK22+Лист1!AL22+Лист1!AM22+Лист1!AN22+Лист1!AO22+Лист1!AP22+Лист1!AQ22+Лист1!AR22</f>
        <v>12631.63583711</v>
      </c>
      <c r="M28" s="21">
        <f>Лист1!AS22+Лист1!AU22+Лист1!AT22</f>
        <v>0</v>
      </c>
      <c r="N28" s="21">
        <f>Лист1!AX22</f>
        <v>1153.096</v>
      </c>
      <c r="O28" s="120">
        <f>Лист1!BB22</f>
        <v>19684.32001516</v>
      </c>
      <c r="P28" s="181">
        <f>Лист1!BC22</f>
        <v>9613.710444627519</v>
      </c>
      <c r="Q28" s="138">
        <f>Лист1!BD22</f>
        <v>22557.21030821249</v>
      </c>
      <c r="R28" s="49">
        <f>Лист1!BE22</f>
        <v>-753.7199999999975</v>
      </c>
      <c r="S28" s="1"/>
      <c r="T28" s="1"/>
    </row>
    <row r="29" spans="1:20" ht="12.75">
      <c r="A29" s="13" t="s">
        <v>41</v>
      </c>
      <c r="B29" s="14">
        <f>Лист1!B23</f>
        <v>3716.1</v>
      </c>
      <c r="C29" s="46">
        <f>Лист1!C23</f>
        <v>32144.265</v>
      </c>
      <c r="D29" s="130">
        <f>Лист1!D23</f>
        <v>2922.705000000002</v>
      </c>
      <c r="E29" s="48">
        <f>Лист1!S23</f>
        <v>23590.34</v>
      </c>
      <c r="F29" s="22">
        <f>Лист1!T23</f>
        <v>5631.219999999999</v>
      </c>
      <c r="G29" s="117">
        <f>Лист1!AF23</f>
        <v>21375.046368</v>
      </c>
      <c r="H29" s="47">
        <f>Лист1!AB23</f>
        <v>29411.039999999997</v>
      </c>
      <c r="I29" s="134">
        <f>Лист1!AC23</f>
        <v>37964.965</v>
      </c>
      <c r="J29" s="48">
        <f>Лист1!AG23</f>
        <v>2229.66</v>
      </c>
      <c r="K29" s="20">
        <f>Лист1!AI23+Лист1!AJ23</f>
        <v>3714.0933059999998</v>
      </c>
      <c r="L29" s="20">
        <f>Лист1!AH23+Лист1!AK23+Лист1!AL23+Лист1!AM23+Лист1!AN23+Лист1!AO23+Лист1!AP23+Лист1!AQ23+Лист1!AR23</f>
        <v>12743.993339999999</v>
      </c>
      <c r="M29" s="21">
        <f>Лист1!AS23+Лист1!AU23+Лист1!AT23</f>
        <v>422.1922</v>
      </c>
      <c r="N29" s="21">
        <f>Лист1!AX23</f>
        <v>1404.1999999999998</v>
      </c>
      <c r="O29" s="120">
        <f>Лист1!BB23</f>
        <v>20514.138846</v>
      </c>
      <c r="P29" s="181">
        <f>Лист1!BC23</f>
        <v>10117.7693216</v>
      </c>
      <c r="Q29" s="138">
        <f>Лист1!BD23</f>
        <v>28708.103200399994</v>
      </c>
      <c r="R29" s="49">
        <f>Лист1!BE23</f>
        <v>5820.699999999997</v>
      </c>
      <c r="S29" s="1"/>
      <c r="T29" s="1"/>
    </row>
    <row r="30" spans="1:20" ht="12.75">
      <c r="A30" s="13" t="s">
        <v>42</v>
      </c>
      <c r="B30" s="14">
        <f>Лист1!B24</f>
        <v>3715.6</v>
      </c>
      <c r="C30" s="46">
        <f>Лист1!C24</f>
        <v>32139.940000000002</v>
      </c>
      <c r="D30" s="130">
        <f>Лист1!D24</f>
        <v>2946.6200000000035</v>
      </c>
      <c r="E30" s="48">
        <f>Лист1!S24</f>
        <v>23563.97</v>
      </c>
      <c r="F30" s="22">
        <f>Лист1!T24</f>
        <v>5629.349999999999</v>
      </c>
      <c r="G30" s="117">
        <f>Лист1!AF24</f>
        <v>21375.046368</v>
      </c>
      <c r="H30" s="47">
        <f>Лист1!AB24</f>
        <v>28490.89</v>
      </c>
      <c r="I30" s="134">
        <f>Лист1!AC24</f>
        <v>37066.86</v>
      </c>
      <c r="J30" s="48">
        <f>Лист1!AG24</f>
        <v>2229.3599999999997</v>
      </c>
      <c r="K30" s="20">
        <f>Лист1!AI24+Лист1!AJ24</f>
        <v>3726.7468</v>
      </c>
      <c r="L30" s="20">
        <f>Лист1!AH24+Лист1!AK24+Лист1!AL24+Лист1!AM24+Лист1!AN24+Лист1!AO24+Лист1!AP24+Лист1!AQ24+Лист1!AR24</f>
        <v>12756.39792</v>
      </c>
      <c r="M30" s="21">
        <f>Лист1!AS24+Лист1!AU24+Лист1!AT24</f>
        <v>5557.8</v>
      </c>
      <c r="N30" s="21">
        <f>Лист1!AX24</f>
        <v>1552.88</v>
      </c>
      <c r="O30" s="120">
        <f>Лист1!BB24</f>
        <v>25823.184719999997</v>
      </c>
      <c r="P30" s="181">
        <f>Лист1!BC24</f>
        <v>10131.837551999999</v>
      </c>
      <c r="Q30" s="138">
        <f>Лист1!BD24</f>
        <v>22486.884096</v>
      </c>
      <c r="R30" s="49">
        <f>Лист1!BE24</f>
        <v>4926.919999999998</v>
      </c>
      <c r="S30" s="1"/>
      <c r="T30" s="1"/>
    </row>
    <row r="31" spans="1:20" ht="13.5" thickBot="1">
      <c r="A31" s="50" t="s">
        <v>43</v>
      </c>
      <c r="B31" s="14">
        <f>Лист1!B25</f>
        <v>3715.6</v>
      </c>
      <c r="C31" s="46">
        <f>Лист1!C25</f>
        <v>32139.940000000002</v>
      </c>
      <c r="D31" s="130">
        <f>Лист1!D25</f>
        <v>2931.300000000003</v>
      </c>
      <c r="E31" s="48">
        <f>Лист1!S25</f>
        <v>23649.49</v>
      </c>
      <c r="F31" s="22">
        <f>Лист1!T25</f>
        <v>5559.15</v>
      </c>
      <c r="G31" s="117">
        <f>Лист1!AF25</f>
        <v>21375.046368</v>
      </c>
      <c r="H31" s="47">
        <f>Лист1!AB25</f>
        <v>29830.57</v>
      </c>
      <c r="I31" s="134">
        <f>Лист1!AC25</f>
        <v>38321.020000000004</v>
      </c>
      <c r="J31" s="48">
        <f>Лист1!AG25</f>
        <v>2229.3599999999997</v>
      </c>
      <c r="K31" s="20">
        <f>Лист1!AI25+Лист1!AJ25</f>
        <v>3726.7468</v>
      </c>
      <c r="L31" s="20">
        <f>Лист1!AH25+Лист1!AK25+Лист1!AL25+Лист1!AM25+Лист1!AN25+Лист1!AO25+Лист1!AP25+Лист1!AQ25+Лист1!AR25</f>
        <v>12756.39792</v>
      </c>
      <c r="M31" s="21">
        <f>Лист1!AS25+Лист1!AU25+Лист1!AT25</f>
        <v>4897</v>
      </c>
      <c r="N31" s="21">
        <f>Лист1!AX25</f>
        <v>1698.2559999999999</v>
      </c>
      <c r="O31" s="120">
        <f>Лист1!BB25</f>
        <v>25307.76072</v>
      </c>
      <c r="P31" s="181">
        <f>Лист1!BC25</f>
        <v>10131.837551999999</v>
      </c>
      <c r="Q31" s="138">
        <f>Лист1!BD25</f>
        <v>24256.468096000004</v>
      </c>
      <c r="R31" s="49">
        <f>Лист1!BE25</f>
        <v>6181.079999999998</v>
      </c>
      <c r="S31" s="1"/>
      <c r="T31" s="1"/>
    </row>
    <row r="32" spans="1:20" s="29" customFormat="1" ht="13.5" thickBot="1">
      <c r="A32" s="52" t="s">
        <v>5</v>
      </c>
      <c r="B32" s="53"/>
      <c r="C32" s="54">
        <f aca="true" t="shared" si="1" ref="C32:R32">SUM(C20:C31)</f>
        <v>385616.135</v>
      </c>
      <c r="D32" s="57">
        <f t="shared" si="1"/>
        <v>38631.1225</v>
      </c>
      <c r="E32" s="55">
        <f t="shared" si="1"/>
        <v>271974.92</v>
      </c>
      <c r="F32" s="129">
        <f t="shared" si="1"/>
        <v>66329.71999999999</v>
      </c>
      <c r="G32" s="111">
        <f>SUM(G20:G31)</f>
        <v>196093.80525600005</v>
      </c>
      <c r="H32" s="56">
        <f t="shared" si="1"/>
        <v>264997.33</v>
      </c>
      <c r="I32" s="115">
        <f t="shared" si="1"/>
        <v>369958.1725</v>
      </c>
      <c r="J32" s="55">
        <f t="shared" si="1"/>
        <v>25856.412</v>
      </c>
      <c r="K32" s="54">
        <f t="shared" si="1"/>
        <v>42654.781916476</v>
      </c>
      <c r="L32" s="54">
        <f t="shared" si="1"/>
        <v>160848.25586348993</v>
      </c>
      <c r="M32" s="54">
        <f t="shared" si="1"/>
        <v>146865.52399999998</v>
      </c>
      <c r="N32" s="54">
        <f t="shared" si="1"/>
        <v>14537.6</v>
      </c>
      <c r="O32" s="123">
        <f t="shared" si="1"/>
        <v>390762.5737799661</v>
      </c>
      <c r="P32" s="123">
        <f t="shared" si="1"/>
        <v>90131.93752074592</v>
      </c>
      <c r="Q32" s="141">
        <f>SUM(Q20:Q31)</f>
        <v>85157.46645528807</v>
      </c>
      <c r="R32" s="57">
        <f t="shared" si="1"/>
        <v>-6977.590000000007</v>
      </c>
      <c r="S32" s="59"/>
      <c r="T32" s="59"/>
    </row>
    <row r="33" spans="1:20" ht="12.75">
      <c r="A33" s="8" t="s">
        <v>89</v>
      </c>
      <c r="B33" s="76"/>
      <c r="C33" s="60"/>
      <c r="D33" s="132"/>
      <c r="E33" s="63"/>
      <c r="F33" s="128"/>
      <c r="G33" s="118"/>
      <c r="H33" s="62"/>
      <c r="I33" s="136"/>
      <c r="J33" s="63"/>
      <c r="K33" s="61"/>
      <c r="L33" s="61"/>
      <c r="M33" s="77"/>
      <c r="N33" s="77"/>
      <c r="O33" s="122"/>
      <c r="P33" s="182"/>
      <c r="Q33" s="140"/>
      <c r="R33" s="78"/>
      <c r="S33" s="1"/>
      <c r="T33" s="1"/>
    </row>
    <row r="34" spans="1:20" ht="12.75">
      <c r="A34" s="13" t="s">
        <v>45</v>
      </c>
      <c r="B34" s="14">
        <f>Лист1!B28</f>
        <v>3715.6</v>
      </c>
      <c r="C34" s="46">
        <f>Лист1!C28</f>
        <v>32139.940000000002</v>
      </c>
      <c r="D34" s="130">
        <f>Лист1!D28</f>
        <v>2945.9400000000032</v>
      </c>
      <c r="E34" s="48">
        <f>Лист1!S28</f>
        <v>23634.850000000002</v>
      </c>
      <c r="F34" s="22">
        <f>Лист1!T28</f>
        <v>5559.15</v>
      </c>
      <c r="G34" s="117">
        <f>Лист1!AF28</f>
        <v>21375.046368</v>
      </c>
      <c r="H34" s="47">
        <f>Лист1!AB28</f>
        <v>16639.989999999998</v>
      </c>
      <c r="I34" s="134">
        <f>Лист1!AC28</f>
        <v>25145.08</v>
      </c>
      <c r="J34" s="48">
        <f>Лист1!AG28</f>
        <v>2229.3599999999997</v>
      </c>
      <c r="K34" s="20">
        <f>Лист1!AI28+Лист1!AJ28</f>
        <v>3715.6</v>
      </c>
      <c r="L34" s="20">
        <f>Лист1!AH28+Лист1!AK28+Лист1!AL28+Лист1!AM28+Лист1!AN28+Лист1!AO28+Лист1!AP28+Лист1!AQ28+Лист1!AR28</f>
        <v>12744.508000000002</v>
      </c>
      <c r="M34" s="21">
        <f>Лист1!AS28+Лист1!AU28+Лист1!AT28</f>
        <v>154</v>
      </c>
      <c r="N34" s="21">
        <f>Лист1!AX28</f>
        <v>1778</v>
      </c>
      <c r="O34" s="120">
        <f>Лист1!BB28</f>
        <v>20621.468</v>
      </c>
      <c r="P34" s="181">
        <f>Лист1!BC28</f>
        <v>10119.8408</v>
      </c>
      <c r="Q34" s="138">
        <f>Лист1!BD28</f>
        <v>15778.817568</v>
      </c>
      <c r="R34" s="49">
        <f>Лист1!BE28</f>
        <v>-6994.860000000004</v>
      </c>
      <c r="S34" s="1"/>
      <c r="T34" s="1"/>
    </row>
    <row r="35" spans="1:20" ht="12.75">
      <c r="A35" s="13" t="s">
        <v>46</v>
      </c>
      <c r="B35" s="14">
        <f>Лист1!B29</f>
        <v>3715.6</v>
      </c>
      <c r="C35" s="46">
        <f>Лист1!C29</f>
        <v>32139.940000000002</v>
      </c>
      <c r="D35" s="130">
        <f>Лист1!D29</f>
        <v>2934.990000000003</v>
      </c>
      <c r="E35" s="48">
        <f>Лист1!S29</f>
        <v>23726.61</v>
      </c>
      <c r="F35" s="22">
        <f>Лист1!T29</f>
        <v>5478.34</v>
      </c>
      <c r="G35" s="117">
        <f>Лист1!AF29</f>
        <v>21375.046368</v>
      </c>
      <c r="H35" s="47">
        <f>Лист1!AB29</f>
        <v>42106.96</v>
      </c>
      <c r="I35" s="134">
        <f>Лист1!AC29</f>
        <v>50520.29</v>
      </c>
      <c r="J35" s="48">
        <f>Лист1!AG29</f>
        <v>2229.3599999999997</v>
      </c>
      <c r="K35" s="20">
        <f>Лист1!AI29+Лист1!AJ29</f>
        <v>3715.6</v>
      </c>
      <c r="L35" s="20">
        <f>Лист1!AH29+Лист1!AK29+Лист1!AL29+Лист1!AM29+Лист1!AN29+Лист1!AO29+Лист1!AP29+Лист1!AQ29+Лист1!AR29</f>
        <v>12744.508000000002</v>
      </c>
      <c r="M35" s="21">
        <f>Лист1!AS29+Лист1!AU29+Лист1!AT29</f>
        <v>16028</v>
      </c>
      <c r="N35" s="21">
        <f>Лист1!AX29</f>
        <v>1424.5</v>
      </c>
      <c r="O35" s="120">
        <f>Лист1!BB29</f>
        <v>36141.968</v>
      </c>
      <c r="P35" s="181">
        <f>Лист1!BC29</f>
        <v>10119.8408</v>
      </c>
      <c r="Q35" s="138">
        <f>Лист1!BD29</f>
        <v>25633.527567999998</v>
      </c>
      <c r="R35" s="49">
        <f>Лист1!BE29</f>
        <v>18380.35</v>
      </c>
      <c r="S35" s="1"/>
      <c r="T35" s="1"/>
    </row>
    <row r="36" spans="1:20" ht="12.75">
      <c r="A36" s="13" t="s">
        <v>47</v>
      </c>
      <c r="B36" s="14">
        <f>Лист1!B30</f>
        <v>3715.6</v>
      </c>
      <c r="C36" s="46">
        <f>Лист1!C30</f>
        <v>32139.940000000002</v>
      </c>
      <c r="D36" s="130">
        <f>Лист1!D30</f>
        <v>2926.030000000003</v>
      </c>
      <c r="E36" s="48">
        <f>Лист1!S30</f>
        <v>23644.19</v>
      </c>
      <c r="F36" s="22">
        <f>Лист1!T30</f>
        <v>5569.719999999999</v>
      </c>
      <c r="G36" s="117">
        <f>Лист1!AF30</f>
        <v>21375.046368</v>
      </c>
      <c r="H36" s="47">
        <f>Лист1!AB30</f>
        <v>22358.21</v>
      </c>
      <c r="I36" s="134">
        <f>Лист1!AC30</f>
        <v>30853.96</v>
      </c>
      <c r="J36" s="48">
        <f>Лист1!AG30</f>
        <v>2229.3599999999997</v>
      </c>
      <c r="K36" s="20">
        <f>Лист1!AI30+Лист1!AJ30</f>
        <v>3715.6</v>
      </c>
      <c r="L36" s="20">
        <f>Лист1!AH30+Лист1!AK30+Лист1!AL30+Лист1!AM30+Лист1!AN30+Лист1!AO30+Лист1!AP30+Лист1!AQ30+Лист1!AR30</f>
        <v>12744.508000000002</v>
      </c>
      <c r="M36" s="21">
        <f>Лист1!AS30+Лист1!AU30+Лист1!AT30</f>
        <v>51034</v>
      </c>
      <c r="N36" s="21">
        <f>Лист1!AX30</f>
        <v>1340.5</v>
      </c>
      <c r="O36" s="120">
        <f>Лист1!BB30</f>
        <v>71063.968</v>
      </c>
      <c r="P36" s="181">
        <f>Лист1!BC30</f>
        <v>10119.8408</v>
      </c>
      <c r="Q36" s="138">
        <f>Лист1!BD30</f>
        <v>-28954.802431999997</v>
      </c>
      <c r="R36" s="49">
        <f>Лист1!BE30</f>
        <v>-1285.9799999999996</v>
      </c>
      <c r="S36" s="1"/>
      <c r="T36" s="1"/>
    </row>
    <row r="37" spans="1:20" ht="12.75">
      <c r="A37" s="13" t="s">
        <v>48</v>
      </c>
      <c r="B37" s="14">
        <f>Лист1!B31</f>
        <v>3715.6</v>
      </c>
      <c r="C37" s="46">
        <f>Лист1!C31</f>
        <v>32139.940000000002</v>
      </c>
      <c r="D37" s="130">
        <f>Лист1!D31</f>
        <v>2919.310000000004</v>
      </c>
      <c r="E37" s="48">
        <f>Лист1!S31</f>
        <v>23788.170000000002</v>
      </c>
      <c r="F37" s="22">
        <f>Лист1!T31</f>
        <v>5432.460000000001</v>
      </c>
      <c r="G37" s="117">
        <f>Лист1!AF31</f>
        <v>21375.046368</v>
      </c>
      <c r="H37" s="47">
        <f>Лист1!AB31</f>
        <v>19222.199999999997</v>
      </c>
      <c r="I37" s="134">
        <f>Лист1!AC31</f>
        <v>27573.97</v>
      </c>
      <c r="J37" s="48">
        <f>Лист1!AG31</f>
        <v>2229.3599999999997</v>
      </c>
      <c r="K37" s="20">
        <f>Лист1!AI31+Лист1!AJ31</f>
        <v>3715.6</v>
      </c>
      <c r="L37" s="20">
        <f>Лист1!AH31+Лист1!AK31+Лист1!AL31+Лист1!AM31+Лист1!AN31+Лист1!AO31+Лист1!AP31+Лист1!AQ31+Лист1!AR31</f>
        <v>12744.508000000002</v>
      </c>
      <c r="M37" s="21">
        <f>Лист1!AS31+Лист1!AU31+Лист1!AT31</f>
        <v>12032</v>
      </c>
      <c r="N37" s="21">
        <f>Лист1!AX31</f>
        <v>1074.5</v>
      </c>
      <c r="O37" s="120">
        <f>Лист1!BB31</f>
        <v>31795.968</v>
      </c>
      <c r="P37" s="181">
        <f>Лист1!BC31</f>
        <v>10119.8408</v>
      </c>
      <c r="Q37" s="138">
        <f>Лист1!BD31</f>
        <v>7033.207568</v>
      </c>
      <c r="R37" s="49">
        <f>Лист1!BE31</f>
        <v>-4565.970000000005</v>
      </c>
      <c r="S37" s="1"/>
      <c r="T37" s="1"/>
    </row>
    <row r="38" spans="1:20" ht="12.75">
      <c r="A38" s="13" t="s">
        <v>49</v>
      </c>
      <c r="B38" s="14">
        <f>Лист1!B32</f>
        <v>3717.4</v>
      </c>
      <c r="C38" s="46">
        <f>Лист1!C32</f>
        <v>32155.510000000002</v>
      </c>
      <c r="D38" s="130">
        <f>Лист1!D32</f>
        <v>2919.5700000000043</v>
      </c>
      <c r="E38" s="48">
        <f>Лист1!S32</f>
        <v>23807.83</v>
      </c>
      <c r="F38" s="22">
        <f>Лист1!T32</f>
        <v>5428.11</v>
      </c>
      <c r="G38" s="117">
        <f>Лист1!AF32</f>
        <v>21375.046368</v>
      </c>
      <c r="H38" s="47">
        <f>Лист1!AB32</f>
        <v>32761.230000000003</v>
      </c>
      <c r="I38" s="134">
        <f>Лист1!AC32</f>
        <v>41108.91</v>
      </c>
      <c r="J38" s="48">
        <f>Лист1!AG32</f>
        <v>2230.44</v>
      </c>
      <c r="K38" s="20">
        <f>Лист1!AI32+Лист1!AJ32</f>
        <v>3717.4</v>
      </c>
      <c r="L38" s="20">
        <f>Лист1!AH32+Лист1!AK32+Лист1!AL32+Лист1!AM32+Лист1!AN32+Лист1!AO32+Лист1!AP32+Лист1!AQ32+Лист1!AR32</f>
        <v>12750.682</v>
      </c>
      <c r="M38" s="21">
        <f>Лист1!AS32+Лист1!AU32+Лист1!AT32</f>
        <v>3143.27</v>
      </c>
      <c r="N38" s="21">
        <f>Лист1!AX32</f>
        <v>920.4999999999999</v>
      </c>
      <c r="O38" s="120">
        <f>Лист1!BB32</f>
        <v>22762.291999999998</v>
      </c>
      <c r="P38" s="181">
        <f>Лист1!BC32</f>
        <v>10119.8408</v>
      </c>
      <c r="Q38" s="138">
        <f>Лист1!BD32</f>
        <v>29601.823568000007</v>
      </c>
      <c r="R38" s="49">
        <f>Лист1!BE32</f>
        <v>8953.400000000001</v>
      </c>
      <c r="S38" s="1"/>
      <c r="T38" s="1"/>
    </row>
    <row r="39" spans="1:20" ht="12.75">
      <c r="A39" s="13" t="s">
        <v>50</v>
      </c>
      <c r="B39" s="14">
        <f>Лист1!B33</f>
        <v>3717.4</v>
      </c>
      <c r="C39" s="46">
        <f>Лист1!C33</f>
        <v>32155.510000000002</v>
      </c>
      <c r="D39" s="130">
        <f>Лист1!D33</f>
        <v>2934.9300000000026</v>
      </c>
      <c r="E39" s="48">
        <f>Лист1!S33</f>
        <v>23722.28</v>
      </c>
      <c r="F39" s="22">
        <f>Лист1!T33</f>
        <v>5498.3</v>
      </c>
      <c r="G39" s="117">
        <f>Лист1!AF33</f>
        <v>21375.046368</v>
      </c>
      <c r="H39" s="47">
        <f>Лист1!AB33</f>
        <v>38590.29</v>
      </c>
      <c r="I39" s="134">
        <f>Лист1!AC33</f>
        <v>47023.520000000004</v>
      </c>
      <c r="J39" s="48">
        <f>Лист1!AG33</f>
        <v>2230.44</v>
      </c>
      <c r="K39" s="20">
        <f>Лист1!AI33+Лист1!AJ33</f>
        <v>3717.4</v>
      </c>
      <c r="L39" s="20">
        <f>Лист1!AH33+Лист1!AK33+Лист1!AL33+Лист1!AM33+Лист1!AN33+Лист1!AO33+Лист1!AP33+Лист1!AQ33+Лист1!AR33</f>
        <v>12750.682</v>
      </c>
      <c r="M39" s="21">
        <f>Лист1!AS33+Лист1!AU33+Лист1!AT33</f>
        <v>1448</v>
      </c>
      <c r="N39" s="21">
        <f>Лист1!AX33</f>
        <v>815.5</v>
      </c>
      <c r="O39" s="120">
        <f>Лист1!BB33</f>
        <v>20962.021999999997</v>
      </c>
      <c r="P39" s="181">
        <f>Лист1!BC33</f>
        <v>10119.8408</v>
      </c>
      <c r="Q39" s="138">
        <f>Лист1!BD33</f>
        <v>37316.703568000004</v>
      </c>
      <c r="R39" s="49">
        <f>Лист1!BE33</f>
        <v>14868.010000000002</v>
      </c>
      <c r="S39" s="1"/>
      <c r="T39" s="1"/>
    </row>
    <row r="40" spans="1:20" ht="12.75">
      <c r="A40" s="13" t="s">
        <v>51</v>
      </c>
      <c r="B40" s="14">
        <f>Лист1!B34</f>
        <v>3717.4</v>
      </c>
      <c r="C40" s="46">
        <f>Лист1!C34</f>
        <v>32155.510000000002</v>
      </c>
      <c r="D40" s="130">
        <f>Лист1!D34</f>
        <v>2895.2700000000023</v>
      </c>
      <c r="E40" s="48">
        <f>Лист1!S34</f>
        <v>28947.18</v>
      </c>
      <c r="F40" s="22">
        <f>Лист1!T34</f>
        <v>313.06</v>
      </c>
      <c r="G40" s="117">
        <f>Лист1!AF34</f>
        <v>21375.046368</v>
      </c>
      <c r="H40" s="47">
        <f>Лист1!AB34</f>
        <v>26428.85</v>
      </c>
      <c r="I40" s="134">
        <f>Лист1!AC34</f>
        <v>29637.18</v>
      </c>
      <c r="J40" s="48">
        <f>Лист1!AG34</f>
        <v>2230.44</v>
      </c>
      <c r="K40" s="20">
        <f>Лист1!AI34+Лист1!AJ34</f>
        <v>3717.4</v>
      </c>
      <c r="L40" s="20">
        <f>Лист1!AH34+Лист1!AK34+Лист1!AL34+Лист1!AM34+Лист1!AN34+Лист1!AO34+Лист1!AP34+Лист1!AQ34+Лист1!AR34</f>
        <v>12750.682</v>
      </c>
      <c r="M40" s="21">
        <f>Лист1!AS34+Лист1!AU34+Лист1!AT34</f>
        <v>0</v>
      </c>
      <c r="N40" s="21">
        <f>Лист1!AX34</f>
        <v>868</v>
      </c>
      <c r="O40" s="120">
        <f>Лист1!BB34</f>
        <v>19566.521999999997</v>
      </c>
      <c r="P40" s="181">
        <f>Лист1!BC34</f>
        <v>10119.8408</v>
      </c>
      <c r="Q40" s="138">
        <f>Лист1!BD34</f>
        <v>21325.863568</v>
      </c>
      <c r="R40" s="49">
        <f>Лист1!BE34</f>
        <v>-2518.3300000000017</v>
      </c>
      <c r="S40" s="1"/>
      <c r="T40" s="1"/>
    </row>
    <row r="41" spans="1:20" ht="12.75">
      <c r="A41" s="13" t="s">
        <v>52</v>
      </c>
      <c r="B41" s="14">
        <f>Лист1!B35</f>
        <v>3717.4</v>
      </c>
      <c r="C41" s="46">
        <f>Лист1!C35</f>
        <v>32155.510000000002</v>
      </c>
      <c r="D41" s="130">
        <f>Лист1!D35</f>
        <v>2895.2500000000014</v>
      </c>
      <c r="E41" s="48">
        <f>Лист1!S35</f>
        <v>28947.2</v>
      </c>
      <c r="F41" s="22">
        <f>Лист1!T35</f>
        <v>313.06</v>
      </c>
      <c r="G41" s="117">
        <f>Лист1!AF35</f>
        <v>21375.046368</v>
      </c>
      <c r="H41" s="47">
        <f>Лист1!AB35</f>
        <v>32125.520000000004</v>
      </c>
      <c r="I41" s="134">
        <f>Лист1!AC35</f>
        <v>35333.83</v>
      </c>
      <c r="J41" s="48">
        <f>Лист1!AG35</f>
        <v>2230.44</v>
      </c>
      <c r="K41" s="20">
        <f>Лист1!AI35+Лист1!AJ35</f>
        <v>3717.4</v>
      </c>
      <c r="L41" s="20">
        <f>Лист1!AH35+Лист1!AK35+Лист1!AL35+Лист1!AM35+Лист1!AN35+Лист1!AO35+Лист1!AP35+Лист1!AQ35+Лист1!AR35</f>
        <v>12750.682</v>
      </c>
      <c r="M41" s="21">
        <f>Лист1!AS35+Лист1!AU35+Лист1!AT35</f>
        <v>407.8</v>
      </c>
      <c r="N41" s="21">
        <f>Лист1!AX35</f>
        <v>1025.5</v>
      </c>
      <c r="O41" s="120">
        <f>Лист1!BB35</f>
        <v>20131.821999999996</v>
      </c>
      <c r="P41" s="181">
        <f>Лист1!BC35</f>
        <v>10119.8408</v>
      </c>
      <c r="Q41" s="138">
        <f>Лист1!BD35</f>
        <v>26457.213568000006</v>
      </c>
      <c r="R41" s="49">
        <f>Лист1!BE35</f>
        <v>3178.3200000000033</v>
      </c>
      <c r="S41" s="1"/>
      <c r="T41" s="1"/>
    </row>
    <row r="42" spans="1:20" ht="12.75">
      <c r="A42" s="13" t="s">
        <v>53</v>
      </c>
      <c r="B42" s="14">
        <f>Лист1!B36</f>
        <v>3717.4</v>
      </c>
      <c r="C42" s="46">
        <f>Лист1!C36</f>
        <v>32155.510000000002</v>
      </c>
      <c r="D42" s="130">
        <f>Лист1!D36</f>
        <v>2878.880000000002</v>
      </c>
      <c r="E42" s="48">
        <f>Лист1!S36</f>
        <v>28963.57</v>
      </c>
      <c r="F42" s="22">
        <f>Лист1!T36</f>
        <v>313.06</v>
      </c>
      <c r="G42" s="117">
        <f>Лист1!AF36</f>
        <v>21375.046368</v>
      </c>
      <c r="H42" s="47">
        <f>Лист1!AB36</f>
        <v>24735.18</v>
      </c>
      <c r="I42" s="134">
        <f>Лист1!AC36</f>
        <v>27927.120000000003</v>
      </c>
      <c r="J42" s="48">
        <f>Лист1!AG36</f>
        <v>2230.44</v>
      </c>
      <c r="K42" s="20">
        <f>Лист1!AI36+Лист1!AJ36</f>
        <v>3717.4</v>
      </c>
      <c r="L42" s="20">
        <f>Лист1!AH36+Лист1!AK36+Лист1!AL36+Лист1!AM36+Лист1!AN36+Лист1!AO36+Лист1!AP36+Лист1!AQ36+Лист1!AR36</f>
        <v>12750.682</v>
      </c>
      <c r="M42" s="21">
        <f>Лист1!AS36+Лист1!AU36+Лист1!AT36</f>
        <v>29482.35</v>
      </c>
      <c r="N42" s="21">
        <f>Лист1!AX36</f>
        <v>1221.5</v>
      </c>
      <c r="O42" s="120">
        <f>Лист1!BB36</f>
        <v>49402.371999999996</v>
      </c>
      <c r="P42" s="181">
        <f>Лист1!BC36</f>
        <v>10119.8408</v>
      </c>
      <c r="Q42" s="138">
        <f>Лист1!BD36</f>
        <v>-10220.046431999994</v>
      </c>
      <c r="R42" s="49">
        <f>Лист1!BE36</f>
        <v>-4228.389999999999</v>
      </c>
      <c r="S42" s="1"/>
      <c r="T42" s="1"/>
    </row>
    <row r="43" spans="1:20" ht="12.75">
      <c r="A43" s="13" t="s">
        <v>41</v>
      </c>
      <c r="B43" s="14">
        <f>Лист1!B37</f>
        <v>3717.4</v>
      </c>
      <c r="C43" s="46">
        <f>Лист1!C37</f>
        <v>32155.510000000002</v>
      </c>
      <c r="D43" s="130">
        <f>Лист1!D37</f>
        <v>2871.8600000000006</v>
      </c>
      <c r="E43" s="48">
        <f>Лист1!S37</f>
        <v>28970.589999999997</v>
      </c>
      <c r="F43" s="22">
        <f>Лист1!T37</f>
        <v>313.06</v>
      </c>
      <c r="G43" s="117">
        <f>Лист1!AF37</f>
        <v>21475.046368</v>
      </c>
      <c r="H43" s="47">
        <f>Лист1!AB37</f>
        <v>26923.28</v>
      </c>
      <c r="I43" s="134">
        <f>Лист1!AC37</f>
        <v>30108.2</v>
      </c>
      <c r="J43" s="48">
        <f>Лист1!AG37</f>
        <v>2230.44</v>
      </c>
      <c r="K43" s="20">
        <f>Лист1!AI37+Лист1!AJ37</f>
        <v>3717.4</v>
      </c>
      <c r="L43" s="20">
        <f>Лист1!AH37+Лист1!AK37+Лист1!AL37+Лист1!AM37+Лист1!AN37+Лист1!AO37+Лист1!AP37+Лист1!AQ37+Лист1!AR37</f>
        <v>12750.682</v>
      </c>
      <c r="M43" s="21">
        <f>Лист1!AS37+Лист1!AU37+Лист1!AT37</f>
        <v>15241</v>
      </c>
      <c r="N43" s="21">
        <f>Лист1!AX37</f>
        <v>1487.5</v>
      </c>
      <c r="O43" s="120">
        <f>Лист1!BB37</f>
        <v>35427.022</v>
      </c>
      <c r="P43" s="181">
        <f>Лист1!BC37</f>
        <v>10144.8408</v>
      </c>
      <c r="Q43" s="138">
        <f>Лист1!BD37</f>
        <v>6011.383568000003</v>
      </c>
      <c r="R43" s="49">
        <f>Лист1!BE37</f>
        <v>-2047.3099999999977</v>
      </c>
      <c r="S43" s="1"/>
      <c r="T43" s="1"/>
    </row>
    <row r="44" spans="1:20" ht="12.75">
      <c r="A44" s="13" t="s">
        <v>42</v>
      </c>
      <c r="B44" s="14">
        <f>Лист1!B38</f>
        <v>3717.4</v>
      </c>
      <c r="C44" s="46">
        <f>Лист1!C38</f>
        <v>32155.510000000002</v>
      </c>
      <c r="D44" s="130">
        <f>Лист1!D38</f>
        <v>2871.8600000000006</v>
      </c>
      <c r="E44" s="48">
        <f>Лист1!S38</f>
        <v>28970.589999999997</v>
      </c>
      <c r="F44" s="22">
        <f>Лист1!T38</f>
        <v>313.06</v>
      </c>
      <c r="G44" s="117">
        <f>Лист1!AF38</f>
        <v>21475.046368</v>
      </c>
      <c r="H44" s="47">
        <f>Лист1!AB38</f>
        <v>28004.47</v>
      </c>
      <c r="I44" s="134">
        <f>Лист1!AC38</f>
        <v>31189.390000000003</v>
      </c>
      <c r="J44" s="48">
        <f>Лист1!AG38</f>
        <v>2230.44</v>
      </c>
      <c r="K44" s="20">
        <f>Лист1!AI38+Лист1!AJ38</f>
        <v>3717.4</v>
      </c>
      <c r="L44" s="20">
        <f>Лист1!AH38+Лист1!AK38+Лист1!AL38+Лист1!AM38+Лист1!AN38+Лист1!AO38+Лист1!AP38+Лист1!AQ38+Лист1!AR38</f>
        <v>12750.682</v>
      </c>
      <c r="M44" s="21">
        <f>Лист1!AS38+Лист1!AU38+Лист1!AT38</f>
        <v>2971</v>
      </c>
      <c r="N44" s="21">
        <f>Лист1!AX38</f>
        <v>1645</v>
      </c>
      <c r="O44" s="120">
        <f>Лист1!BB38</f>
        <v>23314.521999999997</v>
      </c>
      <c r="P44" s="181">
        <f>Лист1!BC38</f>
        <v>10144.8408</v>
      </c>
      <c r="Q44" s="138">
        <f>Лист1!BD38</f>
        <v>19205.073568000007</v>
      </c>
      <c r="R44" s="49">
        <f>Лист1!BE38</f>
        <v>-966.1199999999953</v>
      </c>
      <c r="S44" s="1"/>
      <c r="T44" s="1"/>
    </row>
    <row r="45" spans="1:20" ht="13.5" thickBot="1">
      <c r="A45" s="50" t="s">
        <v>43</v>
      </c>
      <c r="B45" s="14">
        <f>Лист1!B39</f>
        <v>3717.4</v>
      </c>
      <c r="C45" s="46">
        <f>Лист1!C39</f>
        <v>32155.510000000002</v>
      </c>
      <c r="D45" s="130">
        <f>Лист1!D39</f>
        <v>2871.8500000000004</v>
      </c>
      <c r="E45" s="48">
        <f>Лист1!S39</f>
        <v>28970.6</v>
      </c>
      <c r="F45" s="22">
        <f>Лист1!T39</f>
        <v>313.06</v>
      </c>
      <c r="G45" s="117">
        <f>Лист1!AF39</f>
        <v>21475.046368</v>
      </c>
      <c r="H45" s="47">
        <f>Лист1!AB39</f>
        <v>27362.469999999998</v>
      </c>
      <c r="I45" s="134">
        <f>Лист1!AC39</f>
        <v>30547.379999999997</v>
      </c>
      <c r="J45" s="48">
        <f>Лист1!AG39</f>
        <v>2230.44</v>
      </c>
      <c r="K45" s="20">
        <f>Лист1!AI39+Лист1!AJ39</f>
        <v>3717.4</v>
      </c>
      <c r="L45" s="20">
        <f>Лист1!AH39+Лист1!AK39+Лист1!AL39+Лист1!AM39+Лист1!AN39+Лист1!AO39+Лист1!AP39+Лист1!AQ39+Лист1!AR39</f>
        <v>12750.682</v>
      </c>
      <c r="M45" s="21">
        <f>Лист1!AS39+Лист1!AU39+Лист1!AT39</f>
        <v>39652.2952</v>
      </c>
      <c r="N45" s="21">
        <f>Лист1!AX39</f>
        <v>1798.9999999999998</v>
      </c>
      <c r="O45" s="120">
        <f>Лист1!BB39</f>
        <v>60149.8172</v>
      </c>
      <c r="P45" s="181">
        <f>Лист1!BC39</f>
        <v>10144.8408</v>
      </c>
      <c r="Q45" s="138">
        <f>Лист1!BD39</f>
        <v>-18272.231632000003</v>
      </c>
      <c r="R45" s="49">
        <f>Лист1!BE39</f>
        <v>-1608.130000000001</v>
      </c>
      <c r="S45" s="1"/>
      <c r="T45" s="1"/>
    </row>
    <row r="46" spans="1:20" s="29" customFormat="1" ht="13.5" thickBot="1">
      <c r="A46" s="52" t="s">
        <v>5</v>
      </c>
      <c r="B46" s="53"/>
      <c r="C46" s="54">
        <f aca="true" t="shared" si="2" ref="C46:R46">SUM(C34:C45)</f>
        <v>385803.8400000001</v>
      </c>
      <c r="D46" s="57">
        <f t="shared" si="2"/>
        <v>34865.74000000003</v>
      </c>
      <c r="E46" s="55">
        <f t="shared" si="2"/>
        <v>316093.66</v>
      </c>
      <c r="F46" s="129">
        <f t="shared" si="2"/>
        <v>34844.43999999999</v>
      </c>
      <c r="G46" s="111">
        <f t="shared" si="2"/>
        <v>256800.55641600004</v>
      </c>
      <c r="H46" s="56">
        <f t="shared" si="2"/>
        <v>337258.6499999999</v>
      </c>
      <c r="I46" s="115">
        <f t="shared" si="2"/>
        <v>406968.83</v>
      </c>
      <c r="J46" s="55">
        <f t="shared" si="2"/>
        <v>26760.959999999995</v>
      </c>
      <c r="K46" s="54">
        <f t="shared" si="2"/>
        <v>44601.600000000006</v>
      </c>
      <c r="L46" s="54">
        <f t="shared" si="2"/>
        <v>152983.488</v>
      </c>
      <c r="M46" s="54">
        <f t="shared" si="2"/>
        <v>171593.7152</v>
      </c>
      <c r="N46" s="54">
        <f t="shared" si="2"/>
        <v>15400</v>
      </c>
      <c r="O46" s="123">
        <f t="shared" si="2"/>
        <v>411339.7631999999</v>
      </c>
      <c r="P46" s="123">
        <f t="shared" si="2"/>
        <v>121513.08960000002</v>
      </c>
      <c r="Q46" s="141">
        <f t="shared" si="2"/>
        <v>130916.53361600003</v>
      </c>
      <c r="R46" s="57">
        <f t="shared" si="2"/>
        <v>21164.99</v>
      </c>
      <c r="S46" s="59"/>
      <c r="T46" s="59"/>
    </row>
    <row r="47" spans="1:20" ht="13.5" thickBot="1">
      <c r="A47" s="106" t="s">
        <v>68</v>
      </c>
      <c r="B47" s="107"/>
      <c r="C47" s="107"/>
      <c r="D47" s="133"/>
      <c r="E47" s="106"/>
      <c r="F47" s="108"/>
      <c r="G47" s="112"/>
      <c r="H47" s="107"/>
      <c r="I47" s="116"/>
      <c r="J47" s="106"/>
      <c r="K47" s="107"/>
      <c r="L47" s="107"/>
      <c r="M47" s="107"/>
      <c r="N47" s="107"/>
      <c r="O47" s="143"/>
      <c r="P47" s="143"/>
      <c r="Q47" s="108"/>
      <c r="R47" s="64"/>
      <c r="S47" s="1"/>
      <c r="T47" s="1"/>
    </row>
    <row r="48" spans="1:20" s="29" customFormat="1" ht="13.5" thickBot="1">
      <c r="A48" s="65" t="s">
        <v>54</v>
      </c>
      <c r="B48" s="66"/>
      <c r="C48" s="67">
        <f aca="true" t="shared" si="3" ref="C48:R48">C18+C32+C46</f>
        <v>867852.77</v>
      </c>
      <c r="D48" s="67">
        <f t="shared" si="3"/>
        <v>96708.55769915003</v>
      </c>
      <c r="E48" s="67">
        <f t="shared" si="3"/>
        <v>644333.27</v>
      </c>
      <c r="F48" s="67">
        <f t="shared" si="3"/>
        <v>116542.88999999997</v>
      </c>
      <c r="G48" s="67">
        <f t="shared" si="3"/>
        <v>452894.3616720001</v>
      </c>
      <c r="H48" s="67">
        <f t="shared" si="3"/>
        <v>637382.4299999999</v>
      </c>
      <c r="I48" s="67">
        <f t="shared" si="3"/>
        <v>850633.87769915</v>
      </c>
      <c r="J48" s="67">
        <f t="shared" si="3"/>
        <v>59306.352</v>
      </c>
      <c r="K48" s="67">
        <f t="shared" si="3"/>
        <v>98450.907410636</v>
      </c>
      <c r="L48" s="67">
        <f t="shared" si="3"/>
        <v>353078.5199274629</v>
      </c>
      <c r="M48" s="67">
        <f t="shared" si="3"/>
        <v>369746.01579999994</v>
      </c>
      <c r="N48" s="67">
        <f t="shared" si="3"/>
        <v>29937.6</v>
      </c>
      <c r="O48" s="67">
        <f t="shared" si="3"/>
        <v>910519.3951380991</v>
      </c>
      <c r="P48" s="67">
        <f t="shared" si="3"/>
        <v>211645.02712074594</v>
      </c>
      <c r="Q48" s="67">
        <f t="shared" si="3"/>
        <v>181363.8171123051</v>
      </c>
      <c r="R48" s="67">
        <f t="shared" si="3"/>
        <v>-6950.840000000004</v>
      </c>
      <c r="S48" s="68"/>
      <c r="T48" s="59"/>
    </row>
  </sheetData>
  <sheetProtection/>
  <mergeCells count="21">
    <mergeCell ref="N11:N12"/>
    <mergeCell ref="G9:G12"/>
    <mergeCell ref="Q9:Q12"/>
    <mergeCell ref="J9:O10"/>
    <mergeCell ref="A5:Q5"/>
    <mergeCell ref="A9:A12"/>
    <mergeCell ref="B9:B12"/>
    <mergeCell ref="C9:C12"/>
    <mergeCell ref="D9:D12"/>
    <mergeCell ref="A6:G6"/>
    <mergeCell ref="O11:O12"/>
    <mergeCell ref="R9:R12"/>
    <mergeCell ref="E11:F11"/>
    <mergeCell ref="I11:I12"/>
    <mergeCell ref="J11:J12"/>
    <mergeCell ref="K11:K12"/>
    <mergeCell ref="H9:I10"/>
    <mergeCell ref="M11:M12"/>
    <mergeCell ref="L11:L12"/>
    <mergeCell ref="P9:P12"/>
    <mergeCell ref="E9:F10"/>
  </mergeCells>
  <printOptions/>
  <pageMargins left="0.23" right="0.2" top="0.17" bottom="0.16" header="0.2" footer="0.19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24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6" sqref="C16:C21"/>
    </sheetView>
  </sheetViews>
  <sheetFormatPr defaultColWidth="9.00390625" defaultRowHeight="12.75"/>
  <cols>
    <col min="1" max="1" width="8.75390625" style="196" bestFit="1" customWidth="1"/>
    <col min="2" max="2" width="9.125" style="196" customWidth="1"/>
    <col min="3" max="3" width="11.375" style="196" customWidth="1"/>
    <col min="4" max="4" width="10.375" style="196" customWidth="1"/>
    <col min="5" max="6" width="9.125" style="196" customWidth="1"/>
    <col min="7" max="7" width="10.25390625" style="196" customWidth="1"/>
    <col min="8" max="8" width="9.125" style="196" customWidth="1"/>
    <col min="9" max="9" width="9.875" style="196" customWidth="1"/>
    <col min="10" max="10" width="9.125" style="196" customWidth="1"/>
    <col min="11" max="11" width="10.375" style="196" customWidth="1"/>
    <col min="12" max="12" width="9.125" style="196" customWidth="1"/>
    <col min="13" max="13" width="10.125" style="196" bestFit="1" customWidth="1"/>
    <col min="14" max="14" width="9.125" style="196" customWidth="1"/>
    <col min="15" max="15" width="10.125" style="196" bestFit="1" customWidth="1"/>
    <col min="16" max="18" width="9.125" style="196" customWidth="1"/>
    <col min="19" max="19" width="10.125" style="196" bestFit="1" customWidth="1"/>
    <col min="20" max="20" width="10.125" style="196" customWidth="1"/>
    <col min="21" max="21" width="10.125" style="196" bestFit="1" customWidth="1"/>
    <col min="22" max="22" width="10.25390625" style="196" customWidth="1"/>
    <col min="23" max="23" width="10.625" style="196" customWidth="1"/>
    <col min="24" max="24" width="10.125" style="196" customWidth="1"/>
    <col min="25" max="28" width="10.125" style="196" bestFit="1" customWidth="1"/>
    <col min="29" max="30" width="11.375" style="196" customWidth="1"/>
    <col min="31" max="31" width="9.25390625" style="196" bestFit="1" customWidth="1"/>
    <col min="32" max="32" width="10.125" style="196" bestFit="1" customWidth="1"/>
    <col min="33" max="33" width="10.25390625" style="196" customWidth="1"/>
    <col min="34" max="35" width="9.25390625" style="196" bestFit="1" customWidth="1"/>
    <col min="36" max="36" width="12.625" style="196" customWidth="1"/>
    <col min="37" max="38" width="9.25390625" style="196" bestFit="1" customWidth="1"/>
    <col min="39" max="39" width="10.125" style="196" bestFit="1" customWidth="1"/>
    <col min="40" max="40" width="9.25390625" style="196" bestFit="1" customWidth="1"/>
    <col min="41" max="42" width="10.125" style="196" bestFit="1" customWidth="1"/>
    <col min="43" max="44" width="9.25390625" style="196" customWidth="1"/>
    <col min="45" max="45" width="10.125" style="196" bestFit="1" customWidth="1"/>
    <col min="46" max="46" width="11.625" style="196" customWidth="1"/>
    <col min="47" max="47" width="10.875" style="196" customWidth="1"/>
    <col min="48" max="48" width="10.625" style="196" customWidth="1"/>
    <col min="49" max="49" width="10.25390625" style="196" customWidth="1"/>
    <col min="50" max="50" width="10.625" style="196" customWidth="1"/>
    <col min="51" max="51" width="9.25390625" style="196" bestFit="1" customWidth="1"/>
    <col min="52" max="53" width="10.125" style="196" bestFit="1" customWidth="1"/>
    <col min="54" max="54" width="11.625" style="196" customWidth="1"/>
    <col min="55" max="55" width="11.75390625" style="196" customWidth="1"/>
    <col min="56" max="56" width="12.125" style="196" customWidth="1"/>
    <col min="57" max="57" width="13.625" style="196" customWidth="1"/>
    <col min="58" max="58" width="11.00390625" style="196" customWidth="1"/>
    <col min="59" max="59" width="10.625" style="196" customWidth="1"/>
    <col min="60" max="16384" width="9.125" style="196" customWidth="1"/>
  </cols>
  <sheetData>
    <row r="1" spans="1:18" ht="21" customHeight="1">
      <c r="A1" s="389" t="s">
        <v>92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195"/>
      <c r="P1" s="195"/>
      <c r="Q1" s="195"/>
      <c r="R1" s="195"/>
    </row>
    <row r="2" spans="1:18" ht="13.5" thickBot="1">
      <c r="A2" s="195"/>
      <c r="B2" s="197"/>
      <c r="C2" s="198"/>
      <c r="D2" s="198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:59" ht="29.25" customHeight="1" thickBot="1">
      <c r="A3" s="426" t="s">
        <v>0</v>
      </c>
      <c r="B3" s="511" t="s">
        <v>1</v>
      </c>
      <c r="C3" s="513" t="s">
        <v>2</v>
      </c>
      <c r="D3" s="515" t="s">
        <v>3</v>
      </c>
      <c r="E3" s="426" t="s">
        <v>93</v>
      </c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27"/>
      <c r="S3" s="426"/>
      <c r="T3" s="489"/>
      <c r="U3" s="426" t="s">
        <v>5</v>
      </c>
      <c r="V3" s="489"/>
      <c r="W3" s="491" t="s">
        <v>6</v>
      </c>
      <c r="X3" s="492"/>
      <c r="Y3" s="492"/>
      <c r="Z3" s="492"/>
      <c r="AA3" s="492"/>
      <c r="AB3" s="492"/>
      <c r="AC3" s="492"/>
      <c r="AD3" s="492"/>
      <c r="AE3" s="492"/>
      <c r="AF3" s="492"/>
      <c r="AG3" s="492"/>
      <c r="AH3" s="492"/>
      <c r="AI3" s="493"/>
      <c r="AJ3" s="497" t="s">
        <v>80</v>
      </c>
      <c r="AK3" s="500" t="s">
        <v>10</v>
      </c>
      <c r="AL3" s="501"/>
      <c r="AM3" s="501"/>
      <c r="AN3" s="501"/>
      <c r="AO3" s="501"/>
      <c r="AP3" s="501"/>
      <c r="AQ3" s="501"/>
      <c r="AR3" s="501"/>
      <c r="AS3" s="501"/>
      <c r="AT3" s="501"/>
      <c r="AU3" s="501"/>
      <c r="AV3" s="501"/>
      <c r="AW3" s="501"/>
      <c r="AX3" s="501"/>
      <c r="AY3" s="501"/>
      <c r="AZ3" s="501"/>
      <c r="BA3" s="501"/>
      <c r="BB3" s="501"/>
      <c r="BC3" s="501"/>
      <c r="BD3" s="501"/>
      <c r="BE3" s="502"/>
      <c r="BF3" s="506" t="s">
        <v>11</v>
      </c>
      <c r="BG3" s="477" t="s">
        <v>12</v>
      </c>
    </row>
    <row r="4" spans="1:59" ht="51.75" customHeight="1" hidden="1" thickBot="1">
      <c r="A4" s="413"/>
      <c r="B4" s="512"/>
      <c r="C4" s="514"/>
      <c r="D4" s="516"/>
      <c r="E4" s="413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414"/>
      <c r="S4" s="428"/>
      <c r="T4" s="490"/>
      <c r="U4" s="428"/>
      <c r="V4" s="490"/>
      <c r="W4" s="494"/>
      <c r="X4" s="495"/>
      <c r="Y4" s="495"/>
      <c r="Z4" s="495"/>
      <c r="AA4" s="495"/>
      <c r="AB4" s="495"/>
      <c r="AC4" s="495"/>
      <c r="AD4" s="495"/>
      <c r="AE4" s="495"/>
      <c r="AF4" s="495"/>
      <c r="AG4" s="495"/>
      <c r="AH4" s="495"/>
      <c r="AI4" s="496"/>
      <c r="AJ4" s="498"/>
      <c r="AK4" s="503"/>
      <c r="AL4" s="504"/>
      <c r="AM4" s="504"/>
      <c r="AN4" s="504"/>
      <c r="AO4" s="504"/>
      <c r="AP4" s="504"/>
      <c r="AQ4" s="504"/>
      <c r="AR4" s="504"/>
      <c r="AS4" s="504"/>
      <c r="AT4" s="504"/>
      <c r="AU4" s="504"/>
      <c r="AV4" s="504"/>
      <c r="AW4" s="504"/>
      <c r="AX4" s="504"/>
      <c r="AY4" s="504"/>
      <c r="AZ4" s="504"/>
      <c r="BA4" s="504"/>
      <c r="BB4" s="504"/>
      <c r="BC4" s="504"/>
      <c r="BD4" s="504"/>
      <c r="BE4" s="505"/>
      <c r="BF4" s="507"/>
      <c r="BG4" s="478"/>
    </row>
    <row r="5" spans="1:61" ht="19.5" customHeight="1">
      <c r="A5" s="413"/>
      <c r="B5" s="512"/>
      <c r="C5" s="514"/>
      <c r="D5" s="516"/>
      <c r="E5" s="480" t="s">
        <v>13</v>
      </c>
      <c r="F5" s="481"/>
      <c r="G5" s="480" t="s">
        <v>94</v>
      </c>
      <c r="H5" s="481"/>
      <c r="I5" s="480" t="s">
        <v>14</v>
      </c>
      <c r="J5" s="481"/>
      <c r="K5" s="480" t="s">
        <v>16</v>
      </c>
      <c r="L5" s="481"/>
      <c r="M5" s="480" t="s">
        <v>15</v>
      </c>
      <c r="N5" s="481"/>
      <c r="O5" s="484" t="s">
        <v>17</v>
      </c>
      <c r="P5" s="484"/>
      <c r="Q5" s="480" t="s">
        <v>95</v>
      </c>
      <c r="R5" s="481"/>
      <c r="S5" s="484" t="s">
        <v>96</v>
      </c>
      <c r="T5" s="481"/>
      <c r="U5" s="487" t="s">
        <v>20</v>
      </c>
      <c r="V5" s="509" t="s">
        <v>21</v>
      </c>
      <c r="W5" s="473" t="s">
        <v>22</v>
      </c>
      <c r="X5" s="473" t="s">
        <v>97</v>
      </c>
      <c r="Y5" s="473" t="s">
        <v>23</v>
      </c>
      <c r="Z5" s="473" t="s">
        <v>25</v>
      </c>
      <c r="AA5" s="473" t="s">
        <v>24</v>
      </c>
      <c r="AB5" s="473" t="s">
        <v>26</v>
      </c>
      <c r="AC5" s="473" t="s">
        <v>27</v>
      </c>
      <c r="AD5" s="475" t="s">
        <v>28</v>
      </c>
      <c r="AE5" s="475" t="s">
        <v>98</v>
      </c>
      <c r="AF5" s="463" t="s">
        <v>29</v>
      </c>
      <c r="AG5" s="465" t="s">
        <v>99</v>
      </c>
      <c r="AH5" s="467" t="s">
        <v>8</v>
      </c>
      <c r="AI5" s="469" t="s">
        <v>9</v>
      </c>
      <c r="AJ5" s="498"/>
      <c r="AK5" s="471" t="s">
        <v>100</v>
      </c>
      <c r="AL5" s="461" t="s">
        <v>101</v>
      </c>
      <c r="AM5" s="461" t="s">
        <v>102</v>
      </c>
      <c r="AN5" s="455" t="s">
        <v>103</v>
      </c>
      <c r="AO5" s="461" t="s">
        <v>104</v>
      </c>
      <c r="AP5" s="455" t="s">
        <v>105</v>
      </c>
      <c r="AQ5" s="455" t="s">
        <v>106</v>
      </c>
      <c r="AR5" s="455" t="s">
        <v>107</v>
      </c>
      <c r="AS5" s="455" t="s">
        <v>108</v>
      </c>
      <c r="AT5" s="455" t="s">
        <v>36</v>
      </c>
      <c r="AU5" s="373" t="s">
        <v>109</v>
      </c>
      <c r="AV5" s="402" t="s">
        <v>110</v>
      </c>
      <c r="AW5" s="373" t="s">
        <v>111</v>
      </c>
      <c r="AX5" s="375" t="s">
        <v>112</v>
      </c>
      <c r="AY5" s="192"/>
      <c r="AZ5" s="453" t="s">
        <v>19</v>
      </c>
      <c r="BA5" s="455" t="s">
        <v>38</v>
      </c>
      <c r="BB5" s="455" t="s">
        <v>33</v>
      </c>
      <c r="BC5" s="457" t="s">
        <v>39</v>
      </c>
      <c r="BD5" s="459" t="s">
        <v>90</v>
      </c>
      <c r="BE5" s="455" t="s">
        <v>113</v>
      </c>
      <c r="BF5" s="507"/>
      <c r="BG5" s="478"/>
      <c r="BH5" s="194"/>
      <c r="BI5" s="199"/>
    </row>
    <row r="6" spans="1:61" ht="56.25" customHeight="1" thickBot="1">
      <c r="A6" s="413"/>
      <c r="B6" s="512"/>
      <c r="C6" s="514"/>
      <c r="D6" s="516"/>
      <c r="E6" s="482"/>
      <c r="F6" s="483"/>
      <c r="G6" s="482"/>
      <c r="H6" s="483"/>
      <c r="I6" s="482"/>
      <c r="J6" s="483"/>
      <c r="K6" s="482"/>
      <c r="L6" s="483"/>
      <c r="M6" s="482"/>
      <c r="N6" s="483"/>
      <c r="O6" s="485"/>
      <c r="P6" s="485"/>
      <c r="Q6" s="482"/>
      <c r="R6" s="483"/>
      <c r="S6" s="486"/>
      <c r="T6" s="483"/>
      <c r="U6" s="488"/>
      <c r="V6" s="510"/>
      <c r="W6" s="474"/>
      <c r="X6" s="474"/>
      <c r="Y6" s="474"/>
      <c r="Z6" s="474"/>
      <c r="AA6" s="474"/>
      <c r="AB6" s="474"/>
      <c r="AC6" s="474"/>
      <c r="AD6" s="476"/>
      <c r="AE6" s="476"/>
      <c r="AF6" s="464"/>
      <c r="AG6" s="466"/>
      <c r="AH6" s="468"/>
      <c r="AI6" s="470"/>
      <c r="AJ6" s="499"/>
      <c r="AK6" s="472"/>
      <c r="AL6" s="462"/>
      <c r="AM6" s="462"/>
      <c r="AN6" s="456"/>
      <c r="AO6" s="462"/>
      <c r="AP6" s="456"/>
      <c r="AQ6" s="456"/>
      <c r="AR6" s="456"/>
      <c r="AS6" s="456"/>
      <c r="AT6" s="456"/>
      <c r="AU6" s="374"/>
      <c r="AV6" s="403"/>
      <c r="AW6" s="374"/>
      <c r="AX6" s="376"/>
      <c r="AY6" s="193" t="s">
        <v>114</v>
      </c>
      <c r="AZ6" s="454"/>
      <c r="BA6" s="456"/>
      <c r="BB6" s="456"/>
      <c r="BC6" s="458"/>
      <c r="BD6" s="460"/>
      <c r="BE6" s="456"/>
      <c r="BF6" s="508"/>
      <c r="BG6" s="479"/>
      <c r="BH6" s="194"/>
      <c r="BI6" s="199"/>
    </row>
    <row r="7" spans="1:61" ht="19.5" customHeight="1" thickBot="1">
      <c r="A7" s="200">
        <v>1</v>
      </c>
      <c r="B7" s="42">
        <v>2</v>
      </c>
      <c r="C7" s="42">
        <v>3</v>
      </c>
      <c r="D7" s="200">
        <v>4</v>
      </c>
      <c r="E7" s="42">
        <v>5</v>
      </c>
      <c r="F7" s="42">
        <v>6</v>
      </c>
      <c r="G7" s="200">
        <v>7</v>
      </c>
      <c r="H7" s="42">
        <v>8</v>
      </c>
      <c r="I7" s="42">
        <v>9</v>
      </c>
      <c r="J7" s="200">
        <v>10</v>
      </c>
      <c r="K7" s="42">
        <v>11</v>
      </c>
      <c r="L7" s="42">
        <v>12</v>
      </c>
      <c r="M7" s="200">
        <v>13</v>
      </c>
      <c r="N7" s="42">
        <v>14</v>
      </c>
      <c r="O7" s="42">
        <v>15</v>
      </c>
      <c r="P7" s="200">
        <v>16</v>
      </c>
      <c r="Q7" s="42">
        <v>17</v>
      </c>
      <c r="R7" s="42">
        <v>18</v>
      </c>
      <c r="S7" s="200">
        <v>19</v>
      </c>
      <c r="T7" s="42">
        <v>20</v>
      </c>
      <c r="U7" s="42">
        <v>21</v>
      </c>
      <c r="V7" s="200">
        <v>22</v>
      </c>
      <c r="W7" s="42">
        <v>23</v>
      </c>
      <c r="X7" s="200">
        <v>24</v>
      </c>
      <c r="Y7" s="42">
        <v>25</v>
      </c>
      <c r="Z7" s="200">
        <v>26</v>
      </c>
      <c r="AA7" s="42">
        <v>27</v>
      </c>
      <c r="AB7" s="200">
        <v>28</v>
      </c>
      <c r="AC7" s="42">
        <v>29</v>
      </c>
      <c r="AD7" s="200">
        <v>30</v>
      </c>
      <c r="AE7" s="200">
        <v>31</v>
      </c>
      <c r="AF7" s="42">
        <v>32</v>
      </c>
      <c r="AG7" s="200">
        <v>33</v>
      </c>
      <c r="AH7" s="42">
        <v>34</v>
      </c>
      <c r="AI7" s="200">
        <v>35</v>
      </c>
      <c r="AJ7" s="42">
        <v>36</v>
      </c>
      <c r="AK7" s="200">
        <v>37</v>
      </c>
      <c r="AL7" s="42">
        <v>38</v>
      </c>
      <c r="AM7" s="200">
        <v>39</v>
      </c>
      <c r="AN7" s="200">
        <v>40</v>
      </c>
      <c r="AO7" s="42">
        <v>41</v>
      </c>
      <c r="AP7" s="200">
        <v>42</v>
      </c>
      <c r="AQ7" s="42">
        <v>43</v>
      </c>
      <c r="AR7" s="200"/>
      <c r="AS7" s="200">
        <v>44</v>
      </c>
      <c r="AT7" s="42">
        <v>45</v>
      </c>
      <c r="AU7" s="200">
        <v>46</v>
      </c>
      <c r="AV7" s="42">
        <v>47</v>
      </c>
      <c r="AW7" s="200">
        <v>48</v>
      </c>
      <c r="AX7" s="200">
        <v>49</v>
      </c>
      <c r="AY7" s="42"/>
      <c r="AZ7" s="42">
        <v>50</v>
      </c>
      <c r="BA7" s="42">
        <v>51</v>
      </c>
      <c r="BB7" s="42">
        <v>52</v>
      </c>
      <c r="BC7" s="42">
        <v>53</v>
      </c>
      <c r="BD7" s="42">
        <v>54</v>
      </c>
      <c r="BE7" s="42"/>
      <c r="BF7" s="42">
        <v>55</v>
      </c>
      <c r="BG7" s="42">
        <v>56</v>
      </c>
      <c r="BH7" s="199"/>
      <c r="BI7" s="199"/>
    </row>
    <row r="8" spans="1:59" s="29" customFormat="1" ht="13.5" thickBot="1">
      <c r="A8" s="33" t="s">
        <v>54</v>
      </c>
      <c r="B8" s="201"/>
      <c r="C8" s="201">
        <f>Лист1!C42</f>
        <v>867852.77</v>
      </c>
      <c r="D8" s="201">
        <f>Лист1!D42</f>
        <v>96708.55769915003</v>
      </c>
      <c r="E8" s="201">
        <f>Лист1!E42</f>
        <v>75298.04999999999</v>
      </c>
      <c r="F8" s="201">
        <f>Лист1!F42</f>
        <v>13417.149999999998</v>
      </c>
      <c r="G8" s="201">
        <f>0</f>
        <v>0</v>
      </c>
      <c r="H8" s="201">
        <f>0</f>
        <v>0</v>
      </c>
      <c r="I8" s="201">
        <f>Лист1!G42</f>
        <v>100551.78000000001</v>
      </c>
      <c r="J8" s="201">
        <f>Лист1!H42</f>
        <v>18163.910000000003</v>
      </c>
      <c r="K8" s="201">
        <f>Лист1!K42</f>
        <v>167420.55</v>
      </c>
      <c r="L8" s="201">
        <f>Лист1!L42</f>
        <v>30238.699999999997</v>
      </c>
      <c r="M8" s="201">
        <f>Лист1!I42</f>
        <v>241624.74</v>
      </c>
      <c r="N8" s="201">
        <f>Лист1!J42</f>
        <v>43989.270000000004</v>
      </c>
      <c r="O8" s="201">
        <f>Лист1!M42</f>
        <v>59438.149999999994</v>
      </c>
      <c r="P8" s="201">
        <f>Лист1!N42</f>
        <v>10733.86</v>
      </c>
      <c r="Q8" s="201">
        <f>'[10]Лист1'!O44</f>
        <v>0</v>
      </c>
      <c r="R8" s="201">
        <f>'[10]Лист1'!P44</f>
        <v>0</v>
      </c>
      <c r="S8" s="201">
        <f>'[10]Лист1'!Q44</f>
        <v>0</v>
      </c>
      <c r="T8" s="201">
        <f>'[10]Лист1'!R44</f>
        <v>0</v>
      </c>
      <c r="U8" s="201">
        <f>Лист1!S42</f>
        <v>644333.27</v>
      </c>
      <c r="V8" s="201">
        <f>Лист1!T42</f>
        <v>116542.88999999997</v>
      </c>
      <c r="W8" s="201">
        <f>Лист1!U42</f>
        <v>72927.65</v>
      </c>
      <c r="X8" s="201">
        <v>0</v>
      </c>
      <c r="Y8" s="201">
        <f>Лист1!V42</f>
        <v>98676.67</v>
      </c>
      <c r="Z8" s="201">
        <f>Лист1!X42</f>
        <v>164311.52000000002</v>
      </c>
      <c r="AA8" s="201">
        <f>Лист1!W42</f>
        <v>243125.05</v>
      </c>
      <c r="AB8" s="201">
        <f>Лист1!Y42</f>
        <v>58341.53999999999</v>
      </c>
      <c r="AC8" s="201">
        <f>'[9]Лист1'!Z42</f>
        <v>0</v>
      </c>
      <c r="AD8" s="201">
        <f>'[9]Лист1'!AA42</f>
        <v>0</v>
      </c>
      <c r="AE8" s="201">
        <f>0</f>
        <v>0</v>
      </c>
      <c r="AF8" s="201">
        <f>Лист1!AB42</f>
        <v>637382.4299999999</v>
      </c>
      <c r="AG8" s="201">
        <f>Лист1!AC42</f>
        <v>850633.87769915</v>
      </c>
      <c r="AH8" s="201">
        <f>Лист1!AD42</f>
        <v>0</v>
      </c>
      <c r="AI8" s="201">
        <f>'[9]Лист1'!AE42</f>
        <v>0</v>
      </c>
      <c r="AJ8" s="201">
        <f>Лист1!AF42</f>
        <v>452894.3616720001</v>
      </c>
      <c r="AK8" s="201">
        <f>Лист1!AG42</f>
        <v>59306.352</v>
      </c>
      <c r="AL8" s="201">
        <f>Лист1!AH42</f>
        <v>19872.4934684</v>
      </c>
      <c r="AM8" s="201">
        <f>Лист1!AI42+Лист1!AJ42</f>
        <v>98450.90741063599</v>
      </c>
      <c r="AN8" s="201">
        <v>0</v>
      </c>
      <c r="AO8" s="201">
        <f>Лист1!AK42+Лист1!AL42</f>
        <v>98196.97172426361</v>
      </c>
      <c r="AP8" s="201">
        <f>Лист1!AM42+Лист1!AN42</f>
        <v>219674.57713479936</v>
      </c>
      <c r="AQ8" s="201">
        <v>0</v>
      </c>
      <c r="AR8" s="201">
        <v>0</v>
      </c>
      <c r="AS8" s="201">
        <v>0</v>
      </c>
      <c r="AT8" s="201">
        <f>Лист1!AO42+Лист1!AP42</f>
        <v>0</v>
      </c>
      <c r="AU8" s="201">
        <f>Лист1!AS42</f>
        <v>265920.67</v>
      </c>
      <c r="AV8" s="201">
        <v>0</v>
      </c>
      <c r="AW8" s="201">
        <f>Лист1!AT42+Лист1!AU42</f>
        <v>103825.3458</v>
      </c>
      <c r="AX8" s="201">
        <f>Лист1!AQ42+Лист1!AR42</f>
        <v>15334.4776</v>
      </c>
      <c r="AY8" s="202">
        <f>Лист1!AX42</f>
        <v>29937.6</v>
      </c>
      <c r="AZ8" s="202">
        <f>'[10]Лист1'!AY44</f>
        <v>0</v>
      </c>
      <c r="BA8" s="202">
        <v>0</v>
      </c>
      <c r="BB8" s="202">
        <v>0</v>
      </c>
      <c r="BC8" s="202">
        <f>Лист1!BB42</f>
        <v>910519.3951380991</v>
      </c>
      <c r="BD8" s="201">
        <f>Лист1!BC42</f>
        <v>211645.02712074594</v>
      </c>
      <c r="BE8" s="203">
        <f>BC8+BD8</f>
        <v>1122164.422258845</v>
      </c>
      <c r="BF8" s="204">
        <f>Лист1!BD42</f>
        <v>181363.8171123051</v>
      </c>
      <c r="BG8" s="205">
        <f>Лист1!BE42</f>
        <v>-6950.840000000004</v>
      </c>
    </row>
    <row r="9" spans="1:59" ht="12.75">
      <c r="A9" s="5" t="s">
        <v>115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7"/>
      <c r="BF9" s="204"/>
      <c r="BG9" s="205"/>
    </row>
    <row r="10" spans="1:67" ht="12.75">
      <c r="A10" s="208" t="s">
        <v>45</v>
      </c>
      <c r="B10" s="209">
        <v>3717.4</v>
      </c>
      <c r="C10" s="170">
        <f aca="true" t="shared" si="0" ref="C10:C15">B10*8.55</f>
        <v>31783.770000000004</v>
      </c>
      <c r="D10" s="151">
        <v>214.6584</v>
      </c>
      <c r="E10" s="217">
        <v>0</v>
      </c>
      <c r="F10" s="217">
        <v>0</v>
      </c>
      <c r="G10" s="216">
        <v>19649.65</v>
      </c>
      <c r="H10" s="216">
        <v>0</v>
      </c>
      <c r="I10" s="216">
        <v>0</v>
      </c>
      <c r="J10" s="216">
        <v>0</v>
      </c>
      <c r="K10" s="216">
        <v>0</v>
      </c>
      <c r="L10" s="216">
        <v>0</v>
      </c>
      <c r="M10" s="216">
        <v>9297.65</v>
      </c>
      <c r="N10" s="216">
        <v>130.51</v>
      </c>
      <c r="O10" s="296">
        <v>3241.36</v>
      </c>
      <c r="P10" s="301">
        <v>28.71</v>
      </c>
      <c r="Q10" s="212">
        <v>0</v>
      </c>
      <c r="R10" s="213">
        <v>0</v>
      </c>
      <c r="S10" s="244">
        <v>0</v>
      </c>
      <c r="T10" s="237">
        <v>0</v>
      </c>
      <c r="U10" s="214">
        <f aca="true" t="shared" si="1" ref="U10:V21">E10+G10+I10+K10+M10+O10+Q10+S10</f>
        <v>32188.660000000003</v>
      </c>
      <c r="V10" s="215">
        <f t="shared" si="1"/>
        <v>159.22</v>
      </c>
      <c r="W10" s="216">
        <v>2368.46</v>
      </c>
      <c r="X10" s="216"/>
      <c r="Y10" s="216">
        <v>3207.86</v>
      </c>
      <c r="Z10" s="216">
        <v>5339.32</v>
      </c>
      <c r="AA10" s="216">
        <v>7533.71</v>
      </c>
      <c r="AB10" s="216">
        <v>2665.37</v>
      </c>
      <c r="AC10" s="216">
        <v>0</v>
      </c>
      <c r="AD10" s="217">
        <v>0</v>
      </c>
      <c r="AE10" s="218">
        <v>0</v>
      </c>
      <c r="AF10" s="218">
        <f>SUM(W10:AE10)</f>
        <v>21114.719999999998</v>
      </c>
      <c r="AG10" s="219">
        <f>AF10+V10+D10</f>
        <v>21488.5984</v>
      </c>
      <c r="AH10" s="220">
        <f aca="true" t="shared" si="2" ref="AH10:AI21">AC10</f>
        <v>0</v>
      </c>
      <c r="AI10" s="220">
        <f t="shared" si="2"/>
        <v>0</v>
      </c>
      <c r="AJ10" s="221">
        <f>'[11]Т01'!$I$4+'[11]Т01'!$I$11+'[11]Т01'!$I$16+'[11]Т01'!$I$43+'[11]Т01'!$I$50+'[11]Т01'!$I$93+'[11]Т01'!$I$94+'[11]Т01'!$I$147</f>
        <v>21463.450800000002</v>
      </c>
      <c r="AK10" s="222">
        <f aca="true" t="shared" si="3" ref="AK10:AK21">0.67*B10</f>
        <v>2490.6580000000004</v>
      </c>
      <c r="AL10" s="222">
        <f aca="true" t="shared" si="4" ref="AL10:AL21">B10*0.2</f>
        <v>743.48</v>
      </c>
      <c r="AM10" s="222">
        <f aca="true" t="shared" si="5" ref="AM10:AM21">B10*1</f>
        <v>3717.4</v>
      </c>
      <c r="AN10" s="222">
        <f aca="true" t="shared" si="6" ref="AN10:AN21">B10*0.21</f>
        <v>780.654</v>
      </c>
      <c r="AO10" s="222">
        <f aca="true" t="shared" si="7" ref="AO10:AO21">2.02*B10</f>
        <v>7509.148</v>
      </c>
      <c r="AP10" s="222">
        <f aca="true" t="shared" si="8" ref="AP10:AP21">B10*1.03</f>
        <v>3828.922</v>
      </c>
      <c r="AQ10" s="222">
        <f aca="true" t="shared" si="9" ref="AQ10:AQ21">B10*0.75</f>
        <v>2788.05</v>
      </c>
      <c r="AR10" s="222">
        <f aca="true" t="shared" si="10" ref="AR10:AR21">B10*0.75</f>
        <v>2788.05</v>
      </c>
      <c r="AS10" s="222">
        <f>B10*1.15</f>
        <v>4275.01</v>
      </c>
      <c r="AT10" s="222"/>
      <c r="AU10" s="223">
        <v>4373</v>
      </c>
      <c r="AV10" s="224">
        <v>125</v>
      </c>
      <c r="AW10" s="223"/>
      <c r="AX10" s="223">
        <f>7.24+15+23.1+20.8</f>
        <v>66.14</v>
      </c>
      <c r="AY10" s="223"/>
      <c r="AZ10" s="159"/>
      <c r="BA10" s="171"/>
      <c r="BB10" s="225">
        <f>BA10*0.18</f>
        <v>0</v>
      </c>
      <c r="BC10" s="225">
        <f aca="true" t="shared" si="11" ref="BC10:BC21">SUM(AK10:BB10)</f>
        <v>33485.511999999995</v>
      </c>
      <c r="BD10" s="226">
        <f>'[11]Т01'!$R$4+'[11]Т01'!$R$11+'[11]Т01'!$R$16+'[11]Т01'!$R$43+'[11]Т01'!$R$50+'[11]Т01'!$R$93+'[11]Т01'!$R$94+'[11]Т01'!$R$147</f>
        <v>15330.5336</v>
      </c>
      <c r="BE10" s="226">
        <f>BC10+BD10</f>
        <v>48816.0456</v>
      </c>
      <c r="BF10" s="226">
        <f>AG10+AJ10-BE10</f>
        <v>-5863.996399999996</v>
      </c>
      <c r="BG10" s="226">
        <f>AF10-U10</f>
        <v>-11073.940000000006</v>
      </c>
      <c r="BH10" s="225"/>
      <c r="BI10" s="204"/>
      <c r="BJ10" s="204"/>
      <c r="BK10" s="205"/>
      <c r="BL10" s="227"/>
      <c r="BM10" s="228"/>
      <c r="BN10" s="229"/>
      <c r="BO10" s="230"/>
    </row>
    <row r="11" spans="1:65" ht="12.75">
      <c r="A11" s="208" t="s">
        <v>46</v>
      </c>
      <c r="B11" s="209">
        <v>3717.4</v>
      </c>
      <c r="C11" s="170">
        <f t="shared" si="0"/>
        <v>31783.770000000004</v>
      </c>
      <c r="D11" s="151">
        <v>158.09860000000003</v>
      </c>
      <c r="E11" s="217">
        <v>0</v>
      </c>
      <c r="F11" s="217">
        <v>0</v>
      </c>
      <c r="G11" s="216">
        <v>18642.11</v>
      </c>
      <c r="H11" s="216">
        <v>0</v>
      </c>
      <c r="I11" s="216">
        <v>0</v>
      </c>
      <c r="J11" s="216">
        <v>0</v>
      </c>
      <c r="K11" s="216">
        <v>0</v>
      </c>
      <c r="L11" s="216">
        <v>0</v>
      </c>
      <c r="M11" s="216">
        <v>9297.65</v>
      </c>
      <c r="N11" s="216">
        <v>0</v>
      </c>
      <c r="O11" s="296">
        <v>3241.36</v>
      </c>
      <c r="P11" s="301">
        <v>0</v>
      </c>
      <c r="Q11" s="217">
        <v>0</v>
      </c>
      <c r="R11" s="217">
        <v>0</v>
      </c>
      <c r="S11" s="217">
        <v>0</v>
      </c>
      <c r="T11" s="216">
        <v>0</v>
      </c>
      <c r="U11" s="231">
        <f t="shared" si="1"/>
        <v>31181.120000000003</v>
      </c>
      <c r="V11" s="215">
        <f t="shared" si="1"/>
        <v>0</v>
      </c>
      <c r="W11" s="216">
        <v>693.08</v>
      </c>
      <c r="X11" s="217">
        <v>13963.42</v>
      </c>
      <c r="Y11" s="216">
        <v>939.18</v>
      </c>
      <c r="Z11" s="216">
        <v>1563.18</v>
      </c>
      <c r="AA11" s="216">
        <v>7752.12</v>
      </c>
      <c r="AB11" s="216">
        <v>2826.68</v>
      </c>
      <c r="AC11" s="216">
        <v>0</v>
      </c>
      <c r="AD11" s="217">
        <v>0</v>
      </c>
      <c r="AE11" s="217">
        <v>0</v>
      </c>
      <c r="AF11" s="218">
        <f>SUM(W11:AE11)</f>
        <v>27737.66</v>
      </c>
      <c r="AG11" s="219">
        <f>AF11+V11+D11</f>
        <v>27895.7586</v>
      </c>
      <c r="AH11" s="220">
        <f t="shared" si="2"/>
        <v>0</v>
      </c>
      <c r="AI11" s="220">
        <f t="shared" si="2"/>
        <v>0</v>
      </c>
      <c r="AJ11" s="221">
        <f>'[11]Т02'!$J$4+'[11]Т02'!$J$11+'[11]Т02'!$J$16+'[11]Т02'!$J$43+'[11]Т02'!$J$50+'[11]Т02'!$J$93+'[11]Т02'!$J$94+'[11]Т02'!$J$149</f>
        <v>21463.460799999997</v>
      </c>
      <c r="AK11" s="222">
        <f t="shared" si="3"/>
        <v>2490.6580000000004</v>
      </c>
      <c r="AL11" s="222">
        <f t="shared" si="4"/>
        <v>743.48</v>
      </c>
      <c r="AM11" s="222">
        <f t="shared" si="5"/>
        <v>3717.4</v>
      </c>
      <c r="AN11" s="222">
        <f t="shared" si="6"/>
        <v>780.654</v>
      </c>
      <c r="AO11" s="222">
        <f t="shared" si="7"/>
        <v>7509.148</v>
      </c>
      <c r="AP11" s="222">
        <f t="shared" si="8"/>
        <v>3828.922</v>
      </c>
      <c r="AQ11" s="222">
        <f t="shared" si="9"/>
        <v>2788.05</v>
      </c>
      <c r="AR11" s="222">
        <f t="shared" si="10"/>
        <v>2788.05</v>
      </c>
      <c r="AS11" s="222">
        <f>B11*1.15</f>
        <v>4275.01</v>
      </c>
      <c r="AT11" s="222"/>
      <c r="AU11" s="223">
        <v>1289</v>
      </c>
      <c r="AV11" s="224"/>
      <c r="AW11" s="223"/>
      <c r="AX11" s="223">
        <f>22.56+141+15</f>
        <v>178.56</v>
      </c>
      <c r="AY11" s="223"/>
      <c r="AZ11" s="159"/>
      <c r="BA11" s="171"/>
      <c r="BB11" s="225">
        <f>BA11*0.18</f>
        <v>0</v>
      </c>
      <c r="BC11" s="225">
        <f t="shared" si="11"/>
        <v>30388.931999999997</v>
      </c>
      <c r="BD11" s="226">
        <f>'[11]Т02'!$S$4+'[11]Т02'!$S$11+'[11]Т02'!$S$16+'[11]Т02'!$S$43+'[11]Т02'!$S$50+'[11]Т02'!$S$93+'[11]Т02'!$S$94+'[11]Т02'!$S$148</f>
        <v>15330.5336</v>
      </c>
      <c r="BE11" s="226">
        <f aca="true" t="shared" si="12" ref="BE11:BE21">BC11+BD11</f>
        <v>45719.465599999996</v>
      </c>
      <c r="BF11" s="226">
        <f aca="true" t="shared" si="13" ref="BF11:BF21">AG11+AJ11-BE11</f>
        <v>3639.753800000006</v>
      </c>
      <c r="BG11" s="226">
        <f aca="true" t="shared" si="14" ref="BG11:BG21">AF11-U11</f>
        <v>-3443.4600000000028</v>
      </c>
      <c r="BH11" s="225"/>
      <c r="BI11" s="204"/>
      <c r="BJ11" s="204"/>
      <c r="BK11" s="205"/>
      <c r="BL11" s="228"/>
      <c r="BM11" s="232"/>
    </row>
    <row r="12" spans="1:64" ht="12.75">
      <c r="A12" s="208" t="s">
        <v>47</v>
      </c>
      <c r="B12" s="209">
        <v>3717.4</v>
      </c>
      <c r="C12" s="170">
        <f t="shared" si="0"/>
        <v>31783.770000000004</v>
      </c>
      <c r="D12" s="151">
        <v>158.09860000000003</v>
      </c>
      <c r="E12" s="217">
        <v>0.15</v>
      </c>
      <c r="F12" s="217">
        <v>0</v>
      </c>
      <c r="G12" s="216">
        <v>19172.96</v>
      </c>
      <c r="H12" s="216">
        <v>268.83</v>
      </c>
      <c r="I12" s="216">
        <v>0.13</v>
      </c>
      <c r="J12" s="216">
        <v>0</v>
      </c>
      <c r="K12" s="216">
        <v>0.27</v>
      </c>
      <c r="L12" s="216">
        <v>0</v>
      </c>
      <c r="M12" s="216">
        <v>9311.36</v>
      </c>
      <c r="N12" s="216">
        <v>130.51</v>
      </c>
      <c r="O12" s="296">
        <v>3246.23</v>
      </c>
      <c r="P12" s="301">
        <v>28.71</v>
      </c>
      <c r="Q12" s="210">
        <v>0</v>
      </c>
      <c r="R12" s="210">
        <v>0</v>
      </c>
      <c r="S12" s="210">
        <v>0</v>
      </c>
      <c r="T12" s="216">
        <v>0</v>
      </c>
      <c r="U12" s="216">
        <f t="shared" si="1"/>
        <v>31731.100000000002</v>
      </c>
      <c r="V12" s="233">
        <f t="shared" si="1"/>
        <v>428.04999999999995</v>
      </c>
      <c r="W12" s="234">
        <v>1197.92</v>
      </c>
      <c r="X12" s="217">
        <v>18518.88</v>
      </c>
      <c r="Y12" s="216">
        <v>539.53</v>
      </c>
      <c r="Z12" s="216">
        <v>897.79</v>
      </c>
      <c r="AA12" s="216">
        <v>8052.26</v>
      </c>
      <c r="AB12" s="216">
        <v>3379.91</v>
      </c>
      <c r="AC12" s="216">
        <v>0</v>
      </c>
      <c r="AD12" s="217">
        <v>0</v>
      </c>
      <c r="AE12" s="216">
        <v>0</v>
      </c>
      <c r="AF12" s="235">
        <f>SUM(W12:AE12)</f>
        <v>32586.290000000005</v>
      </c>
      <c r="AG12" s="219">
        <f>AF12+V12+D12</f>
        <v>33172.4386</v>
      </c>
      <c r="AH12" s="220">
        <f t="shared" si="2"/>
        <v>0</v>
      </c>
      <c r="AI12" s="220">
        <f t="shared" si="2"/>
        <v>0</v>
      </c>
      <c r="AJ12" s="221">
        <f>'[11]Т03'!$J$4+'[11]Т03'!$J$11+'[11]Т03'!$J$16+'[11]Т03'!$J$43+'[11]Т03'!$J$50+'[11]Т03'!$J$93+'[11]Т03'!$J$94+'[11]Т03'!$J$149</f>
        <v>21463.460799999997</v>
      </c>
      <c r="AK12" s="222">
        <f t="shared" si="3"/>
        <v>2490.6580000000004</v>
      </c>
      <c r="AL12" s="222">
        <f t="shared" si="4"/>
        <v>743.48</v>
      </c>
      <c r="AM12" s="222">
        <f t="shared" si="5"/>
        <v>3717.4</v>
      </c>
      <c r="AN12" s="222">
        <f t="shared" si="6"/>
        <v>780.654</v>
      </c>
      <c r="AO12" s="222">
        <f t="shared" si="7"/>
        <v>7509.148</v>
      </c>
      <c r="AP12" s="222">
        <f t="shared" si="8"/>
        <v>3828.922</v>
      </c>
      <c r="AQ12" s="222">
        <f t="shared" si="9"/>
        <v>2788.05</v>
      </c>
      <c r="AR12" s="222">
        <f t="shared" si="10"/>
        <v>2788.05</v>
      </c>
      <c r="AS12" s="222">
        <f>B12*1.15</f>
        <v>4275.01</v>
      </c>
      <c r="AT12" s="222"/>
      <c r="AU12" s="223"/>
      <c r="AV12" s="302"/>
      <c r="AW12" s="223"/>
      <c r="AX12" s="223">
        <f>'[12]март 2011'!$F$163+12000</f>
        <v>12234</v>
      </c>
      <c r="AY12" s="223"/>
      <c r="AZ12" s="159"/>
      <c r="BA12" s="171"/>
      <c r="BB12" s="225">
        <f>BA12*0.18</f>
        <v>0</v>
      </c>
      <c r="BC12" s="225">
        <f t="shared" si="11"/>
        <v>41155.371999999996</v>
      </c>
      <c r="BD12" s="226">
        <f>'[11]Т03'!$S$4+'[11]Т03'!$S$11+'[11]Т03'!$S$16+'[11]Т03'!$S$43+'[11]Т03'!$S$50+'[11]Т03'!$S$93+'[11]Т03'!$S$94+'[11]Т03'!$S$149</f>
        <v>15330.5336</v>
      </c>
      <c r="BE12" s="226">
        <f t="shared" si="12"/>
        <v>56485.9056</v>
      </c>
      <c r="BF12" s="226">
        <f t="shared" si="13"/>
        <v>-1850.0062000000034</v>
      </c>
      <c r="BG12" s="226">
        <f t="shared" si="14"/>
        <v>855.1900000000023</v>
      </c>
      <c r="BH12" s="225"/>
      <c r="BI12" s="204"/>
      <c r="BJ12" s="204"/>
      <c r="BK12" s="228"/>
      <c r="BL12" s="232"/>
    </row>
    <row r="13" spans="1:66" ht="12.75">
      <c r="A13" s="208" t="s">
        <v>48</v>
      </c>
      <c r="B13" s="209">
        <v>3717.4</v>
      </c>
      <c r="C13" s="170">
        <f t="shared" si="0"/>
        <v>31783.770000000004</v>
      </c>
      <c r="D13" s="236">
        <v>158.09860000000003</v>
      </c>
      <c r="E13" s="244">
        <v>0</v>
      </c>
      <c r="F13" s="217">
        <v>0</v>
      </c>
      <c r="G13" s="234">
        <v>19168.28</v>
      </c>
      <c r="H13" s="216">
        <v>0</v>
      </c>
      <c r="I13" s="216">
        <v>0</v>
      </c>
      <c r="J13" s="216">
        <v>0</v>
      </c>
      <c r="K13" s="216">
        <v>0</v>
      </c>
      <c r="L13" s="216">
        <v>0</v>
      </c>
      <c r="M13" s="216">
        <v>9308.66</v>
      </c>
      <c r="N13" s="216">
        <v>0</v>
      </c>
      <c r="O13" s="296">
        <v>3245.29</v>
      </c>
      <c r="P13" s="301">
        <v>0</v>
      </c>
      <c r="Q13" s="303">
        <v>0</v>
      </c>
      <c r="R13" s="299">
        <v>0</v>
      </c>
      <c r="S13" s="304">
        <v>0</v>
      </c>
      <c r="T13" s="237">
        <v>0</v>
      </c>
      <c r="U13" s="231">
        <f t="shared" si="1"/>
        <v>31722.23</v>
      </c>
      <c r="V13" s="233">
        <f t="shared" si="1"/>
        <v>0</v>
      </c>
      <c r="W13" s="216">
        <v>232.25</v>
      </c>
      <c r="X13" s="217">
        <v>17745.42</v>
      </c>
      <c r="Y13" s="216">
        <v>1164.66</v>
      </c>
      <c r="Z13" s="216">
        <v>523.6</v>
      </c>
      <c r="AA13" s="216">
        <v>8566.25</v>
      </c>
      <c r="AB13" s="217">
        <v>2974.15</v>
      </c>
      <c r="AC13" s="216">
        <v>0</v>
      </c>
      <c r="AD13" s="217">
        <v>0</v>
      </c>
      <c r="AE13" s="217">
        <v>0</v>
      </c>
      <c r="AF13" s="218">
        <f>SUM(W13:AD13)</f>
        <v>31206.329999999998</v>
      </c>
      <c r="AG13" s="238">
        <f>AF13+V13+D13</f>
        <v>31364.4286</v>
      </c>
      <c r="AH13" s="239">
        <f t="shared" si="2"/>
        <v>0</v>
      </c>
      <c r="AI13" s="239">
        <f t="shared" si="2"/>
        <v>0</v>
      </c>
      <c r="AJ13" s="240">
        <f>'[13]Т04'!$J$4+'[13]Т04'!$J$11+'[13]Т04'!$J$16+'[13]Т04'!$J$43+'[13]Т04'!$J$50+'[13]Т04'!$J$94+'[13]Т04'!$J$95+'[13]Т04'!$J$151</f>
        <v>21463.460799999997</v>
      </c>
      <c r="AK13" s="222">
        <f t="shared" si="3"/>
        <v>2490.6580000000004</v>
      </c>
      <c r="AL13" s="222">
        <f t="shared" si="4"/>
        <v>743.48</v>
      </c>
      <c r="AM13" s="222">
        <f t="shared" si="5"/>
        <v>3717.4</v>
      </c>
      <c r="AN13" s="222">
        <f t="shared" si="6"/>
        <v>780.654</v>
      </c>
      <c r="AO13" s="222">
        <f t="shared" si="7"/>
        <v>7509.148</v>
      </c>
      <c r="AP13" s="222">
        <f t="shared" si="8"/>
        <v>3828.922</v>
      </c>
      <c r="AQ13" s="222">
        <f t="shared" si="9"/>
        <v>2788.05</v>
      </c>
      <c r="AR13" s="222">
        <f t="shared" si="10"/>
        <v>2788.05</v>
      </c>
      <c r="AS13" s="222"/>
      <c r="AT13" s="241"/>
      <c r="AU13" s="242">
        <v>378</v>
      </c>
      <c r="AV13" s="242">
        <v>413</v>
      </c>
      <c r="AW13" s="242"/>
      <c r="AX13" s="242">
        <f>296.5+115.1+158</f>
        <v>569.6</v>
      </c>
      <c r="AY13" s="242"/>
      <c r="AZ13" s="159"/>
      <c r="BA13" s="241"/>
      <c r="BB13" s="241"/>
      <c r="BC13" s="210">
        <f t="shared" si="11"/>
        <v>26006.961999999996</v>
      </c>
      <c r="BD13" s="305">
        <f>'[11]Т04'!$S$4+'[11]Т04'!$S$11+'[11]Т04'!$S$16+'[11]Т04'!$S$43+'[11]Т04'!$S$50+'[11]Т04'!$S$94+'[11]Т04'!$S$95+'[11]Т04'!$S$151</f>
        <v>15330.5336</v>
      </c>
      <c r="BE13" s="226">
        <f t="shared" si="12"/>
        <v>41337.495599999995</v>
      </c>
      <c r="BF13" s="226">
        <f t="shared" si="13"/>
        <v>11490.393800000005</v>
      </c>
      <c r="BG13" s="226">
        <f t="shared" si="14"/>
        <v>-515.9000000000015</v>
      </c>
      <c r="BH13" s="225"/>
      <c r="BI13" s="204"/>
      <c r="BJ13" s="204"/>
      <c r="BK13" s="204"/>
      <c r="BL13" s="205"/>
      <c r="BM13" s="228"/>
      <c r="BN13" s="232"/>
    </row>
    <row r="14" spans="1:66" ht="12.75">
      <c r="A14" s="208" t="s">
        <v>49</v>
      </c>
      <c r="B14" s="243">
        <v>3717.4</v>
      </c>
      <c r="C14" s="170">
        <f>B14*8.55</f>
        <v>31783.770000000004</v>
      </c>
      <c r="D14" s="236">
        <v>158.09860000000003</v>
      </c>
      <c r="E14" s="306">
        <v>0</v>
      </c>
      <c r="F14" s="217">
        <v>0</v>
      </c>
      <c r="G14" s="216">
        <v>19175.46</v>
      </c>
      <c r="H14" s="216">
        <v>0</v>
      </c>
      <c r="I14" s="216">
        <v>0</v>
      </c>
      <c r="J14" s="216">
        <v>0</v>
      </c>
      <c r="K14" s="216">
        <v>0</v>
      </c>
      <c r="L14" s="216">
        <v>0</v>
      </c>
      <c r="M14" s="216">
        <v>9312.17</v>
      </c>
      <c r="N14" s="216">
        <v>0</v>
      </c>
      <c r="O14" s="296">
        <v>3246.54</v>
      </c>
      <c r="P14" s="301">
        <v>0</v>
      </c>
      <c r="Q14" s="210">
        <v>0</v>
      </c>
      <c r="R14" s="211">
        <v>0</v>
      </c>
      <c r="S14" s="210">
        <v>0</v>
      </c>
      <c r="T14" s="217">
        <v>0</v>
      </c>
      <c r="U14" s="244">
        <f t="shared" si="1"/>
        <v>31734.17</v>
      </c>
      <c r="V14" s="245">
        <f>F14+H14+J14+L14+N14++R14+T14</f>
        <v>0</v>
      </c>
      <c r="W14" s="216">
        <v>234.32</v>
      </c>
      <c r="X14" s="217">
        <v>12339.28</v>
      </c>
      <c r="Y14" s="216">
        <v>317.64</v>
      </c>
      <c r="Z14" s="216">
        <v>1328.66</v>
      </c>
      <c r="AA14" s="216">
        <v>10373.56</v>
      </c>
      <c r="AB14" s="216">
        <v>2346.16</v>
      </c>
      <c r="AC14" s="216">
        <v>0</v>
      </c>
      <c r="AD14" s="217">
        <v>0</v>
      </c>
      <c r="AE14" s="218">
        <v>0</v>
      </c>
      <c r="AF14" s="246">
        <f>SUM(W14:AE14)</f>
        <v>26939.62</v>
      </c>
      <c r="AG14" s="238">
        <f>D14+V14+AF14</f>
        <v>27097.7186</v>
      </c>
      <c r="AH14" s="239">
        <f t="shared" si="2"/>
        <v>0</v>
      </c>
      <c r="AI14" s="239">
        <f t="shared" si="2"/>
        <v>0</v>
      </c>
      <c r="AJ14" s="240">
        <f>'[11]Т05'!$J$4+'[11]Т05'!$J$11+'[11]Т05'!$J$16+'[11]Т05'!$J$43+'[11]Т05'!$J$50+'[11]Т05'!$J$92+'[11]Т05'!$J$93+'[11]Т05'!$J$149+'[11]Т05'!$J$204</f>
        <v>21577.460799999997</v>
      </c>
      <c r="AK14" s="222">
        <f t="shared" si="3"/>
        <v>2490.6580000000004</v>
      </c>
      <c r="AL14" s="222">
        <f t="shared" si="4"/>
        <v>743.48</v>
      </c>
      <c r="AM14" s="222">
        <f t="shared" si="5"/>
        <v>3717.4</v>
      </c>
      <c r="AN14" s="222">
        <f t="shared" si="6"/>
        <v>780.654</v>
      </c>
      <c r="AO14" s="222">
        <f t="shared" si="7"/>
        <v>7509.148</v>
      </c>
      <c r="AP14" s="222">
        <f t="shared" si="8"/>
        <v>3828.922</v>
      </c>
      <c r="AQ14" s="222">
        <f t="shared" si="9"/>
        <v>2788.05</v>
      </c>
      <c r="AR14" s="222">
        <f t="shared" si="10"/>
        <v>2788.05</v>
      </c>
      <c r="AS14" s="222"/>
      <c r="AT14" s="241"/>
      <c r="AU14" s="242"/>
      <c r="AV14" s="242"/>
      <c r="AW14" s="242"/>
      <c r="AX14" s="242">
        <f>8.5+13+7.98</f>
        <v>29.48</v>
      </c>
      <c r="AY14" s="242"/>
      <c r="AZ14" s="159"/>
      <c r="BA14" s="241"/>
      <c r="BB14" s="241"/>
      <c r="BC14" s="210">
        <f>SUM(AK14:BB14)</f>
        <v>24675.841999999997</v>
      </c>
      <c r="BD14" s="305">
        <f>'[11]Т05'!$S$4+'[11]Т05'!$S$11+'[11]Т05'!$S$16+'[11]Т05'!$S$43+'[11]Т05'!$S$50+'[11]Т05'!$S$92+'[11]Т05'!$S$93+'[11]Т05'!$S$149+'[11]Т05'!$S$204</f>
        <v>15359.0336</v>
      </c>
      <c r="BE14" s="226">
        <f t="shared" si="12"/>
        <v>40034.8756</v>
      </c>
      <c r="BF14" s="226">
        <f t="shared" si="13"/>
        <v>8640.303799999994</v>
      </c>
      <c r="BG14" s="226">
        <f>AG14+AJ14-BF14</f>
        <v>40034.8756</v>
      </c>
      <c r="BH14" s="226">
        <f>AF14-U14</f>
        <v>-4794.549999999999</v>
      </c>
      <c r="BI14" s="225"/>
      <c r="BJ14" s="204"/>
      <c r="BK14" s="204"/>
      <c r="BL14" s="205"/>
      <c r="BM14" s="228"/>
      <c r="BN14" s="232"/>
    </row>
    <row r="15" spans="1:65" ht="13.5" thickBot="1">
      <c r="A15" s="208" t="s">
        <v>50</v>
      </c>
      <c r="B15" s="209">
        <v>3717.4</v>
      </c>
      <c r="C15" s="170">
        <f t="shared" si="0"/>
        <v>31783.770000000004</v>
      </c>
      <c r="D15" s="236">
        <v>158.09860000000003</v>
      </c>
      <c r="E15" s="247">
        <v>83.83</v>
      </c>
      <c r="F15" s="247"/>
      <c r="G15" s="247">
        <v>19221.02</v>
      </c>
      <c r="H15" s="247">
        <v>268.83</v>
      </c>
      <c r="I15" s="248">
        <v>110.85</v>
      </c>
      <c r="J15" s="248"/>
      <c r="K15" s="248">
        <v>186.34</v>
      </c>
      <c r="L15" s="248"/>
      <c r="M15" s="248">
        <v>9581.57</v>
      </c>
      <c r="N15" s="248">
        <v>130.51</v>
      </c>
      <c r="O15" s="248">
        <v>3313.43</v>
      </c>
      <c r="P15" s="248">
        <v>28.71</v>
      </c>
      <c r="Q15" s="248">
        <v>0</v>
      </c>
      <c r="R15" s="249"/>
      <c r="S15" s="249">
        <v>0</v>
      </c>
      <c r="T15" s="248"/>
      <c r="U15" s="250">
        <f t="shared" si="1"/>
        <v>32497.04</v>
      </c>
      <c r="V15" s="251">
        <f t="shared" si="1"/>
        <v>428.04999999999995</v>
      </c>
      <c r="W15" s="252">
        <v>42.19</v>
      </c>
      <c r="X15" s="247">
        <v>15343.18</v>
      </c>
      <c r="Y15" s="247">
        <v>56.94</v>
      </c>
      <c r="Z15" s="247">
        <v>94.94</v>
      </c>
      <c r="AA15" s="247">
        <v>7520.88</v>
      </c>
      <c r="AB15" s="247">
        <v>2705.3</v>
      </c>
      <c r="AC15" s="247">
        <v>0</v>
      </c>
      <c r="AD15" s="247">
        <v>0</v>
      </c>
      <c r="AE15" s="253">
        <v>0</v>
      </c>
      <c r="AF15" s="254">
        <f aca="true" t="shared" si="15" ref="AF15:AF21">SUM(W15:AE15)</f>
        <v>25763.43</v>
      </c>
      <c r="AG15" s="238">
        <f aca="true" t="shared" si="16" ref="AG15:AG21">D15+V15+AF15</f>
        <v>26349.5786</v>
      </c>
      <c r="AH15" s="239">
        <f t="shared" si="2"/>
        <v>0</v>
      </c>
      <c r="AI15" s="239">
        <f t="shared" si="2"/>
        <v>0</v>
      </c>
      <c r="AJ15" s="240">
        <f>'[11]Т06'!$J$4+'[11]Т06'!$J$11+'[11]Т06'!$J$16+'[11]Т06'!$J$43+'[11]Т06'!$J$50+'[11]Т06'!$J$92+'[11]Т06'!$J$93+'[11]Т06'!$J$149+'[11]Т06'!$J$204</f>
        <v>21577.460799999997</v>
      </c>
      <c r="AK15" s="222">
        <f t="shared" si="3"/>
        <v>2490.6580000000004</v>
      </c>
      <c r="AL15" s="222">
        <f t="shared" si="4"/>
        <v>743.48</v>
      </c>
      <c r="AM15" s="222">
        <f t="shared" si="5"/>
        <v>3717.4</v>
      </c>
      <c r="AN15" s="222">
        <f t="shared" si="6"/>
        <v>780.654</v>
      </c>
      <c r="AO15" s="222">
        <f t="shared" si="7"/>
        <v>7509.148</v>
      </c>
      <c r="AP15" s="222">
        <f t="shared" si="8"/>
        <v>3828.922</v>
      </c>
      <c r="AQ15" s="222">
        <f t="shared" si="9"/>
        <v>2788.05</v>
      </c>
      <c r="AR15" s="222">
        <f t="shared" si="10"/>
        <v>2788.05</v>
      </c>
      <c r="AS15" s="222"/>
      <c r="AT15" s="241"/>
      <c r="AU15" s="242"/>
      <c r="AV15" s="242"/>
      <c r="AW15" s="242"/>
      <c r="AX15" s="242"/>
      <c r="AY15" s="242"/>
      <c r="AZ15" s="222"/>
      <c r="BA15" s="241"/>
      <c r="BB15" s="241"/>
      <c r="BC15" s="329">
        <f t="shared" si="11"/>
        <v>24646.361999999997</v>
      </c>
      <c r="BD15" s="305">
        <f>'[11]Т06'!$S$4+'[11]Т06'!$S$11+'[11]Т06'!$S$16+'[11]Т06'!$S$43+'[11]Т06'!$S$50+'[11]Т06'!$S$92+'[11]Т06'!$S$93+'[11]Т06'!$S$149+'[11]Т06'!$S$204</f>
        <v>15359.0336</v>
      </c>
      <c r="BE15" s="226">
        <f t="shared" si="12"/>
        <v>40005.395599999996</v>
      </c>
      <c r="BF15" s="226">
        <f t="shared" si="13"/>
        <v>7921.643799999998</v>
      </c>
      <c r="BG15" s="226">
        <f t="shared" si="14"/>
        <v>-6733.610000000001</v>
      </c>
      <c r="BH15" s="225"/>
      <c r="BI15" s="204"/>
      <c r="BJ15" s="204"/>
      <c r="BK15" s="205"/>
      <c r="BL15" s="255"/>
      <c r="BM15" s="232"/>
    </row>
    <row r="16" spans="1:62" ht="12.75">
      <c r="A16" s="208" t="s">
        <v>51</v>
      </c>
      <c r="B16" s="307">
        <v>3717.4</v>
      </c>
      <c r="C16" s="308">
        <f aca="true" t="shared" si="17" ref="C16:C21">B16*10.2</f>
        <v>37917.479999999996</v>
      </c>
      <c r="D16" s="309">
        <v>158.09860000000003</v>
      </c>
      <c r="E16" s="256">
        <v>-2.01</v>
      </c>
      <c r="F16" s="256"/>
      <c r="G16" s="256">
        <v>35668.72</v>
      </c>
      <c r="H16" s="256">
        <v>512.19</v>
      </c>
      <c r="I16" s="256">
        <v>-2.73</v>
      </c>
      <c r="J16" s="256"/>
      <c r="K16" s="256">
        <v>-4.54</v>
      </c>
      <c r="L16" s="256"/>
      <c r="M16" s="256">
        <v>10857.04</v>
      </c>
      <c r="N16" s="256">
        <v>156</v>
      </c>
      <c r="O16" s="256">
        <v>4366.63</v>
      </c>
      <c r="P16" s="256">
        <v>39.6</v>
      </c>
      <c r="Q16" s="256"/>
      <c r="R16" s="256"/>
      <c r="S16" s="257"/>
      <c r="T16" s="310"/>
      <c r="U16" s="258">
        <f t="shared" si="1"/>
        <v>50883.10999999999</v>
      </c>
      <c r="V16" s="311">
        <f t="shared" si="1"/>
        <v>707.7900000000001</v>
      </c>
      <c r="W16" s="259">
        <v>39.75</v>
      </c>
      <c r="X16" s="256">
        <v>15297.24</v>
      </c>
      <c r="Y16" s="256">
        <v>53.77</v>
      </c>
      <c r="Z16" s="256">
        <v>89.54</v>
      </c>
      <c r="AA16" s="256">
        <v>6262.3</v>
      </c>
      <c r="AB16" s="256">
        <v>2221.57</v>
      </c>
      <c r="AC16" s="312"/>
      <c r="AD16" s="256"/>
      <c r="AE16" s="257"/>
      <c r="AF16" s="313">
        <f t="shared" si="15"/>
        <v>23964.170000000002</v>
      </c>
      <c r="AG16" s="260">
        <f t="shared" si="16"/>
        <v>24830.0586</v>
      </c>
      <c r="AH16" s="314">
        <f t="shared" si="2"/>
        <v>0</v>
      </c>
      <c r="AI16" s="314">
        <f t="shared" si="2"/>
        <v>0</v>
      </c>
      <c r="AJ16" s="315">
        <f>'[11]Т07'!$J$4+'[11]Т07'!$J$11+'[11]Т07'!$J$16+'[11]Т07'!$J$43+'[11]Т07'!$J$50+'[11]Т07'!$J$92+'[11]Т07'!$J$93+'[11]Т07'!$J$153+'[11]Т07'!$J$208</f>
        <v>21577.460799999997</v>
      </c>
      <c r="AK16" s="222">
        <f t="shared" si="3"/>
        <v>2490.6580000000004</v>
      </c>
      <c r="AL16" s="222">
        <f t="shared" si="4"/>
        <v>743.48</v>
      </c>
      <c r="AM16" s="222">
        <f t="shared" si="5"/>
        <v>3717.4</v>
      </c>
      <c r="AN16" s="222">
        <f t="shared" si="6"/>
        <v>780.654</v>
      </c>
      <c r="AO16" s="222">
        <f t="shared" si="7"/>
        <v>7509.148</v>
      </c>
      <c r="AP16" s="222">
        <f t="shared" si="8"/>
        <v>3828.922</v>
      </c>
      <c r="AQ16" s="222">
        <f t="shared" si="9"/>
        <v>2788.05</v>
      </c>
      <c r="AR16" s="222">
        <f t="shared" si="10"/>
        <v>2788.05</v>
      </c>
      <c r="AS16" s="316"/>
      <c r="AT16" s="241"/>
      <c r="AU16" s="317">
        <v>18863</v>
      </c>
      <c r="AV16" s="317"/>
      <c r="AW16" s="317"/>
      <c r="AX16" s="242">
        <f>111.43+9.43+24.42+40+320+20.8+10.4+38.4+1116+168+480+46</f>
        <v>2384.88</v>
      </c>
      <c r="AY16" s="242"/>
      <c r="AZ16" s="316"/>
      <c r="BA16" s="318">
        <v>50070.1</v>
      </c>
      <c r="BB16" s="318"/>
      <c r="BC16" s="319">
        <f t="shared" si="11"/>
        <v>95964.34199999999</v>
      </c>
      <c r="BD16" s="320">
        <f>'[11]Т07'!$S$4+'[11]Т07'!$S$11+'[11]Т07'!$S$16+'[11]Т07'!$S$43+'[11]Т07'!$S$50+'[11]Т07'!$S$92+'[11]Т07'!$S$93+'[11]Т07'!$S$153+'[11]Т07'!$S$208</f>
        <v>15359.0336</v>
      </c>
      <c r="BE16" s="226">
        <f t="shared" si="12"/>
        <v>111323.37559999998</v>
      </c>
      <c r="BF16" s="226">
        <f t="shared" si="13"/>
        <v>-64915.85619999999</v>
      </c>
      <c r="BG16" s="226">
        <f t="shared" si="14"/>
        <v>-26918.93999999999</v>
      </c>
      <c r="BH16" s="225"/>
      <c r="BI16" s="204"/>
      <c r="BJ16" s="204"/>
    </row>
    <row r="17" spans="1:62" ht="12.75">
      <c r="A17" s="208" t="s">
        <v>52</v>
      </c>
      <c r="B17" s="307">
        <v>3717.4</v>
      </c>
      <c r="C17" s="308">
        <f t="shared" si="17"/>
        <v>37917.479999999996</v>
      </c>
      <c r="D17" s="309">
        <v>158.09860000000003</v>
      </c>
      <c r="E17" s="256">
        <v>0</v>
      </c>
      <c r="F17" s="256"/>
      <c r="G17" s="256">
        <v>35668.7</v>
      </c>
      <c r="H17" s="256">
        <v>512.19</v>
      </c>
      <c r="I17" s="256">
        <v>0</v>
      </c>
      <c r="J17" s="256"/>
      <c r="K17" s="256">
        <v>0</v>
      </c>
      <c r="L17" s="256"/>
      <c r="M17" s="256">
        <v>10863.57</v>
      </c>
      <c r="N17" s="256">
        <v>156</v>
      </c>
      <c r="O17" s="256">
        <v>4368.24</v>
      </c>
      <c r="P17" s="256">
        <v>39.6</v>
      </c>
      <c r="Q17" s="256"/>
      <c r="R17" s="256"/>
      <c r="S17" s="257"/>
      <c r="T17" s="321"/>
      <c r="U17" s="322">
        <f t="shared" si="1"/>
        <v>50900.509999999995</v>
      </c>
      <c r="V17" s="323">
        <f t="shared" si="1"/>
        <v>707.7900000000001</v>
      </c>
      <c r="W17" s="256">
        <v>61.23</v>
      </c>
      <c r="X17" s="256">
        <v>27709.43</v>
      </c>
      <c r="Y17" s="256">
        <v>82.99</v>
      </c>
      <c r="Z17" s="256">
        <v>138.1</v>
      </c>
      <c r="AA17" s="256">
        <v>9327.05</v>
      </c>
      <c r="AB17" s="256">
        <v>5169.1</v>
      </c>
      <c r="AC17" s="256"/>
      <c r="AD17" s="256"/>
      <c r="AE17" s="257"/>
      <c r="AF17" s="313">
        <f t="shared" si="15"/>
        <v>42487.9</v>
      </c>
      <c r="AG17" s="260">
        <f t="shared" si="16"/>
        <v>43353.7886</v>
      </c>
      <c r="AH17" s="314">
        <f t="shared" si="2"/>
        <v>0</v>
      </c>
      <c r="AI17" s="314">
        <f t="shared" si="2"/>
        <v>0</v>
      </c>
      <c r="AJ17" s="315">
        <f>'[11]Т08'!$J$4+'[11]Т08'!$J$11+'[11]Т08'!$J$16+'[11]Т08'!$J$43+'[11]Т08'!$J$50+'[11]Т08'!$J$92+'[11]Т08'!$J$93+'[11]Т08'!$J$157+'[11]Т08'!$J$212</f>
        <v>21577.460799999997</v>
      </c>
      <c r="AK17" s="222">
        <f t="shared" si="3"/>
        <v>2490.6580000000004</v>
      </c>
      <c r="AL17" s="222">
        <f t="shared" si="4"/>
        <v>743.48</v>
      </c>
      <c r="AM17" s="222">
        <f t="shared" si="5"/>
        <v>3717.4</v>
      </c>
      <c r="AN17" s="222">
        <f t="shared" si="6"/>
        <v>780.654</v>
      </c>
      <c r="AO17" s="222">
        <f t="shared" si="7"/>
        <v>7509.148</v>
      </c>
      <c r="AP17" s="222">
        <f t="shared" si="8"/>
        <v>3828.922</v>
      </c>
      <c r="AQ17" s="222">
        <f t="shared" si="9"/>
        <v>2788.05</v>
      </c>
      <c r="AR17" s="222">
        <f t="shared" si="10"/>
        <v>2788.05</v>
      </c>
      <c r="AS17" s="316"/>
      <c r="AT17" s="241"/>
      <c r="AU17" s="317">
        <v>115920</v>
      </c>
      <c r="AV17" s="317"/>
      <c r="AW17" s="317">
        <f>13789+230</f>
        <v>14019</v>
      </c>
      <c r="AX17" s="317">
        <f>1902.1+8523+5888+69+128+1349+8</f>
        <v>17867.1</v>
      </c>
      <c r="AY17" s="317"/>
      <c r="AZ17" s="316"/>
      <c r="BA17" s="318"/>
      <c r="BB17" s="318"/>
      <c r="BC17" s="319">
        <f t="shared" si="11"/>
        <v>172452.462</v>
      </c>
      <c r="BD17" s="320">
        <f>'[11]Т08'!$S$4+'[11]Т08'!$S$11+'[11]Т08'!$S$16+'[11]Т08'!$S$43+'[11]Т08'!$S$50+'[11]Т08'!$S$92+'[11]Т08'!$S$93+'[11]Т08'!$S$157+'[11]Т08'!$S$212</f>
        <v>15359.0336</v>
      </c>
      <c r="BE17" s="226">
        <f t="shared" si="12"/>
        <v>187811.4956</v>
      </c>
      <c r="BF17" s="226">
        <f t="shared" si="13"/>
        <v>-122880.2462</v>
      </c>
      <c r="BG17" s="226">
        <f t="shared" si="14"/>
        <v>-8412.609999999993</v>
      </c>
      <c r="BH17" s="225"/>
      <c r="BI17" s="204"/>
      <c r="BJ17" s="204"/>
    </row>
    <row r="18" spans="1:62" ht="12.75">
      <c r="A18" s="208" t="s">
        <v>53</v>
      </c>
      <c r="B18" s="209">
        <v>3717.4</v>
      </c>
      <c r="C18" s="308">
        <f t="shared" si="17"/>
        <v>37917.479999999996</v>
      </c>
      <c r="D18" s="309">
        <v>158.09860000000003</v>
      </c>
      <c r="E18" s="256">
        <v>0</v>
      </c>
      <c r="F18" s="256"/>
      <c r="G18" s="256">
        <v>36616.61</v>
      </c>
      <c r="H18" s="256">
        <v>0</v>
      </c>
      <c r="I18" s="256">
        <v>0</v>
      </c>
      <c r="J18" s="256"/>
      <c r="K18" s="256">
        <v>0</v>
      </c>
      <c r="L18" s="256"/>
      <c r="M18" s="256">
        <v>11152.2</v>
      </c>
      <c r="N18" s="256">
        <v>0</v>
      </c>
      <c r="O18" s="256">
        <v>4460.88</v>
      </c>
      <c r="P18" s="256">
        <v>0</v>
      </c>
      <c r="Q18" s="256"/>
      <c r="R18" s="256"/>
      <c r="S18" s="257"/>
      <c r="T18" s="324"/>
      <c r="U18" s="324">
        <f t="shared" si="1"/>
        <v>52229.689999999995</v>
      </c>
      <c r="V18" s="325">
        <f t="shared" si="1"/>
        <v>0</v>
      </c>
      <c r="W18" s="256">
        <v>152.39</v>
      </c>
      <c r="X18" s="256">
        <v>26084.31</v>
      </c>
      <c r="Y18" s="256">
        <v>206.46</v>
      </c>
      <c r="Z18" s="256">
        <v>343.64</v>
      </c>
      <c r="AA18" s="256">
        <v>6906.66</v>
      </c>
      <c r="AB18" s="256">
        <v>3646.29</v>
      </c>
      <c r="AC18" s="256"/>
      <c r="AD18" s="256"/>
      <c r="AE18" s="257"/>
      <c r="AF18" s="313">
        <f t="shared" si="15"/>
        <v>37339.75</v>
      </c>
      <c r="AG18" s="260">
        <f t="shared" si="16"/>
        <v>37497.8486</v>
      </c>
      <c r="AH18" s="314">
        <f t="shared" si="2"/>
        <v>0</v>
      </c>
      <c r="AI18" s="314">
        <f t="shared" si="2"/>
        <v>0</v>
      </c>
      <c r="AJ18" s="315">
        <f>'[11]Т09'!$J$4+'[11]Т09'!$J$11+'[11]Т09'!$J$16+'[11]Т09'!$J$43+'[11]Т09'!$J$50+'[11]Т09'!$J$92+'[11]Т09'!$J$93+'[11]Т09'!$J$157+'[11]Т09'!$J$212</f>
        <v>21577.460799999997</v>
      </c>
      <c r="AK18" s="222">
        <f t="shared" si="3"/>
        <v>2490.6580000000004</v>
      </c>
      <c r="AL18" s="222">
        <f t="shared" si="4"/>
        <v>743.48</v>
      </c>
      <c r="AM18" s="222">
        <f t="shared" si="5"/>
        <v>3717.4</v>
      </c>
      <c r="AN18" s="222">
        <f t="shared" si="6"/>
        <v>780.654</v>
      </c>
      <c r="AO18" s="222">
        <f t="shared" si="7"/>
        <v>7509.148</v>
      </c>
      <c r="AP18" s="222">
        <f t="shared" si="8"/>
        <v>3828.922</v>
      </c>
      <c r="AQ18" s="222">
        <f t="shared" si="9"/>
        <v>2788.05</v>
      </c>
      <c r="AR18" s="222">
        <f t="shared" si="10"/>
        <v>2788.05</v>
      </c>
      <c r="AS18" s="316"/>
      <c r="AT18" s="241"/>
      <c r="AU18" s="317">
        <v>922</v>
      </c>
      <c r="AV18" s="317"/>
      <c r="AW18" s="317">
        <v>353</v>
      </c>
      <c r="AX18" s="317">
        <f>810.44</f>
        <v>810.44</v>
      </c>
      <c r="AY18" s="317"/>
      <c r="AZ18" s="316"/>
      <c r="BA18" s="318"/>
      <c r="BB18" s="318"/>
      <c r="BC18" s="319">
        <f t="shared" si="11"/>
        <v>26731.801999999996</v>
      </c>
      <c r="BD18" s="320">
        <f>'[11]Т08'!$S$4+'[11]Т08'!$S$11+'[11]Т08'!$S$16+'[11]Т08'!$S$43+'[11]Т08'!$S$50+'[11]Т08'!$S$92+'[11]Т08'!$S$93+'[11]Т08'!$S$157+'[11]Т08'!$S$212</f>
        <v>15359.0336</v>
      </c>
      <c r="BE18" s="226">
        <f t="shared" si="12"/>
        <v>42090.8356</v>
      </c>
      <c r="BF18" s="226">
        <f t="shared" si="13"/>
        <v>16984.4738</v>
      </c>
      <c r="BG18" s="226">
        <f t="shared" si="14"/>
        <v>-14889.939999999995</v>
      </c>
      <c r="BH18" s="225"/>
      <c r="BI18" s="203"/>
      <c r="BJ18" s="68"/>
    </row>
    <row r="19" spans="1:63" ht="12.75">
      <c r="A19" s="208" t="s">
        <v>41</v>
      </c>
      <c r="B19" s="209">
        <v>3717.4</v>
      </c>
      <c r="C19" s="308">
        <f t="shared" si="17"/>
        <v>37917.479999999996</v>
      </c>
      <c r="D19" s="331">
        <v>101.0218</v>
      </c>
      <c r="E19" s="247">
        <v>0</v>
      </c>
      <c r="F19" s="247"/>
      <c r="G19" s="247">
        <v>35572.51</v>
      </c>
      <c r="H19" s="247">
        <v>1044.1</v>
      </c>
      <c r="I19" s="247">
        <v>0</v>
      </c>
      <c r="J19" s="247"/>
      <c r="K19" s="247">
        <v>0</v>
      </c>
      <c r="L19" s="247"/>
      <c r="M19" s="247">
        <v>10834.2</v>
      </c>
      <c r="N19" s="247">
        <v>318</v>
      </c>
      <c r="O19" s="247">
        <v>4381.68</v>
      </c>
      <c r="P19" s="247">
        <v>79.2</v>
      </c>
      <c r="Q19" s="247"/>
      <c r="R19" s="247"/>
      <c r="S19" s="253"/>
      <c r="T19" s="332"/>
      <c r="U19" s="333">
        <f t="shared" si="1"/>
        <v>50788.39000000001</v>
      </c>
      <c r="V19" s="334">
        <f t="shared" si="1"/>
        <v>1441.3</v>
      </c>
      <c r="W19" s="247">
        <v>0</v>
      </c>
      <c r="X19" s="247">
        <v>28267.51</v>
      </c>
      <c r="Y19" s="247">
        <v>0</v>
      </c>
      <c r="Z19" s="247">
        <v>0</v>
      </c>
      <c r="AA19" s="247">
        <v>11058.62</v>
      </c>
      <c r="AB19" s="247">
        <v>3506.16</v>
      </c>
      <c r="AC19" s="247"/>
      <c r="AD19" s="247"/>
      <c r="AE19" s="253"/>
      <c r="AF19" s="313">
        <f t="shared" si="15"/>
        <v>42832.28999999999</v>
      </c>
      <c r="AG19" s="260">
        <f t="shared" si="16"/>
        <v>44374.61179999999</v>
      </c>
      <c r="AH19" s="314">
        <f t="shared" si="2"/>
        <v>0</v>
      </c>
      <c r="AI19" s="314">
        <f t="shared" si="2"/>
        <v>0</v>
      </c>
      <c r="AJ19" s="315">
        <f>'[11]Т10'!$J$4+'[11]Т10'!$J$11+'[11]Т10'!$J$16+'[11]Т10'!$J$43+'[11]Т10'!$J$50+'[11]Т10'!$J$92+'[11]Т10'!$J$93+'[11]Т10'!$J$157+'[11]Т10'!$J$212</f>
        <v>21577.460799999997</v>
      </c>
      <c r="AK19" s="222">
        <f t="shared" si="3"/>
        <v>2490.6580000000004</v>
      </c>
      <c r="AL19" s="222">
        <f t="shared" si="4"/>
        <v>743.48</v>
      </c>
      <c r="AM19" s="222">
        <f t="shared" si="5"/>
        <v>3717.4</v>
      </c>
      <c r="AN19" s="222">
        <f t="shared" si="6"/>
        <v>780.654</v>
      </c>
      <c r="AO19" s="222">
        <f t="shared" si="7"/>
        <v>7509.148</v>
      </c>
      <c r="AP19" s="222">
        <f t="shared" si="8"/>
        <v>3828.922</v>
      </c>
      <c r="AQ19" s="222">
        <f t="shared" si="9"/>
        <v>2788.05</v>
      </c>
      <c r="AR19" s="222">
        <f t="shared" si="10"/>
        <v>2788.05</v>
      </c>
      <c r="AS19" s="335">
        <f>B19*1.15</f>
        <v>4275.01</v>
      </c>
      <c r="AT19" s="241"/>
      <c r="AU19" s="317">
        <v>2213</v>
      </c>
      <c r="AV19" s="317"/>
      <c r="AW19" s="317">
        <v>2136</v>
      </c>
      <c r="AX19" s="317">
        <f>116.35</f>
        <v>116.35</v>
      </c>
      <c r="AY19" s="316"/>
      <c r="AZ19" s="318"/>
      <c r="BA19" s="318"/>
      <c r="BB19" s="318"/>
      <c r="BC19" s="319">
        <f t="shared" si="11"/>
        <v>33386.721999999994</v>
      </c>
      <c r="BD19" s="320">
        <f>'[11]Т10'!$S$4+'[11]Т10'!$S$11+'[11]Т10'!$S$16+'[11]Т10'!$S$43+'[11]Т10'!$S$50+'[11]Т10'!$S$92+'[11]Т10'!$S$93+'[11]Т10'!$S$157+'[11]Т10'!$S$212</f>
        <v>15359.0336</v>
      </c>
      <c r="BE19" s="226">
        <f t="shared" si="12"/>
        <v>48745.7556</v>
      </c>
      <c r="BF19" s="226">
        <f t="shared" si="13"/>
        <v>17206.31699999999</v>
      </c>
      <c r="BG19" s="226">
        <f t="shared" si="14"/>
        <v>-7956.100000000013</v>
      </c>
      <c r="BH19" s="330"/>
      <c r="BI19" s="197"/>
      <c r="BJ19" s="68"/>
      <c r="BK19" s="68"/>
    </row>
    <row r="20" spans="1:63" ht="12.75">
      <c r="A20" s="208" t="s">
        <v>42</v>
      </c>
      <c r="B20" s="209">
        <v>3717.4</v>
      </c>
      <c r="C20" s="308">
        <f t="shared" si="17"/>
        <v>37917.479999999996</v>
      </c>
      <c r="D20" s="336">
        <v>101.0218</v>
      </c>
      <c r="E20" s="247">
        <v>0</v>
      </c>
      <c r="F20" s="247"/>
      <c r="G20" s="247">
        <v>36094.55</v>
      </c>
      <c r="H20" s="247">
        <v>522.05</v>
      </c>
      <c r="I20" s="247">
        <v>0</v>
      </c>
      <c r="J20" s="247"/>
      <c r="K20" s="247">
        <v>0</v>
      </c>
      <c r="L20" s="247"/>
      <c r="M20" s="247">
        <v>10993.2</v>
      </c>
      <c r="N20" s="247">
        <v>159</v>
      </c>
      <c r="O20" s="247">
        <v>4421.28</v>
      </c>
      <c r="P20" s="247">
        <v>39.6</v>
      </c>
      <c r="Q20" s="247"/>
      <c r="R20" s="247"/>
      <c r="S20" s="253"/>
      <c r="T20" s="332"/>
      <c r="U20" s="333">
        <f t="shared" si="1"/>
        <v>51509.03</v>
      </c>
      <c r="V20" s="334">
        <f t="shared" si="1"/>
        <v>720.65</v>
      </c>
      <c r="W20" s="247">
        <v>0</v>
      </c>
      <c r="X20" s="247">
        <v>29576.48</v>
      </c>
      <c r="Y20" s="247">
        <v>0</v>
      </c>
      <c r="Z20" s="247">
        <v>0</v>
      </c>
      <c r="AA20" s="247">
        <v>8959.46</v>
      </c>
      <c r="AB20" s="247">
        <v>3588.59</v>
      </c>
      <c r="AC20" s="247"/>
      <c r="AD20" s="247"/>
      <c r="AE20" s="253"/>
      <c r="AF20" s="313">
        <f t="shared" si="15"/>
        <v>42124.53</v>
      </c>
      <c r="AG20" s="260">
        <f t="shared" si="16"/>
        <v>42946.201799999995</v>
      </c>
      <c r="AH20" s="314">
        <f t="shared" si="2"/>
        <v>0</v>
      </c>
      <c r="AI20" s="314">
        <f t="shared" si="2"/>
        <v>0</v>
      </c>
      <c r="AJ20" s="315">
        <f>'[11]Т11'!$J$4+'[11]Т11'!$J$11+'[11]Т11'!$J$16+'[11]Т11'!$J$43+'[11]Т11'!$J$50+'[11]Т11'!$J$92+'[11]Т11'!$J$93+'[11]Т11'!$J$157+'[11]Т11'!$J$212</f>
        <v>21577.460799999997</v>
      </c>
      <c r="AK20" s="222">
        <f t="shared" si="3"/>
        <v>2490.6580000000004</v>
      </c>
      <c r="AL20" s="222">
        <f t="shared" si="4"/>
        <v>743.48</v>
      </c>
      <c r="AM20" s="222">
        <f t="shared" si="5"/>
        <v>3717.4</v>
      </c>
      <c r="AN20" s="222">
        <f t="shared" si="6"/>
        <v>780.654</v>
      </c>
      <c r="AO20" s="222">
        <f t="shared" si="7"/>
        <v>7509.148</v>
      </c>
      <c r="AP20" s="222">
        <f t="shared" si="8"/>
        <v>3828.922</v>
      </c>
      <c r="AQ20" s="222">
        <f t="shared" si="9"/>
        <v>2788.05</v>
      </c>
      <c r="AR20" s="222">
        <f t="shared" si="10"/>
        <v>2788.05</v>
      </c>
      <c r="AS20" s="335">
        <f>B20*1.15</f>
        <v>4275.01</v>
      </c>
      <c r="AT20" s="241"/>
      <c r="AU20" s="317">
        <v>657</v>
      </c>
      <c r="AV20" s="317"/>
      <c r="AW20" s="317"/>
      <c r="AX20" s="317">
        <f>26.34+19+117+908</f>
        <v>1070.34</v>
      </c>
      <c r="AY20" s="316"/>
      <c r="AZ20" s="318"/>
      <c r="BA20" s="318"/>
      <c r="BB20" s="318"/>
      <c r="BC20" s="319">
        <f t="shared" si="11"/>
        <v>30648.711999999996</v>
      </c>
      <c r="BD20" s="320">
        <f>'[11]Т11'!$S$4+'[11]Т11'!$S$11+'[11]Т11'!$S$16+'[11]Т11'!$S$43+'[11]Т11'!$S$50+'[11]Т11'!$S$92+'[11]Т11'!$S$93+'[11]Т11'!$S$157+'[11]Т11'!$S$212</f>
        <v>15359.0336</v>
      </c>
      <c r="BE20" s="226">
        <f t="shared" si="12"/>
        <v>46007.745599999995</v>
      </c>
      <c r="BF20" s="226">
        <f t="shared" si="13"/>
        <v>18515.917</v>
      </c>
      <c r="BG20" s="226">
        <f t="shared" si="14"/>
        <v>-9384.5</v>
      </c>
      <c r="BH20" s="330"/>
      <c r="BI20" s="197"/>
      <c r="BJ20" s="68"/>
      <c r="BK20" s="68"/>
    </row>
    <row r="21" spans="1:63" ht="13.5" thickBot="1">
      <c r="A21" s="208" t="s">
        <v>43</v>
      </c>
      <c r="B21" s="209">
        <v>3717.4</v>
      </c>
      <c r="C21" s="308">
        <f t="shared" si="17"/>
        <v>37917.479999999996</v>
      </c>
      <c r="D21" s="336">
        <v>101.0218</v>
      </c>
      <c r="E21" s="337">
        <v>0</v>
      </c>
      <c r="F21" s="337"/>
      <c r="G21" s="337">
        <v>36094.57</v>
      </c>
      <c r="H21" s="337">
        <v>522.05</v>
      </c>
      <c r="I21" s="337">
        <v>0</v>
      </c>
      <c r="J21" s="337"/>
      <c r="K21" s="337">
        <v>0</v>
      </c>
      <c r="L21" s="337"/>
      <c r="M21" s="337">
        <v>10993.2</v>
      </c>
      <c r="N21" s="337">
        <v>159</v>
      </c>
      <c r="O21" s="337">
        <v>4421.28</v>
      </c>
      <c r="P21" s="337">
        <v>39.6</v>
      </c>
      <c r="Q21" s="337"/>
      <c r="R21" s="337"/>
      <c r="S21" s="338"/>
      <c r="T21" s="339"/>
      <c r="U21" s="333">
        <f t="shared" si="1"/>
        <v>51509.05</v>
      </c>
      <c r="V21" s="334">
        <f t="shared" si="1"/>
        <v>720.65</v>
      </c>
      <c r="W21" s="247">
        <v>0</v>
      </c>
      <c r="X21" s="247">
        <v>38828.37</v>
      </c>
      <c r="Y21" s="247">
        <v>0</v>
      </c>
      <c r="Z21" s="247">
        <v>0</v>
      </c>
      <c r="AA21" s="247">
        <v>11627.37</v>
      </c>
      <c r="AB21" s="247">
        <v>4770.44</v>
      </c>
      <c r="AC21" s="247"/>
      <c r="AD21" s="247"/>
      <c r="AE21" s="253"/>
      <c r="AF21" s="313">
        <f t="shared" si="15"/>
        <v>55226.18000000001</v>
      </c>
      <c r="AG21" s="260">
        <f t="shared" si="16"/>
        <v>56047.851800000004</v>
      </c>
      <c r="AH21" s="314">
        <f t="shared" si="2"/>
        <v>0</v>
      </c>
      <c r="AI21" s="314">
        <f t="shared" si="2"/>
        <v>0</v>
      </c>
      <c r="AJ21" s="315">
        <f>'[11]Т12'!$J$4+'[11]Т12'!$J$11+'[11]Т12'!$J$16+'[11]Т12'!$J$43+'[11]Т12'!$J$50+'[11]Т12'!$J$92+'[11]Т12'!$J$93+'[11]Т12'!$J$177+'[11]Т12'!$J$232</f>
        <v>21577.460799999997</v>
      </c>
      <c r="AK21" s="222">
        <f t="shared" si="3"/>
        <v>2490.6580000000004</v>
      </c>
      <c r="AL21" s="222">
        <f t="shared" si="4"/>
        <v>743.48</v>
      </c>
      <c r="AM21" s="222">
        <f t="shared" si="5"/>
        <v>3717.4</v>
      </c>
      <c r="AN21" s="222">
        <f t="shared" si="6"/>
        <v>780.654</v>
      </c>
      <c r="AO21" s="222">
        <f t="shared" si="7"/>
        <v>7509.148</v>
      </c>
      <c r="AP21" s="222">
        <f t="shared" si="8"/>
        <v>3828.922</v>
      </c>
      <c r="AQ21" s="222">
        <f t="shared" si="9"/>
        <v>2788.05</v>
      </c>
      <c r="AR21" s="222">
        <f t="shared" si="10"/>
        <v>2788.05</v>
      </c>
      <c r="AS21" s="335">
        <f>B21*1.15</f>
        <v>4275.01</v>
      </c>
      <c r="AT21" s="241"/>
      <c r="AU21" s="317">
        <v>9353</v>
      </c>
      <c r="AV21" s="317">
        <v>6704</v>
      </c>
      <c r="AW21" s="317"/>
      <c r="AX21" s="317">
        <f>1500+1900</f>
        <v>3400</v>
      </c>
      <c r="AY21" s="316"/>
      <c r="AZ21" s="318"/>
      <c r="BA21" s="318"/>
      <c r="BB21" s="318"/>
      <c r="BC21" s="319">
        <f t="shared" si="11"/>
        <v>48378.371999999996</v>
      </c>
      <c r="BD21" s="320">
        <f>'[11]Т12'!$S$4+'[11]Т12'!$S$11+'[11]Т12'!$S$16+'[11]Т12'!$S$43+'[11]Т12'!$S$50+'[11]Т12'!$S$92+'[11]Т12'!$S$93+'[11]Т12'!$S$177+'[11]Т12'!$S$232</f>
        <v>15359.0336</v>
      </c>
      <c r="BE21" s="226">
        <f t="shared" si="12"/>
        <v>63737.4056</v>
      </c>
      <c r="BF21" s="226">
        <f t="shared" si="13"/>
        <v>13887.907000000007</v>
      </c>
      <c r="BG21" s="226">
        <f t="shared" si="14"/>
        <v>3717.1300000000047</v>
      </c>
      <c r="BH21" s="330"/>
      <c r="BI21" s="197"/>
      <c r="BJ21" s="68"/>
      <c r="BK21" s="68"/>
    </row>
    <row r="22" spans="1:61" s="29" customFormat="1" ht="13.5" thickBot="1">
      <c r="A22" s="261" t="s">
        <v>5</v>
      </c>
      <c r="B22" s="262"/>
      <c r="C22" s="263">
        <f aca="true" t="shared" si="18" ref="C22:BF22">SUM(C10:C21)</f>
        <v>418207.49999999994</v>
      </c>
      <c r="D22" s="263">
        <f t="shared" si="18"/>
        <v>1782.5126000000002</v>
      </c>
      <c r="E22" s="263">
        <f t="shared" si="18"/>
        <v>81.97</v>
      </c>
      <c r="F22" s="263">
        <f t="shared" si="18"/>
        <v>0</v>
      </c>
      <c r="G22" s="263">
        <f t="shared" si="18"/>
        <v>330745.14</v>
      </c>
      <c r="H22" s="263">
        <f t="shared" si="18"/>
        <v>3650.24</v>
      </c>
      <c r="I22" s="263">
        <f t="shared" si="18"/>
        <v>108.24999999999999</v>
      </c>
      <c r="J22" s="263">
        <f t="shared" si="18"/>
        <v>0</v>
      </c>
      <c r="K22" s="263">
        <f t="shared" si="18"/>
        <v>182.07000000000002</v>
      </c>
      <c r="L22" s="263">
        <f t="shared" si="18"/>
        <v>0</v>
      </c>
      <c r="M22" s="263">
        <f t="shared" si="18"/>
        <v>121802.47</v>
      </c>
      <c r="N22" s="263">
        <f t="shared" si="18"/>
        <v>1339.53</v>
      </c>
      <c r="O22" s="263">
        <f t="shared" si="18"/>
        <v>45954.2</v>
      </c>
      <c r="P22" s="263">
        <f t="shared" si="18"/>
        <v>323.73</v>
      </c>
      <c r="Q22" s="263">
        <f t="shared" si="18"/>
        <v>0</v>
      </c>
      <c r="R22" s="263">
        <f t="shared" si="18"/>
        <v>0</v>
      </c>
      <c r="S22" s="263">
        <f t="shared" si="18"/>
        <v>0</v>
      </c>
      <c r="T22" s="263">
        <f t="shared" si="18"/>
        <v>0</v>
      </c>
      <c r="U22" s="263">
        <f t="shared" si="18"/>
        <v>498874.10000000003</v>
      </c>
      <c r="V22" s="263">
        <f t="shared" si="18"/>
        <v>5313.499999999999</v>
      </c>
      <c r="W22" s="263">
        <f t="shared" si="18"/>
        <v>5021.589999999999</v>
      </c>
      <c r="X22" s="263">
        <f t="shared" si="18"/>
        <v>243673.52000000002</v>
      </c>
      <c r="Y22" s="263">
        <f t="shared" si="18"/>
        <v>6569.03</v>
      </c>
      <c r="Z22" s="263">
        <f t="shared" si="18"/>
        <v>10318.77</v>
      </c>
      <c r="AA22" s="263">
        <f t="shared" si="18"/>
        <v>103940.23999999999</v>
      </c>
      <c r="AB22" s="263">
        <f t="shared" si="18"/>
        <v>39799.72</v>
      </c>
      <c r="AC22" s="263">
        <f t="shared" si="18"/>
        <v>0</v>
      </c>
      <c r="AD22" s="263">
        <f t="shared" si="18"/>
        <v>0</v>
      </c>
      <c r="AE22" s="263">
        <f t="shared" si="18"/>
        <v>0</v>
      </c>
      <c r="AF22" s="263">
        <f t="shared" si="18"/>
        <v>409322.86999999994</v>
      </c>
      <c r="AG22" s="263">
        <f t="shared" si="18"/>
        <v>416418.8826</v>
      </c>
      <c r="AH22" s="263">
        <f t="shared" si="18"/>
        <v>0</v>
      </c>
      <c r="AI22" s="263">
        <f t="shared" si="18"/>
        <v>0</v>
      </c>
      <c r="AJ22" s="263">
        <f t="shared" si="18"/>
        <v>258473.5196</v>
      </c>
      <c r="AK22" s="263">
        <f t="shared" si="18"/>
        <v>29887.895999999997</v>
      </c>
      <c r="AL22" s="263">
        <f t="shared" si="18"/>
        <v>8921.759999999998</v>
      </c>
      <c r="AM22" s="263">
        <f t="shared" si="18"/>
        <v>44608.80000000001</v>
      </c>
      <c r="AN22" s="263">
        <f t="shared" si="18"/>
        <v>9367.848000000002</v>
      </c>
      <c r="AO22" s="263">
        <f t="shared" si="18"/>
        <v>90109.776</v>
      </c>
      <c r="AP22" s="263">
        <f t="shared" si="18"/>
        <v>45947.06399999999</v>
      </c>
      <c r="AQ22" s="263">
        <f t="shared" si="18"/>
        <v>33456.6</v>
      </c>
      <c r="AR22" s="263">
        <f t="shared" si="18"/>
        <v>33456.6</v>
      </c>
      <c r="AS22" s="263">
        <f t="shared" si="18"/>
        <v>25650.060000000005</v>
      </c>
      <c r="AT22" s="263">
        <f t="shared" si="18"/>
        <v>0</v>
      </c>
      <c r="AU22" s="263">
        <f t="shared" si="18"/>
        <v>153968</v>
      </c>
      <c r="AV22" s="263">
        <f t="shared" si="18"/>
        <v>7242</v>
      </c>
      <c r="AW22" s="263">
        <f t="shared" si="18"/>
        <v>16508</v>
      </c>
      <c r="AX22" s="263">
        <f t="shared" si="18"/>
        <v>38726.88999999999</v>
      </c>
      <c r="AY22" s="263">
        <f t="shared" si="18"/>
        <v>0</v>
      </c>
      <c r="AZ22" s="263">
        <f t="shared" si="18"/>
        <v>0</v>
      </c>
      <c r="BA22" s="263">
        <f t="shared" si="18"/>
        <v>50070.1</v>
      </c>
      <c r="BB22" s="263">
        <f t="shared" si="18"/>
        <v>0</v>
      </c>
      <c r="BC22" s="263">
        <f t="shared" si="18"/>
        <v>587921.394</v>
      </c>
      <c r="BD22" s="263">
        <f t="shared" si="18"/>
        <v>184194.40319999997</v>
      </c>
      <c r="BE22" s="263">
        <f t="shared" si="18"/>
        <v>772115.7971999999</v>
      </c>
      <c r="BF22" s="263">
        <f t="shared" si="18"/>
        <v>-97223.39499999997</v>
      </c>
      <c r="BG22" s="263">
        <f>SUM(BG10:BG21)</f>
        <v>-44721.80439999999</v>
      </c>
      <c r="BI22" s="59"/>
    </row>
    <row r="23" spans="1:61" s="29" customFormat="1" ht="13.5" thickBot="1">
      <c r="A23" s="264"/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O23" s="265"/>
      <c r="AP23" s="265"/>
      <c r="AQ23" s="265"/>
      <c r="AR23" s="265"/>
      <c r="AS23" s="265"/>
      <c r="AT23" s="265"/>
      <c r="AU23" s="265"/>
      <c r="AV23" s="265"/>
      <c r="AW23" s="265"/>
      <c r="AX23" s="265"/>
      <c r="AY23" s="265"/>
      <c r="AZ23" s="265"/>
      <c r="BA23" s="265"/>
      <c r="BB23" s="265"/>
      <c r="BC23" s="265"/>
      <c r="BD23" s="265"/>
      <c r="BE23" s="266"/>
      <c r="BF23" s="265"/>
      <c r="BG23" s="267"/>
      <c r="BI23" s="59"/>
    </row>
    <row r="24" spans="1:59" s="29" customFormat="1" ht="13.5" thickBot="1">
      <c r="A24" s="33" t="s">
        <v>54</v>
      </c>
      <c r="B24" s="265"/>
      <c r="C24" s="268">
        <f aca="true" t="shared" si="19" ref="C24:L24">C22+C8</f>
        <v>1286060.27</v>
      </c>
      <c r="D24" s="268">
        <f t="shared" si="19"/>
        <v>98491.07029915003</v>
      </c>
      <c r="E24" s="268">
        <f t="shared" si="19"/>
        <v>75380.01999999999</v>
      </c>
      <c r="F24" s="268">
        <f t="shared" si="19"/>
        <v>13417.149999999998</v>
      </c>
      <c r="G24" s="268">
        <f t="shared" si="19"/>
        <v>330745.14</v>
      </c>
      <c r="H24" s="268">
        <f t="shared" si="19"/>
        <v>3650.24</v>
      </c>
      <c r="I24" s="268">
        <f t="shared" si="19"/>
        <v>100660.03000000001</v>
      </c>
      <c r="J24" s="268">
        <f t="shared" si="19"/>
        <v>18163.910000000003</v>
      </c>
      <c r="K24" s="268">
        <f t="shared" si="19"/>
        <v>167602.62</v>
      </c>
      <c r="L24" s="268">
        <f t="shared" si="19"/>
        <v>30238.699999999997</v>
      </c>
      <c r="M24" s="268">
        <f>Лист1!I42</f>
        <v>241624.74</v>
      </c>
      <c r="N24" s="268">
        <f aca="true" t="shared" si="20" ref="N24:BG24">N22+N8</f>
        <v>45328.8</v>
      </c>
      <c r="O24" s="268">
        <f t="shared" si="20"/>
        <v>105392.34999999999</v>
      </c>
      <c r="P24" s="268">
        <f t="shared" si="20"/>
        <v>11057.59</v>
      </c>
      <c r="Q24" s="268">
        <f t="shared" si="20"/>
        <v>0</v>
      </c>
      <c r="R24" s="268">
        <f t="shared" si="20"/>
        <v>0</v>
      </c>
      <c r="S24" s="268">
        <f t="shared" si="20"/>
        <v>0</v>
      </c>
      <c r="T24" s="268">
        <f t="shared" si="20"/>
        <v>0</v>
      </c>
      <c r="U24" s="268">
        <f t="shared" si="20"/>
        <v>1143207.37</v>
      </c>
      <c r="V24" s="268">
        <f t="shared" si="20"/>
        <v>121856.38999999997</v>
      </c>
      <c r="W24" s="268">
        <f t="shared" si="20"/>
        <v>77949.23999999999</v>
      </c>
      <c r="X24" s="268">
        <f t="shared" si="20"/>
        <v>243673.52000000002</v>
      </c>
      <c r="Y24" s="268">
        <f t="shared" si="20"/>
        <v>105245.7</v>
      </c>
      <c r="Z24" s="268">
        <f t="shared" si="20"/>
        <v>174630.29</v>
      </c>
      <c r="AA24" s="268">
        <f t="shared" si="20"/>
        <v>347065.29</v>
      </c>
      <c r="AB24" s="268">
        <f t="shared" si="20"/>
        <v>98141.26</v>
      </c>
      <c r="AC24" s="268">
        <f t="shared" si="20"/>
        <v>0</v>
      </c>
      <c r="AD24" s="268">
        <f t="shared" si="20"/>
        <v>0</v>
      </c>
      <c r="AE24" s="268">
        <f t="shared" si="20"/>
        <v>0</v>
      </c>
      <c r="AF24" s="268">
        <f t="shared" si="20"/>
        <v>1046705.2999999998</v>
      </c>
      <c r="AG24" s="268">
        <f t="shared" si="20"/>
        <v>1267052.76029915</v>
      </c>
      <c r="AH24" s="268">
        <f t="shared" si="20"/>
        <v>0</v>
      </c>
      <c r="AI24" s="268">
        <f t="shared" si="20"/>
        <v>0</v>
      </c>
      <c r="AJ24" s="268">
        <f t="shared" si="20"/>
        <v>711367.881272</v>
      </c>
      <c r="AK24" s="268">
        <f t="shared" si="20"/>
        <v>89194.24799999999</v>
      </c>
      <c r="AL24" s="268">
        <f t="shared" si="20"/>
        <v>28794.2534684</v>
      </c>
      <c r="AM24" s="268">
        <f t="shared" si="20"/>
        <v>143059.707410636</v>
      </c>
      <c r="AN24" s="268">
        <f t="shared" si="20"/>
        <v>9367.848000000002</v>
      </c>
      <c r="AO24" s="268">
        <f t="shared" si="20"/>
        <v>188306.7477242636</v>
      </c>
      <c r="AP24" s="268">
        <f t="shared" si="20"/>
        <v>265621.64113479934</v>
      </c>
      <c r="AQ24" s="268">
        <f t="shared" si="20"/>
        <v>33456.6</v>
      </c>
      <c r="AR24" s="268">
        <f t="shared" si="20"/>
        <v>33456.6</v>
      </c>
      <c r="AS24" s="268">
        <f t="shared" si="20"/>
        <v>25650.060000000005</v>
      </c>
      <c r="AT24" s="268">
        <f t="shared" si="20"/>
        <v>0</v>
      </c>
      <c r="AU24" s="268">
        <f t="shared" si="20"/>
        <v>419888.67</v>
      </c>
      <c r="AV24" s="268">
        <f t="shared" si="20"/>
        <v>7242</v>
      </c>
      <c r="AW24" s="269">
        <f t="shared" si="20"/>
        <v>120333.3458</v>
      </c>
      <c r="AX24" s="269">
        <f t="shared" si="20"/>
        <v>54061.36759999999</v>
      </c>
      <c r="AY24" s="269">
        <f t="shared" si="20"/>
        <v>29937.6</v>
      </c>
      <c r="AZ24" s="269">
        <f t="shared" si="20"/>
        <v>0</v>
      </c>
      <c r="BA24" s="269">
        <f t="shared" si="20"/>
        <v>50070.1</v>
      </c>
      <c r="BB24" s="269">
        <f t="shared" si="20"/>
        <v>0</v>
      </c>
      <c r="BC24" s="269">
        <f t="shared" si="20"/>
        <v>1498440.7891380992</v>
      </c>
      <c r="BD24" s="269">
        <f t="shared" si="20"/>
        <v>395839.4303207459</v>
      </c>
      <c r="BE24" s="269">
        <f t="shared" si="20"/>
        <v>1894280.219458845</v>
      </c>
      <c r="BF24" s="269">
        <f t="shared" si="20"/>
        <v>84140.42211230514</v>
      </c>
      <c r="BG24" s="269">
        <f t="shared" si="20"/>
        <v>-51672.6444</v>
      </c>
    </row>
  </sheetData>
  <sheetProtection/>
  <mergeCells count="56">
    <mergeCell ref="A1:N1"/>
    <mergeCell ref="A3:A6"/>
    <mergeCell ref="B3:B6"/>
    <mergeCell ref="C3:C6"/>
    <mergeCell ref="D3:D6"/>
    <mergeCell ref="E3:R4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Z5:AZ6"/>
    <mergeCell ref="BA5:BA6"/>
    <mergeCell ref="BB5:BB6"/>
    <mergeCell ref="BC5:BC6"/>
    <mergeCell ref="BD5:BD6"/>
    <mergeCell ref="BE5:B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1"/>
  <sheetViews>
    <sheetView zoomScalePageLayoutView="0" workbookViewId="0" topLeftCell="E10">
      <selection activeCell="L18" sqref="L18"/>
    </sheetView>
  </sheetViews>
  <sheetFormatPr defaultColWidth="9.00390625" defaultRowHeight="12.75"/>
  <cols>
    <col min="1" max="1" width="10.00390625" style="196" customWidth="1"/>
    <col min="2" max="2" width="8.375" style="196" customWidth="1"/>
    <col min="3" max="3" width="11.875" style="196" customWidth="1"/>
    <col min="4" max="4" width="10.75390625" style="196" customWidth="1"/>
    <col min="5" max="5" width="11.625" style="196" customWidth="1"/>
    <col min="6" max="6" width="9.875" style="196" customWidth="1"/>
    <col min="7" max="7" width="11.875" style="196" customWidth="1"/>
    <col min="8" max="9" width="11.375" style="196" customWidth="1"/>
    <col min="10" max="10" width="9.25390625" style="196" customWidth="1"/>
    <col min="11" max="11" width="9.875" style="196" customWidth="1"/>
    <col min="12" max="12" width="10.875" style="196" customWidth="1"/>
    <col min="13" max="13" width="10.125" style="196" customWidth="1"/>
    <col min="14" max="14" width="9.375" style="196" customWidth="1"/>
    <col min="15" max="15" width="11.625" style="196" hidden="1" customWidth="1"/>
    <col min="16" max="16" width="11.375" style="196" customWidth="1"/>
    <col min="17" max="17" width="9.375" style="196" customWidth="1"/>
    <col min="18" max="18" width="12.625" style="196" customWidth="1"/>
    <col min="19" max="19" width="11.00390625" style="196" customWidth="1"/>
    <col min="20" max="20" width="10.75390625" style="196" customWidth="1"/>
    <col min="21" max="16384" width="9.125" style="196" customWidth="1"/>
  </cols>
  <sheetData>
    <row r="1" spans="2:9" ht="20.25" customHeight="1">
      <c r="B1" s="542" t="s">
        <v>55</v>
      </c>
      <c r="C1" s="542"/>
      <c r="D1" s="542"/>
      <c r="E1" s="542"/>
      <c r="F1" s="542"/>
      <c r="G1" s="542"/>
      <c r="H1" s="542"/>
      <c r="I1" s="35"/>
    </row>
    <row r="2" spans="2:12" ht="21" customHeight="1">
      <c r="B2" s="542" t="s">
        <v>56</v>
      </c>
      <c r="C2" s="542"/>
      <c r="D2" s="542"/>
      <c r="E2" s="542"/>
      <c r="F2" s="542"/>
      <c r="G2" s="542"/>
      <c r="H2" s="542"/>
      <c r="I2" s="35"/>
      <c r="K2" s="195"/>
      <c r="L2" s="195"/>
    </row>
    <row r="5" spans="1:17" ht="12.75">
      <c r="A5" s="440" t="s">
        <v>122</v>
      </c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36"/>
    </row>
    <row r="6" spans="1:17" ht="12.75">
      <c r="A6" s="543" t="s">
        <v>123</v>
      </c>
      <c r="B6" s="543"/>
      <c r="C6" s="543"/>
      <c r="D6" s="543"/>
      <c r="E6" s="543"/>
      <c r="F6" s="543"/>
      <c r="G6" s="543"/>
      <c r="H6" s="124"/>
      <c r="I6" s="124"/>
      <c r="J6" s="124"/>
      <c r="K6" s="124"/>
      <c r="L6" s="124"/>
      <c r="M6" s="124"/>
      <c r="N6" s="124"/>
      <c r="O6" s="124"/>
      <c r="P6" s="124"/>
      <c r="Q6" s="124"/>
    </row>
    <row r="7" spans="1:18" ht="13.5" thickBot="1">
      <c r="A7" s="544" t="s">
        <v>57</v>
      </c>
      <c r="B7" s="544"/>
      <c r="C7" s="544"/>
      <c r="D7" s="544"/>
      <c r="E7" s="544">
        <v>14.05</v>
      </c>
      <c r="F7" s="544"/>
      <c r="I7" s="270"/>
      <c r="J7" s="270"/>
      <c r="K7" s="270"/>
      <c r="L7" s="270"/>
      <c r="M7" s="270"/>
      <c r="N7" s="270"/>
      <c r="O7" s="270"/>
      <c r="P7" s="270"/>
      <c r="Q7" s="270"/>
      <c r="R7" s="270"/>
    </row>
    <row r="8" spans="1:20" ht="12.75" customHeight="1">
      <c r="A8" s="390" t="s">
        <v>58</v>
      </c>
      <c r="B8" s="442" t="s">
        <v>1</v>
      </c>
      <c r="C8" s="445" t="s">
        <v>59</v>
      </c>
      <c r="D8" s="522" t="s">
        <v>3</v>
      </c>
      <c r="E8" s="525" t="s">
        <v>60</v>
      </c>
      <c r="F8" s="427"/>
      <c r="G8" s="538" t="s">
        <v>116</v>
      </c>
      <c r="H8" s="539"/>
      <c r="I8" s="327"/>
      <c r="J8" s="545" t="s">
        <v>10</v>
      </c>
      <c r="K8" s="546"/>
      <c r="L8" s="546"/>
      <c r="M8" s="546"/>
      <c r="N8" s="546"/>
      <c r="O8" s="546"/>
      <c r="P8" s="546"/>
      <c r="Q8" s="546"/>
      <c r="R8" s="547"/>
      <c r="S8" s="530" t="s">
        <v>61</v>
      </c>
      <c r="T8" s="530" t="s">
        <v>12</v>
      </c>
    </row>
    <row r="9" spans="1:20" ht="12.75">
      <c r="A9" s="391"/>
      <c r="B9" s="443"/>
      <c r="C9" s="446"/>
      <c r="D9" s="523"/>
      <c r="E9" s="526"/>
      <c r="F9" s="527"/>
      <c r="G9" s="540"/>
      <c r="H9" s="541"/>
      <c r="I9" s="328"/>
      <c r="J9" s="548"/>
      <c r="K9" s="549"/>
      <c r="L9" s="549"/>
      <c r="M9" s="549"/>
      <c r="N9" s="549"/>
      <c r="O9" s="549"/>
      <c r="P9" s="549"/>
      <c r="Q9" s="549"/>
      <c r="R9" s="550"/>
      <c r="S9" s="531"/>
      <c r="T9" s="531"/>
    </row>
    <row r="10" spans="1:20" ht="26.25" customHeight="1">
      <c r="A10" s="391"/>
      <c r="B10" s="443"/>
      <c r="C10" s="446"/>
      <c r="D10" s="523"/>
      <c r="E10" s="533" t="s">
        <v>62</v>
      </c>
      <c r="F10" s="414"/>
      <c r="G10" s="271" t="s">
        <v>63</v>
      </c>
      <c r="H10" s="534" t="s">
        <v>7</v>
      </c>
      <c r="I10" s="520" t="s">
        <v>124</v>
      </c>
      <c r="J10" s="417" t="s">
        <v>64</v>
      </c>
      <c r="K10" s="419" t="s">
        <v>117</v>
      </c>
      <c r="L10" s="419" t="s">
        <v>65</v>
      </c>
      <c r="M10" s="419" t="s">
        <v>37</v>
      </c>
      <c r="N10" s="419" t="s">
        <v>66</v>
      </c>
      <c r="O10" s="528" t="s">
        <v>38</v>
      </c>
      <c r="P10" s="528" t="s">
        <v>118</v>
      </c>
      <c r="Q10" s="528" t="s">
        <v>38</v>
      </c>
      <c r="R10" s="535" t="s">
        <v>39</v>
      </c>
      <c r="S10" s="531"/>
      <c r="T10" s="531"/>
    </row>
    <row r="11" spans="1:20" ht="66.75" customHeight="1" thickBot="1">
      <c r="A11" s="441"/>
      <c r="B11" s="444"/>
      <c r="C11" s="447"/>
      <c r="D11" s="524"/>
      <c r="E11" s="272" t="s">
        <v>67</v>
      </c>
      <c r="F11" s="273" t="s">
        <v>21</v>
      </c>
      <c r="G11" s="274" t="s">
        <v>119</v>
      </c>
      <c r="H11" s="535"/>
      <c r="I11" s="521"/>
      <c r="J11" s="536"/>
      <c r="K11" s="528"/>
      <c r="L11" s="528"/>
      <c r="M11" s="528"/>
      <c r="N11" s="528"/>
      <c r="O11" s="529"/>
      <c r="P11" s="529"/>
      <c r="Q11" s="529"/>
      <c r="R11" s="537"/>
      <c r="S11" s="532"/>
      <c r="T11" s="532"/>
    </row>
    <row r="12" spans="1:20" ht="13.5" thickBot="1">
      <c r="A12" s="39">
        <v>1</v>
      </c>
      <c r="B12" s="40">
        <v>2</v>
      </c>
      <c r="C12" s="39">
        <v>3</v>
      </c>
      <c r="D12" s="40">
        <v>4</v>
      </c>
      <c r="E12" s="39">
        <v>5</v>
      </c>
      <c r="F12" s="40">
        <v>6</v>
      </c>
      <c r="G12" s="39">
        <v>7</v>
      </c>
      <c r="H12" s="40">
        <v>8</v>
      </c>
      <c r="I12" s="39">
        <v>9</v>
      </c>
      <c r="J12" s="40">
        <v>10</v>
      </c>
      <c r="K12" s="39">
        <v>11</v>
      </c>
      <c r="L12" s="40">
        <v>12</v>
      </c>
      <c r="M12" s="39">
        <v>13</v>
      </c>
      <c r="N12" s="40">
        <v>14</v>
      </c>
      <c r="O12" s="39">
        <v>15</v>
      </c>
      <c r="P12" s="40">
        <v>16</v>
      </c>
      <c r="Q12" s="39">
        <v>17</v>
      </c>
      <c r="R12" s="40">
        <v>18</v>
      </c>
      <c r="S12" s="39">
        <v>19</v>
      </c>
      <c r="T12" s="40">
        <v>20</v>
      </c>
    </row>
    <row r="13" spans="1:20" ht="13.5" thickBot="1">
      <c r="A13" s="518" t="s">
        <v>120</v>
      </c>
      <c r="B13" s="519"/>
      <c r="C13" s="519"/>
      <c r="D13" s="519"/>
      <c r="E13" s="519"/>
      <c r="F13" s="519"/>
      <c r="G13" s="519"/>
      <c r="H13" s="519"/>
      <c r="I13" s="519"/>
      <c r="J13" s="519"/>
      <c r="K13" s="519"/>
      <c r="L13" s="519"/>
      <c r="M13" s="519"/>
      <c r="N13" s="519"/>
      <c r="O13" s="519"/>
      <c r="P13" s="519"/>
      <c r="Q13" s="36"/>
      <c r="R13" s="275"/>
      <c r="S13" s="276"/>
      <c r="T13" s="276"/>
    </row>
    <row r="14" spans="1:22" s="29" customFormat="1" ht="13.5" thickBot="1">
      <c r="A14" s="65" t="s">
        <v>54</v>
      </c>
      <c r="B14" s="66"/>
      <c r="C14" s="277">
        <f>'2011 полн'!C24</f>
        <v>1286060.27</v>
      </c>
      <c r="D14" s="277">
        <f>'2011 полн'!D24</f>
        <v>98491.07029915003</v>
      </c>
      <c r="E14" s="277">
        <f>'2011 полн'!U24</f>
        <v>1143207.37</v>
      </c>
      <c r="F14" s="277">
        <f>'2011 полн'!V24</f>
        <v>121856.38999999997</v>
      </c>
      <c r="G14" s="277">
        <f>'2011 полн'!AF8</f>
        <v>637382.4299999999</v>
      </c>
      <c r="H14" s="277">
        <f>'2011 полн'!AG8</f>
        <v>850633.87769915</v>
      </c>
      <c r="I14" s="277">
        <f>'2011 полн'!AJ8</f>
        <v>452894.3616720001</v>
      </c>
      <c r="J14" s="277">
        <f>'2011 полн'!AK8</f>
        <v>59306.352</v>
      </c>
      <c r="K14" s="277">
        <f>'2011 полн'!AL8</f>
        <v>19872.4934684</v>
      </c>
      <c r="L14" s="277">
        <f>'2011 полн'!AM8+'2011 полн'!AO8+'2011 полн'!AP8+'2011 полн'!AX8</f>
        <v>431656.9338696989</v>
      </c>
      <c r="M14" s="277">
        <f>'2011 полн'!AU8+'2011 полн'!AV8+'2011 полн'!AW8</f>
        <v>369746.0158</v>
      </c>
      <c r="N14" s="277">
        <f>'2011 полн'!AY8</f>
        <v>29937.6</v>
      </c>
      <c r="O14" s="277"/>
      <c r="P14" s="277">
        <f>'2011 полн'!BD8</f>
        <v>211645.02712074594</v>
      </c>
      <c r="Q14" s="277">
        <v>0</v>
      </c>
      <c r="R14" s="277">
        <f>'2011 полн'!BE8</f>
        <v>1122164.422258845</v>
      </c>
      <c r="S14" s="277">
        <f>'2011 полн'!BF8</f>
        <v>181363.8171123051</v>
      </c>
      <c r="T14" s="277">
        <f>'2011 полн'!BG8</f>
        <v>-6950.840000000004</v>
      </c>
      <c r="U14" s="68"/>
      <c r="V14" s="59"/>
    </row>
    <row r="15" spans="1:22" ht="12.75">
      <c r="A15" s="8" t="s">
        <v>115</v>
      </c>
      <c r="B15" s="278"/>
      <c r="C15" s="60"/>
      <c r="D15" s="279"/>
      <c r="E15" s="280"/>
      <c r="F15" s="281"/>
      <c r="G15" s="282"/>
      <c r="H15" s="281"/>
      <c r="I15" s="326"/>
      <c r="J15" s="282"/>
      <c r="K15" s="283"/>
      <c r="L15" s="283"/>
      <c r="M15" s="284"/>
      <c r="N15" s="285"/>
      <c r="O15" s="286"/>
      <c r="P15" s="286"/>
      <c r="Q15" s="286"/>
      <c r="R15" s="287"/>
      <c r="S15" s="288"/>
      <c r="T15" s="288"/>
      <c r="U15" s="195"/>
      <c r="V15" s="195"/>
    </row>
    <row r="16" spans="1:22" ht="12.75">
      <c r="A16" s="208" t="s">
        <v>45</v>
      </c>
      <c r="B16" s="289">
        <f>'2011 полн'!B10</f>
        <v>3717.4</v>
      </c>
      <c r="C16" s="46">
        <f>'2011 полн'!C10</f>
        <v>31783.770000000004</v>
      </c>
      <c r="D16" s="290">
        <f>'2011 полн'!D10</f>
        <v>214.6584</v>
      </c>
      <c r="E16" s="283">
        <f>'2011 полн'!U10</f>
        <v>32188.660000000003</v>
      </c>
      <c r="F16" s="283">
        <f>'2011 полн'!V10</f>
        <v>159.22</v>
      </c>
      <c r="G16" s="291">
        <f>'2011 полн'!AF10</f>
        <v>21114.719999999998</v>
      </c>
      <c r="H16" s="291">
        <f>'2011 полн'!AG10</f>
        <v>21488.5984</v>
      </c>
      <c r="I16" s="291">
        <f>'2011 полн'!AJ10</f>
        <v>21463.450800000002</v>
      </c>
      <c r="J16" s="291">
        <f>'2011 полн'!AK10</f>
        <v>2490.6580000000004</v>
      </c>
      <c r="K16" s="283">
        <f>'2011 полн'!AL10</f>
        <v>743.48</v>
      </c>
      <c r="L16" s="283">
        <f>'2011 полн'!AM10+'2011 полн'!AN10+'2011 полн'!AO10+'2011 полн'!AP10+'2011 полн'!AQ10+'2011 полн'!AR10+'2011 полн'!AS10+'2011 полн'!AX10</f>
        <v>25753.374000000003</v>
      </c>
      <c r="M16" s="284">
        <f>'2011 полн'!AU10+'2011 полн'!AV10+'2011 полн'!AW10</f>
        <v>4498</v>
      </c>
      <c r="N16" s="284">
        <f>'2011 полн'!AY10</f>
        <v>0</v>
      </c>
      <c r="O16" s="292"/>
      <c r="P16" s="292">
        <f>'2011 полн'!BD10</f>
        <v>15330.5336</v>
      </c>
      <c r="Q16" s="292">
        <f>'2011 полн'!BA10</f>
        <v>0</v>
      </c>
      <c r="R16" s="287">
        <f>'2011 полн'!BE10</f>
        <v>48816.0456</v>
      </c>
      <c r="S16" s="288">
        <f>'2011 полн'!BF10</f>
        <v>-5863.996399999996</v>
      </c>
      <c r="T16" s="288">
        <f>G16-E16</f>
        <v>-11073.940000000006</v>
      </c>
      <c r="U16" s="195"/>
      <c r="V16" s="195"/>
    </row>
    <row r="17" spans="1:22" ht="12.75">
      <c r="A17" s="208" t="s">
        <v>46</v>
      </c>
      <c r="B17" s="289">
        <f>'2011 полн'!B11</f>
        <v>3717.4</v>
      </c>
      <c r="C17" s="46">
        <f>'2011 полн'!C11</f>
        <v>31783.770000000004</v>
      </c>
      <c r="D17" s="290">
        <f>'2011 полн'!D11</f>
        <v>158.09860000000003</v>
      </c>
      <c r="E17" s="283">
        <f>'2011 полн'!U11</f>
        <v>31181.120000000003</v>
      </c>
      <c r="F17" s="283">
        <f>'2011 полн'!V11</f>
        <v>0</v>
      </c>
      <c r="G17" s="291">
        <f>'2011 полн'!AF11</f>
        <v>27737.66</v>
      </c>
      <c r="H17" s="291">
        <f>'2011 полн'!AG11</f>
        <v>27895.7586</v>
      </c>
      <c r="I17" s="291">
        <f>'2011 полн'!AJ11</f>
        <v>21463.460799999997</v>
      </c>
      <c r="J17" s="291">
        <f>'2011 полн'!AK11</f>
        <v>2490.6580000000004</v>
      </c>
      <c r="K17" s="283">
        <f>'2011 полн'!AL11</f>
        <v>743.48</v>
      </c>
      <c r="L17" s="283">
        <f>'2011 полн'!AM11+'2011 полн'!AN11+'2011 полн'!AO11+'2011 полн'!AP11+'2011 полн'!AQ11+'2011 полн'!AR11+'2011 полн'!AS11+'2011 полн'!AX11</f>
        <v>25865.794000000005</v>
      </c>
      <c r="M17" s="284">
        <f>'2011 полн'!AU11+'2011 полн'!AV11+'2011 полн'!AW11</f>
        <v>1289</v>
      </c>
      <c r="N17" s="284">
        <f>'2011 полн'!AY11</f>
        <v>0</v>
      </c>
      <c r="O17" s="292"/>
      <c r="P17" s="292">
        <f>'2011 полн'!BD11</f>
        <v>15330.5336</v>
      </c>
      <c r="Q17" s="292">
        <f>'2011 полн'!BA11</f>
        <v>0</v>
      </c>
      <c r="R17" s="287">
        <f>'2011 полн'!BE11</f>
        <v>45719.465599999996</v>
      </c>
      <c r="S17" s="288">
        <f>'2011 полн'!BF11</f>
        <v>3639.753800000006</v>
      </c>
      <c r="T17" s="288">
        <f aca="true" t="shared" si="0" ref="T17:T27">G17-E17</f>
        <v>-3443.4600000000028</v>
      </c>
      <c r="U17" s="195"/>
      <c r="V17" s="195"/>
    </row>
    <row r="18" spans="1:22" ht="12.75">
      <c r="A18" s="208" t="s">
        <v>47</v>
      </c>
      <c r="B18" s="289">
        <f>'2011 полн'!B12</f>
        <v>3717.4</v>
      </c>
      <c r="C18" s="46">
        <f>'2011 полн'!C12</f>
        <v>31783.770000000004</v>
      </c>
      <c r="D18" s="290">
        <f>'2011 полн'!D12</f>
        <v>158.09860000000003</v>
      </c>
      <c r="E18" s="283">
        <f>'2011 полн'!U12</f>
        <v>31731.100000000002</v>
      </c>
      <c r="F18" s="283">
        <f>'2011 полн'!V12</f>
        <v>428.04999999999995</v>
      </c>
      <c r="G18" s="291">
        <f>'2011 полн'!AF12</f>
        <v>32586.290000000005</v>
      </c>
      <c r="H18" s="291">
        <f>'2011 полн'!AG12</f>
        <v>33172.4386</v>
      </c>
      <c r="I18" s="291">
        <f>'2011 полн'!AJ12</f>
        <v>21463.460799999997</v>
      </c>
      <c r="J18" s="291">
        <f>'2011 полн'!AK12</f>
        <v>2490.6580000000004</v>
      </c>
      <c r="K18" s="283">
        <f>'2011 полн'!AL12</f>
        <v>743.48</v>
      </c>
      <c r="L18" s="283">
        <f>'2011 полн'!AM12+'2011 полн'!AN12+'2011 полн'!AO12+'2011 полн'!AP12+'2011 полн'!AQ12+'2011 полн'!AR12+'2011 полн'!AS12+'2011 полн'!AX12</f>
        <v>37921.234000000004</v>
      </c>
      <c r="M18" s="284">
        <f>'2011 полн'!AU12+'2011 полн'!AV12+'2011 полн'!AW12</f>
        <v>0</v>
      </c>
      <c r="N18" s="284">
        <f>'2011 полн'!AY12</f>
        <v>0</v>
      </c>
      <c r="O18" s="292"/>
      <c r="P18" s="292">
        <f>'2011 полн'!BD12</f>
        <v>15330.5336</v>
      </c>
      <c r="Q18" s="292">
        <f>'2011 полн'!BA12</f>
        <v>0</v>
      </c>
      <c r="R18" s="287">
        <f>'2011 полн'!BE12</f>
        <v>56485.9056</v>
      </c>
      <c r="S18" s="288">
        <f>'2011 полн'!BF12</f>
        <v>-1850.0062000000034</v>
      </c>
      <c r="T18" s="288">
        <f t="shared" si="0"/>
        <v>855.1900000000023</v>
      </c>
      <c r="U18" s="195"/>
      <c r="V18" s="195"/>
    </row>
    <row r="19" spans="1:22" ht="12.75">
      <c r="A19" s="208" t="s">
        <v>48</v>
      </c>
      <c r="B19" s="289">
        <f>'2011 полн'!B13</f>
        <v>3717.4</v>
      </c>
      <c r="C19" s="46">
        <f>'2011 полн'!C13</f>
        <v>31783.770000000004</v>
      </c>
      <c r="D19" s="290">
        <f>'2011 полн'!D13</f>
        <v>158.09860000000003</v>
      </c>
      <c r="E19" s="283">
        <f>'2011 полн'!U13</f>
        <v>31722.23</v>
      </c>
      <c r="F19" s="283">
        <f>'2011 полн'!V13</f>
        <v>0</v>
      </c>
      <c r="G19" s="291">
        <f>'2011 полн'!AF13</f>
        <v>31206.329999999998</v>
      </c>
      <c r="H19" s="291">
        <f>'2011 полн'!AG13</f>
        <v>31364.4286</v>
      </c>
      <c r="I19" s="291">
        <f>'2011 полн'!AJ13</f>
        <v>21463.460799999997</v>
      </c>
      <c r="J19" s="291">
        <f>'2011 полн'!AK13</f>
        <v>2490.6580000000004</v>
      </c>
      <c r="K19" s="283">
        <f>'2011 полн'!AL13</f>
        <v>743.48</v>
      </c>
      <c r="L19" s="283">
        <f>'2011 полн'!AM13+'2011 полн'!AN13+'2011 полн'!AO13+'2011 полн'!AP13+'2011 полн'!AQ13+'2011 полн'!AR13+'2011 полн'!AS13+'2011 полн'!AX13</f>
        <v>21981.824</v>
      </c>
      <c r="M19" s="284">
        <f>'2011 полн'!AU13+'2011 полн'!AV13+'2011 полн'!AW13</f>
        <v>791</v>
      </c>
      <c r="N19" s="284">
        <f>'2011 полн'!AY13</f>
        <v>0</v>
      </c>
      <c r="O19" s="292"/>
      <c r="P19" s="292">
        <f>'2011 полн'!BD13</f>
        <v>15330.5336</v>
      </c>
      <c r="Q19" s="292">
        <f>'2011 полн'!BA13</f>
        <v>0</v>
      </c>
      <c r="R19" s="287">
        <f>'2011 полн'!BE13</f>
        <v>41337.495599999995</v>
      </c>
      <c r="S19" s="288">
        <f>'2011 полн'!BF13</f>
        <v>11490.393800000005</v>
      </c>
      <c r="T19" s="288">
        <f t="shared" si="0"/>
        <v>-515.9000000000015</v>
      </c>
      <c r="U19" s="195"/>
      <c r="V19" s="195"/>
    </row>
    <row r="20" spans="1:22" ht="12.75">
      <c r="A20" s="208" t="s">
        <v>49</v>
      </c>
      <c r="B20" s="289">
        <f>'2011 полн'!B14</f>
        <v>3717.4</v>
      </c>
      <c r="C20" s="46">
        <f>'2011 полн'!C14</f>
        <v>31783.770000000004</v>
      </c>
      <c r="D20" s="290">
        <f>'2011 полн'!D14</f>
        <v>158.09860000000003</v>
      </c>
      <c r="E20" s="283">
        <f>'2011 полн'!U14</f>
        <v>31734.17</v>
      </c>
      <c r="F20" s="283">
        <f>'2011 полн'!V14</f>
        <v>0</v>
      </c>
      <c r="G20" s="291">
        <f>'2011 полн'!AF14</f>
        <v>26939.62</v>
      </c>
      <c r="H20" s="291">
        <f>'2011 полн'!AG14</f>
        <v>27097.7186</v>
      </c>
      <c r="I20" s="291">
        <f>'2011 полн'!AJ14</f>
        <v>21577.460799999997</v>
      </c>
      <c r="J20" s="291">
        <f>'2011 полн'!AK14</f>
        <v>2490.6580000000004</v>
      </c>
      <c r="K20" s="283">
        <f>'2011 полн'!AL14</f>
        <v>743.48</v>
      </c>
      <c r="L20" s="283">
        <f>'2011 полн'!AM14+'2011 полн'!AN14+'2011 полн'!AO14+'2011 полн'!AP14+'2011 полн'!AQ14+'2011 полн'!AR14+'2011 полн'!AS14+'2011 полн'!AX14</f>
        <v>21441.704</v>
      </c>
      <c r="M20" s="284">
        <f>'2011 полн'!AU14+'2011 полн'!AV14+'2011 полн'!AW14</f>
        <v>0</v>
      </c>
      <c r="N20" s="284">
        <f>'2011 полн'!AZ14</f>
        <v>0</v>
      </c>
      <c r="O20" s="292"/>
      <c r="P20" s="292">
        <f>'2011 полн'!BE14</f>
        <v>40034.8756</v>
      </c>
      <c r="Q20" s="292">
        <f>'2011 полн'!BB14</f>
        <v>0</v>
      </c>
      <c r="R20" s="287">
        <f>'2011 полн'!BF14</f>
        <v>8640.303799999994</v>
      </c>
      <c r="S20" s="288">
        <f>'2011 полн'!BG14</f>
        <v>40034.8756</v>
      </c>
      <c r="T20" s="288">
        <f t="shared" si="0"/>
        <v>-4794.549999999999</v>
      </c>
      <c r="U20" s="195"/>
      <c r="V20" s="195"/>
    </row>
    <row r="21" spans="1:22" ht="12.75">
      <c r="A21" s="208" t="s">
        <v>50</v>
      </c>
      <c r="B21" s="289">
        <f>'2011 полн'!B15</f>
        <v>3717.4</v>
      </c>
      <c r="C21" s="46">
        <f>'2011 полн'!C15</f>
        <v>31783.770000000004</v>
      </c>
      <c r="D21" s="290">
        <f>'2011 полн'!D15</f>
        <v>158.09860000000003</v>
      </c>
      <c r="E21" s="283">
        <f>'2011 полн'!U15</f>
        <v>32497.04</v>
      </c>
      <c r="F21" s="283">
        <f>'2011 полн'!V15</f>
        <v>428.04999999999995</v>
      </c>
      <c r="G21" s="291">
        <f>'2011 полн'!AF15</f>
        <v>25763.43</v>
      </c>
      <c r="H21" s="291">
        <f>'2011 полн'!AG15</f>
        <v>26349.5786</v>
      </c>
      <c r="I21" s="291">
        <f>'2011 полн'!AJ15</f>
        <v>21577.460799999997</v>
      </c>
      <c r="J21" s="291">
        <f>'2011 полн'!AK15</f>
        <v>2490.6580000000004</v>
      </c>
      <c r="K21" s="283">
        <f>'2011 полн'!AL15</f>
        <v>743.48</v>
      </c>
      <c r="L21" s="283">
        <f>'2011 полн'!AM15+'2011 полн'!AN15+'2011 полн'!AO15+'2011 полн'!AP15+'2011 полн'!AQ15+'2011 полн'!AR15+'2011 полн'!AS15+'2011 полн'!AX15</f>
        <v>21412.224000000002</v>
      </c>
      <c r="M21" s="284">
        <f>'2011 полн'!AU15+'2011 полн'!AV15+'2011 полн'!AW15</f>
        <v>0</v>
      </c>
      <c r="N21" s="284">
        <f>'2011 полн'!AY15</f>
        <v>0</v>
      </c>
      <c r="O21" s="292"/>
      <c r="P21" s="292">
        <f>'2011 полн'!BD15</f>
        <v>15359.0336</v>
      </c>
      <c r="Q21" s="292">
        <f>'2011 полн'!BA15</f>
        <v>0</v>
      </c>
      <c r="R21" s="287">
        <f>'2011 полн'!BE15</f>
        <v>40005.395599999996</v>
      </c>
      <c r="S21" s="288">
        <f>'2011 полн'!BF15</f>
        <v>7921.643799999998</v>
      </c>
      <c r="T21" s="288">
        <f t="shared" si="0"/>
        <v>-6733.610000000001</v>
      </c>
      <c r="U21" s="195"/>
      <c r="V21" s="195"/>
    </row>
    <row r="22" spans="1:20" ht="12.75">
      <c r="A22" s="208" t="s">
        <v>51</v>
      </c>
      <c r="B22" s="289">
        <f>'2011 полн'!B16</f>
        <v>3717.4</v>
      </c>
      <c r="C22" s="46">
        <f>'2011 полн'!C16</f>
        <v>37917.479999999996</v>
      </c>
      <c r="D22" s="290">
        <f>'2011 полн'!D16</f>
        <v>158.09860000000003</v>
      </c>
      <c r="E22" s="283">
        <f>'2011 полн'!U16</f>
        <v>50883.10999999999</v>
      </c>
      <c r="F22" s="283">
        <f>'2011 полн'!V16</f>
        <v>707.7900000000001</v>
      </c>
      <c r="G22" s="291">
        <f>'2011 полн'!AF16</f>
        <v>23964.170000000002</v>
      </c>
      <c r="H22" s="291">
        <f>'2011 полн'!AG16</f>
        <v>24830.0586</v>
      </c>
      <c r="I22" s="291">
        <f>'2011 полн'!AJ16</f>
        <v>21577.460799999997</v>
      </c>
      <c r="J22" s="291">
        <f>'2011 полн'!AK16</f>
        <v>2490.6580000000004</v>
      </c>
      <c r="K22" s="283">
        <f>'2011 полн'!AL16</f>
        <v>743.48</v>
      </c>
      <c r="L22" s="283">
        <f>'2011 полн'!AM16+'2011 полн'!AN16+'2011 полн'!AO16+'2011 полн'!AP16+'2011 полн'!AQ16+'2011 полн'!AR16+'2011 полн'!AS16+'2011 полн'!AX16</f>
        <v>23797.104000000003</v>
      </c>
      <c r="M22" s="284">
        <f>'2011 полн'!AU16+'2011 полн'!AV16+'2011 полн'!AW16</f>
        <v>18863</v>
      </c>
      <c r="N22" s="284">
        <f>'2011 полн'!AY16</f>
        <v>0</v>
      </c>
      <c r="O22" s="292"/>
      <c r="P22" s="292">
        <f>'2011 полн'!BD16</f>
        <v>15359.0336</v>
      </c>
      <c r="Q22" s="292">
        <f>'2011 полн'!BA16</f>
        <v>50070.1</v>
      </c>
      <c r="R22" s="287">
        <f>'2011 полн'!BE16</f>
        <v>111323.37559999998</v>
      </c>
      <c r="S22" s="288">
        <f>'2011 полн'!BF16</f>
        <v>-64915.85619999999</v>
      </c>
      <c r="T22" s="288">
        <f t="shared" si="0"/>
        <v>-26918.93999999999</v>
      </c>
    </row>
    <row r="23" spans="1:20" ht="12.75">
      <c r="A23" s="208" t="s">
        <v>52</v>
      </c>
      <c r="B23" s="289">
        <f>'2011 полн'!B17</f>
        <v>3717.4</v>
      </c>
      <c r="C23" s="46">
        <f>'2011 полн'!C17</f>
        <v>37917.479999999996</v>
      </c>
      <c r="D23" s="290">
        <f>'2011 полн'!D17</f>
        <v>158.09860000000003</v>
      </c>
      <c r="E23" s="283">
        <f>'2011 полн'!U17</f>
        <v>50900.509999999995</v>
      </c>
      <c r="F23" s="283">
        <f>'2011 полн'!V17</f>
        <v>707.7900000000001</v>
      </c>
      <c r="G23" s="291">
        <f>'2011 полн'!AF17</f>
        <v>42487.9</v>
      </c>
      <c r="H23" s="291">
        <f>'2011 полн'!AG17</f>
        <v>43353.7886</v>
      </c>
      <c r="I23" s="291">
        <f>'2011 полн'!AJ17</f>
        <v>21577.460799999997</v>
      </c>
      <c r="J23" s="291">
        <f>'2011 полн'!AK17</f>
        <v>2490.6580000000004</v>
      </c>
      <c r="K23" s="283">
        <f>'2011 полн'!AL17</f>
        <v>743.48</v>
      </c>
      <c r="L23" s="283">
        <f>'2011 полн'!AM17+'2011 полн'!AN17+'2011 полн'!AO17+'2011 полн'!AP17+'2011 полн'!AQ17+'2011 полн'!AR17+'2011 полн'!AS17+'2011 полн'!AX17</f>
        <v>39279.324</v>
      </c>
      <c r="M23" s="284">
        <f>'2011 полн'!AU17+'2011 полн'!AV17+'2011 полн'!AW17</f>
        <v>129939</v>
      </c>
      <c r="N23" s="284">
        <f>'2011 полн'!AY17</f>
        <v>0</v>
      </c>
      <c r="O23" s="292"/>
      <c r="P23" s="292">
        <f>'2011 полн'!BD17</f>
        <v>15359.0336</v>
      </c>
      <c r="Q23" s="292">
        <f>'2011 полн'!BA17</f>
        <v>0</v>
      </c>
      <c r="R23" s="287">
        <f>'2011 полн'!BE17</f>
        <v>187811.4956</v>
      </c>
      <c r="S23" s="288">
        <f>'2011 полн'!BF17</f>
        <v>-122880.2462</v>
      </c>
      <c r="T23" s="288">
        <f t="shared" si="0"/>
        <v>-8412.609999999993</v>
      </c>
    </row>
    <row r="24" spans="1:20" ht="12.75">
      <c r="A24" s="208" t="s">
        <v>53</v>
      </c>
      <c r="B24" s="289">
        <f>'2011 полн'!B18</f>
        <v>3717.4</v>
      </c>
      <c r="C24" s="46">
        <f>'2011 полн'!C18</f>
        <v>37917.479999999996</v>
      </c>
      <c r="D24" s="290">
        <f>'2011 полн'!D18</f>
        <v>158.09860000000003</v>
      </c>
      <c r="E24" s="283">
        <f>'2011 полн'!U18</f>
        <v>52229.689999999995</v>
      </c>
      <c r="F24" s="283">
        <f>'2011 полн'!V18</f>
        <v>0</v>
      </c>
      <c r="G24" s="291">
        <f>'2011 полн'!AF18</f>
        <v>37339.75</v>
      </c>
      <c r="H24" s="291">
        <f>'2011 полн'!AG18</f>
        <v>37497.8486</v>
      </c>
      <c r="I24" s="291">
        <f>'2011 полн'!AJ18</f>
        <v>21577.460799999997</v>
      </c>
      <c r="J24" s="291">
        <f>'2011 полн'!AK18</f>
        <v>2490.6580000000004</v>
      </c>
      <c r="K24" s="283">
        <f>'2011 полн'!AL18</f>
        <v>743.48</v>
      </c>
      <c r="L24" s="283">
        <f>'2011 полн'!AM18+'2011 полн'!AN18+'2011 полн'!AO18+'2011 полн'!AP18+'2011 полн'!AQ18+'2011 полн'!AR18+'2011 полн'!AS18+'2011 полн'!AX18</f>
        <v>22222.664</v>
      </c>
      <c r="M24" s="284">
        <f>'2011 полн'!AU18+'2011 полн'!AV18+'2011 полн'!AW18</f>
        <v>1275</v>
      </c>
      <c r="N24" s="284">
        <f>'2011 полн'!AY18</f>
        <v>0</v>
      </c>
      <c r="O24" s="292"/>
      <c r="P24" s="292">
        <f>'2011 полн'!BD18</f>
        <v>15359.0336</v>
      </c>
      <c r="Q24" s="292">
        <f>'2011 полн'!BA18</f>
        <v>0</v>
      </c>
      <c r="R24" s="287">
        <f>'2011 полн'!BE18</f>
        <v>42090.8356</v>
      </c>
      <c r="S24" s="288">
        <f>'2011 полн'!BF18</f>
        <v>16984.4738</v>
      </c>
      <c r="T24" s="288">
        <f t="shared" si="0"/>
        <v>-14889.939999999995</v>
      </c>
    </row>
    <row r="25" spans="1:20" ht="12.75">
      <c r="A25" s="208" t="s">
        <v>41</v>
      </c>
      <c r="B25" s="289">
        <f>'2011 полн'!B22</f>
        <v>0</v>
      </c>
      <c r="C25" s="46">
        <f>'2011 полн'!C19</f>
        <v>37917.479999999996</v>
      </c>
      <c r="D25" s="290">
        <f>'2011 полн'!D19</f>
        <v>101.0218</v>
      </c>
      <c r="E25" s="283">
        <f>'2011 полн'!U19</f>
        <v>50788.39000000001</v>
      </c>
      <c r="F25" s="283">
        <f>'2011 полн'!V19</f>
        <v>1441.3</v>
      </c>
      <c r="G25" s="291">
        <f>'2011 полн'!AF19</f>
        <v>42832.28999999999</v>
      </c>
      <c r="H25" s="291">
        <f>'2011 полн'!AG19</f>
        <v>44374.61179999999</v>
      </c>
      <c r="I25" s="291">
        <f>'2011 полн'!AJ19</f>
        <v>21577.460799999997</v>
      </c>
      <c r="J25" s="291">
        <f>'2011 полн'!AK19</f>
        <v>2490.6580000000004</v>
      </c>
      <c r="K25" s="283">
        <f>'2011 полн'!AL19</f>
        <v>743.48</v>
      </c>
      <c r="L25" s="283">
        <f>'2011 полн'!AM19+'2011 полн'!AN19+'2011 полн'!AO19+'2011 полн'!AP19+'2011 полн'!AQ19+'2011 полн'!AR19+'2011 полн'!AS19+'2011 полн'!AX19</f>
        <v>25803.584000000003</v>
      </c>
      <c r="M25" s="284">
        <f>'2011 полн'!AU19+'2011 полн'!AV19+'2011 полн'!AW19</f>
        <v>4349</v>
      </c>
      <c r="N25" s="284">
        <f>'2011 полн'!AY19</f>
        <v>0</v>
      </c>
      <c r="O25" s="292"/>
      <c r="P25" s="292">
        <f>'2011 полн'!BD19</f>
        <v>15359.0336</v>
      </c>
      <c r="Q25" s="292">
        <f>'2011 полн'!BA19</f>
        <v>0</v>
      </c>
      <c r="R25" s="287">
        <f>'2011 полн'!BE19</f>
        <v>48745.7556</v>
      </c>
      <c r="S25" s="288">
        <f>'2011 полн'!BF19</f>
        <v>17206.31699999999</v>
      </c>
      <c r="T25" s="288">
        <f t="shared" si="0"/>
        <v>-7956.100000000013</v>
      </c>
    </row>
    <row r="26" spans="1:20" ht="12.75">
      <c r="A26" s="208" t="s">
        <v>42</v>
      </c>
      <c r="B26" s="289">
        <f>'2011 полн'!B23</f>
        <v>0</v>
      </c>
      <c r="C26" s="46">
        <f>'2011 полн'!C20</f>
        <v>37917.479999999996</v>
      </c>
      <c r="D26" s="290">
        <f>'2011 полн'!D20</f>
        <v>101.0218</v>
      </c>
      <c r="E26" s="283">
        <f>'2011 полн'!U20</f>
        <v>51509.03</v>
      </c>
      <c r="F26" s="283">
        <f>'2011 полн'!V20</f>
        <v>720.65</v>
      </c>
      <c r="G26" s="291">
        <f>'2011 полн'!AF20</f>
        <v>42124.53</v>
      </c>
      <c r="H26" s="291">
        <f>'2011 полн'!AG20</f>
        <v>42946.201799999995</v>
      </c>
      <c r="I26" s="291">
        <f>'2011 полн'!AJ20</f>
        <v>21577.460799999997</v>
      </c>
      <c r="J26" s="291">
        <f>'2011 полн'!AK20</f>
        <v>2490.6580000000004</v>
      </c>
      <c r="K26" s="283">
        <f>'2011 полн'!AL20</f>
        <v>743.48</v>
      </c>
      <c r="L26" s="283">
        <f>'2011 полн'!AM20+'2011 полн'!AN20+'2011 полн'!AO20+'2011 полн'!AP20+'2011 полн'!AQ20+'2011 полн'!AR20+'2011 полн'!AS20+'2011 полн'!AX20</f>
        <v>26757.574000000004</v>
      </c>
      <c r="M26" s="284">
        <f>'2011 полн'!AU20+'2011 полн'!AV20+'2011 полн'!AW20</f>
        <v>657</v>
      </c>
      <c r="N26" s="284">
        <f>'2011 полн'!AY20</f>
        <v>0</v>
      </c>
      <c r="O26" s="292"/>
      <c r="P26" s="292">
        <f>'2011 полн'!BD20</f>
        <v>15359.0336</v>
      </c>
      <c r="Q26" s="292">
        <f>'2011 полн'!BA20</f>
        <v>0</v>
      </c>
      <c r="R26" s="287">
        <f>'2011 полн'!BE20</f>
        <v>46007.745599999995</v>
      </c>
      <c r="S26" s="288">
        <f>'2011 полн'!BF20</f>
        <v>18515.917</v>
      </c>
      <c r="T26" s="288">
        <f t="shared" si="0"/>
        <v>-9384.5</v>
      </c>
    </row>
    <row r="27" spans="1:20" ht="13.5" thickBot="1">
      <c r="A27" s="208" t="s">
        <v>43</v>
      </c>
      <c r="B27" s="289">
        <f>'2011 полн'!B24</f>
        <v>0</v>
      </c>
      <c r="C27" s="46">
        <f>'2011 полн'!C21</f>
        <v>37917.479999999996</v>
      </c>
      <c r="D27" s="290">
        <f>'2011 полн'!D21</f>
        <v>101.0218</v>
      </c>
      <c r="E27" s="283">
        <f>'2011 полн'!U21</f>
        <v>51509.05</v>
      </c>
      <c r="F27" s="283">
        <f>'2011 полн'!V21</f>
        <v>720.65</v>
      </c>
      <c r="G27" s="291">
        <f>'2011 полн'!AF21</f>
        <v>55226.18000000001</v>
      </c>
      <c r="H27" s="291">
        <f>'2011 полн'!AG21</f>
        <v>56047.851800000004</v>
      </c>
      <c r="I27" s="291">
        <f>'2011 полн'!AJ21</f>
        <v>21577.460799999997</v>
      </c>
      <c r="J27" s="291">
        <f>'2011 полн'!AK21</f>
        <v>2490.6580000000004</v>
      </c>
      <c r="K27" s="283">
        <f>'2011 полн'!AL21</f>
        <v>743.48</v>
      </c>
      <c r="L27" s="283">
        <f>'2011 полн'!AM21+'2011 полн'!AN21+'2011 полн'!AO21+'2011 полн'!AP21+'2011 полн'!AQ21+'2011 полн'!AR21+'2011 полн'!AS21+'2011 полн'!AX21</f>
        <v>29087.234000000004</v>
      </c>
      <c r="M27" s="284">
        <f>'2011 полн'!AU21+'2011 полн'!AV21+'2011 полн'!AW21</f>
        <v>16057</v>
      </c>
      <c r="N27" s="284">
        <f>'2011 полн'!AY21</f>
        <v>0</v>
      </c>
      <c r="O27" s="292"/>
      <c r="P27" s="292">
        <f>'2011 полн'!BD21</f>
        <v>15359.0336</v>
      </c>
      <c r="Q27" s="292">
        <f>'2011 полн'!BA21</f>
        <v>0</v>
      </c>
      <c r="R27" s="287">
        <f>'2011 полн'!BE21</f>
        <v>63737.4056</v>
      </c>
      <c r="S27" s="288">
        <f>'2011 полн'!BF21</f>
        <v>13887.907000000007</v>
      </c>
      <c r="T27" s="288">
        <f t="shared" si="0"/>
        <v>3717.1300000000047</v>
      </c>
    </row>
    <row r="28" spans="1:22" s="29" customFormat="1" ht="13.5" thickBot="1">
      <c r="A28" s="52" t="s">
        <v>5</v>
      </c>
      <c r="B28" s="293"/>
      <c r="C28" s="294">
        <f aca="true" t="shared" si="1" ref="C28:S28">SUM(C16:C27)</f>
        <v>418207.49999999994</v>
      </c>
      <c r="D28" s="294">
        <f t="shared" si="1"/>
        <v>1782.5126000000002</v>
      </c>
      <c r="E28" s="294">
        <f t="shared" si="1"/>
        <v>498874.10000000003</v>
      </c>
      <c r="F28" s="294">
        <f t="shared" si="1"/>
        <v>5313.499999999999</v>
      </c>
      <c r="G28" s="294">
        <f t="shared" si="1"/>
        <v>409322.86999999994</v>
      </c>
      <c r="H28" s="294">
        <f t="shared" si="1"/>
        <v>416418.8826</v>
      </c>
      <c r="I28" s="294">
        <f t="shared" si="1"/>
        <v>258473.5196</v>
      </c>
      <c r="J28" s="294">
        <f t="shared" si="1"/>
        <v>29887.895999999997</v>
      </c>
      <c r="K28" s="294">
        <f t="shared" si="1"/>
        <v>8921.759999999998</v>
      </c>
      <c r="L28" s="294">
        <f t="shared" si="1"/>
        <v>321323.638</v>
      </c>
      <c r="M28" s="294">
        <f t="shared" si="1"/>
        <v>177718</v>
      </c>
      <c r="N28" s="294">
        <f t="shared" si="1"/>
        <v>0</v>
      </c>
      <c r="O28" s="294">
        <f>SUM(O16:O27)</f>
        <v>0</v>
      </c>
      <c r="P28" s="294">
        <f>SUM(P16:P27)</f>
        <v>208870.24519999998</v>
      </c>
      <c r="Q28" s="294">
        <f>SUM(Q16:Q27)</f>
        <v>50070.1</v>
      </c>
      <c r="R28" s="294">
        <f t="shared" si="1"/>
        <v>740721.2254000001</v>
      </c>
      <c r="S28" s="294">
        <f t="shared" si="1"/>
        <v>-65828.82319999997</v>
      </c>
      <c r="T28" s="294">
        <f>SUM(T16:T27)</f>
        <v>-89551.22999999998</v>
      </c>
      <c r="U28" s="59"/>
      <c r="V28" s="59"/>
    </row>
    <row r="29" spans="1:20" ht="13.5" thickBot="1">
      <c r="A29" s="518" t="s">
        <v>68</v>
      </c>
      <c r="B29" s="519"/>
      <c r="C29" s="519"/>
      <c r="D29" s="519"/>
      <c r="E29" s="519"/>
      <c r="F29" s="519"/>
      <c r="G29" s="519"/>
      <c r="H29" s="519"/>
      <c r="I29" s="519"/>
      <c r="J29" s="519"/>
      <c r="K29" s="519"/>
      <c r="L29" s="519"/>
      <c r="M29" s="519"/>
      <c r="N29" s="519"/>
      <c r="O29" s="519"/>
      <c r="P29" s="519"/>
      <c r="Q29" s="36"/>
      <c r="R29" s="275"/>
      <c r="S29" s="276"/>
      <c r="T29" s="276"/>
    </row>
    <row r="30" spans="1:22" s="29" customFormat="1" ht="13.5" thickBot="1">
      <c r="A30" s="65" t="s">
        <v>54</v>
      </c>
      <c r="B30" s="66"/>
      <c r="C30" s="277">
        <f aca="true" t="shared" si="2" ref="C30:T30">C28+C14</f>
        <v>1704267.77</v>
      </c>
      <c r="D30" s="277">
        <f t="shared" si="2"/>
        <v>100273.58289915003</v>
      </c>
      <c r="E30" s="277">
        <f t="shared" si="2"/>
        <v>1642081.4700000002</v>
      </c>
      <c r="F30" s="277">
        <f t="shared" si="2"/>
        <v>127169.88999999997</v>
      </c>
      <c r="G30" s="277">
        <f>G28+G14</f>
        <v>1046705.2999999998</v>
      </c>
      <c r="H30" s="277">
        <f t="shared" si="2"/>
        <v>1267052.76029915</v>
      </c>
      <c r="I30" s="277">
        <f t="shared" si="2"/>
        <v>711367.881272</v>
      </c>
      <c r="J30" s="277">
        <f t="shared" si="2"/>
        <v>89194.24799999999</v>
      </c>
      <c r="K30" s="277">
        <f t="shared" si="2"/>
        <v>28794.2534684</v>
      </c>
      <c r="L30" s="277">
        <f t="shared" si="2"/>
        <v>752980.5718696988</v>
      </c>
      <c r="M30" s="277">
        <f t="shared" si="2"/>
        <v>547464.0157999999</v>
      </c>
      <c r="N30" s="277">
        <f t="shared" si="2"/>
        <v>29937.6</v>
      </c>
      <c r="O30" s="277">
        <f t="shared" si="2"/>
        <v>0</v>
      </c>
      <c r="P30" s="277">
        <f t="shared" si="2"/>
        <v>420515.2723207459</v>
      </c>
      <c r="Q30" s="277">
        <f t="shared" si="2"/>
        <v>50070.1</v>
      </c>
      <c r="R30" s="277">
        <f t="shared" si="2"/>
        <v>1862885.6476588452</v>
      </c>
      <c r="S30" s="277">
        <f t="shared" si="2"/>
        <v>115534.99391230514</v>
      </c>
      <c r="T30" s="277">
        <f t="shared" si="2"/>
        <v>-96502.06999999998</v>
      </c>
      <c r="U30" s="68"/>
      <c r="V30" s="59"/>
    </row>
    <row r="33" spans="1:4" ht="12.75">
      <c r="A33" s="29" t="s">
        <v>69</v>
      </c>
      <c r="D33" s="295" t="s">
        <v>125</v>
      </c>
    </row>
    <row r="34" spans="1:4" ht="12.75">
      <c r="A34" s="206" t="s">
        <v>70</v>
      </c>
      <c r="B34" s="206" t="s">
        <v>71</v>
      </c>
      <c r="C34" s="296" t="s">
        <v>72</v>
      </c>
      <c r="D34" s="296"/>
    </row>
    <row r="35" spans="1:4" ht="12.75">
      <c r="A35" s="297">
        <v>327290.99</v>
      </c>
      <c r="B35" s="298">
        <v>63824.26</v>
      </c>
      <c r="C35" s="299">
        <f>A35-B35</f>
        <v>263466.73</v>
      </c>
      <c r="D35" s="300"/>
    </row>
    <row r="36" ht="12.75">
      <c r="A36" s="69"/>
    </row>
    <row r="37" spans="1:7" ht="12.75">
      <c r="A37" s="196" t="s">
        <v>73</v>
      </c>
      <c r="G37" s="196" t="s">
        <v>74</v>
      </c>
    </row>
    <row r="38" ht="12.75">
      <c r="A38" s="195"/>
    </row>
    <row r="39" ht="12.75">
      <c r="A39" s="195"/>
    </row>
    <row r="40" ht="12.75">
      <c r="A40" s="196" t="s">
        <v>121</v>
      </c>
    </row>
    <row r="41" ht="12.75">
      <c r="A41" s="196" t="s">
        <v>75</v>
      </c>
    </row>
  </sheetData>
  <sheetProtection/>
  <mergeCells count="29">
    <mergeCell ref="R10:R11"/>
    <mergeCell ref="G8:H9"/>
    <mergeCell ref="B1:H1"/>
    <mergeCell ref="B2:H2"/>
    <mergeCell ref="A5:P5"/>
    <mergeCell ref="A6:G6"/>
    <mergeCell ref="A7:D7"/>
    <mergeCell ref="E7:F7"/>
    <mergeCell ref="J8:R9"/>
    <mergeCell ref="Q10:Q11"/>
    <mergeCell ref="S8:S11"/>
    <mergeCell ref="T8:T11"/>
    <mergeCell ref="E10:F10"/>
    <mergeCell ref="H10:H11"/>
    <mergeCell ref="J10:J11"/>
    <mergeCell ref="K10:K11"/>
    <mergeCell ref="L10:L11"/>
    <mergeCell ref="M10:M11"/>
    <mergeCell ref="N10:N11"/>
    <mergeCell ref="O10:O11"/>
    <mergeCell ref="A13:P13"/>
    <mergeCell ref="A29:P29"/>
    <mergeCell ref="I10:I11"/>
    <mergeCell ref="A8:A11"/>
    <mergeCell ref="B8:B11"/>
    <mergeCell ref="C8:C11"/>
    <mergeCell ref="D8:D11"/>
    <mergeCell ref="E8:F9"/>
    <mergeCell ref="P10:P11"/>
  </mergeCells>
  <printOptions/>
  <pageMargins left="0.2362204724409449" right="0.15748031496062992" top="0.2755905511811024" bottom="0.4724409448818898" header="0.1968503937007874" footer="0.31496062992125984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Y40"/>
  <sheetViews>
    <sheetView zoomScale="90" zoomScaleNormal="90" zoomScalePageLayoutView="0" workbookViewId="0" topLeftCell="A1">
      <pane xSplit="2" ySplit="7" topLeftCell="AQ1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G38" sqref="C38:BG38"/>
    </sheetView>
  </sheetViews>
  <sheetFormatPr defaultColWidth="9.00390625" defaultRowHeight="12.75"/>
  <cols>
    <col min="1" max="1" width="8.75390625" style="196" bestFit="1" customWidth="1"/>
    <col min="2" max="2" width="9.125" style="196" customWidth="1"/>
    <col min="3" max="3" width="11.375" style="196" customWidth="1"/>
    <col min="4" max="4" width="10.375" style="196" customWidth="1"/>
    <col min="5" max="6" width="9.125" style="196" customWidth="1"/>
    <col min="7" max="7" width="10.25390625" style="196" customWidth="1"/>
    <col min="8" max="8" width="9.125" style="196" customWidth="1"/>
    <col min="9" max="9" width="9.875" style="196" customWidth="1"/>
    <col min="10" max="10" width="9.125" style="196" customWidth="1"/>
    <col min="11" max="11" width="10.375" style="196" customWidth="1"/>
    <col min="12" max="12" width="9.125" style="196" customWidth="1"/>
    <col min="13" max="13" width="10.125" style="196" bestFit="1" customWidth="1"/>
    <col min="14" max="14" width="9.125" style="196" customWidth="1"/>
    <col min="15" max="15" width="10.125" style="196" bestFit="1" customWidth="1"/>
    <col min="16" max="18" width="9.125" style="196" customWidth="1"/>
    <col min="19" max="19" width="10.125" style="196" bestFit="1" customWidth="1"/>
    <col min="20" max="20" width="10.125" style="196" customWidth="1"/>
    <col min="21" max="21" width="10.125" style="196" bestFit="1" customWidth="1"/>
    <col min="22" max="22" width="10.25390625" style="196" customWidth="1"/>
    <col min="23" max="23" width="10.625" style="196" customWidth="1"/>
    <col min="24" max="24" width="10.125" style="196" customWidth="1"/>
    <col min="25" max="28" width="10.125" style="196" bestFit="1" customWidth="1"/>
    <col min="29" max="30" width="11.375" style="196" customWidth="1"/>
    <col min="31" max="31" width="9.25390625" style="196" bestFit="1" customWidth="1"/>
    <col min="32" max="32" width="10.125" style="196" bestFit="1" customWidth="1"/>
    <col min="33" max="33" width="10.25390625" style="196" customWidth="1"/>
    <col min="34" max="35" width="9.25390625" style="196" bestFit="1" customWidth="1"/>
    <col min="36" max="36" width="12.625" style="196" customWidth="1"/>
    <col min="37" max="38" width="9.25390625" style="196" bestFit="1" customWidth="1"/>
    <col min="39" max="39" width="10.125" style="196" bestFit="1" customWidth="1"/>
    <col min="40" max="40" width="9.25390625" style="196" bestFit="1" customWidth="1"/>
    <col min="41" max="42" width="10.125" style="196" bestFit="1" customWidth="1"/>
    <col min="43" max="44" width="9.25390625" style="196" customWidth="1"/>
    <col min="45" max="45" width="10.125" style="196" bestFit="1" customWidth="1"/>
    <col min="46" max="46" width="11.625" style="196" customWidth="1"/>
    <col min="47" max="47" width="10.875" style="196" customWidth="1"/>
    <col min="48" max="48" width="10.625" style="196" customWidth="1"/>
    <col min="49" max="49" width="10.25390625" style="196" customWidth="1"/>
    <col min="50" max="50" width="10.625" style="196" customWidth="1"/>
    <col min="51" max="51" width="9.25390625" style="196" bestFit="1" customWidth="1"/>
    <col min="52" max="53" width="10.125" style="196" bestFit="1" customWidth="1"/>
    <col min="54" max="54" width="11.625" style="196" customWidth="1"/>
    <col min="55" max="55" width="11.75390625" style="196" customWidth="1"/>
    <col min="56" max="56" width="12.125" style="196" customWidth="1"/>
    <col min="57" max="57" width="13.625" style="196" customWidth="1"/>
    <col min="58" max="58" width="11.00390625" style="196" customWidth="1"/>
    <col min="59" max="59" width="10.625" style="196" customWidth="1"/>
    <col min="60" max="16384" width="9.125" style="196" customWidth="1"/>
  </cols>
  <sheetData>
    <row r="1" spans="1:18" ht="21" customHeight="1">
      <c r="A1" s="389" t="s">
        <v>92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195"/>
      <c r="P1" s="195"/>
      <c r="Q1" s="195"/>
      <c r="R1" s="195"/>
    </row>
    <row r="2" spans="1:18" ht="13.5" thickBot="1">
      <c r="A2" s="195"/>
      <c r="B2" s="197"/>
      <c r="C2" s="198"/>
      <c r="D2" s="198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:59" ht="29.25" customHeight="1" thickBot="1">
      <c r="A3" s="426" t="s">
        <v>0</v>
      </c>
      <c r="B3" s="511" t="s">
        <v>1</v>
      </c>
      <c r="C3" s="513" t="s">
        <v>2</v>
      </c>
      <c r="D3" s="515" t="s">
        <v>3</v>
      </c>
      <c r="E3" s="426" t="s">
        <v>93</v>
      </c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27"/>
      <c r="S3" s="426"/>
      <c r="T3" s="489"/>
      <c r="U3" s="426" t="s">
        <v>5</v>
      </c>
      <c r="V3" s="489"/>
      <c r="W3" s="491" t="s">
        <v>6</v>
      </c>
      <c r="X3" s="492"/>
      <c r="Y3" s="492"/>
      <c r="Z3" s="492"/>
      <c r="AA3" s="492"/>
      <c r="AB3" s="492"/>
      <c r="AC3" s="492"/>
      <c r="AD3" s="492"/>
      <c r="AE3" s="492"/>
      <c r="AF3" s="492"/>
      <c r="AG3" s="492"/>
      <c r="AH3" s="492"/>
      <c r="AI3" s="493"/>
      <c r="AJ3" s="497" t="s">
        <v>80</v>
      </c>
      <c r="AK3" s="500" t="s">
        <v>10</v>
      </c>
      <c r="AL3" s="501"/>
      <c r="AM3" s="501"/>
      <c r="AN3" s="501"/>
      <c r="AO3" s="501"/>
      <c r="AP3" s="501"/>
      <c r="AQ3" s="501"/>
      <c r="AR3" s="501"/>
      <c r="AS3" s="501"/>
      <c r="AT3" s="501"/>
      <c r="AU3" s="501"/>
      <c r="AV3" s="501"/>
      <c r="AW3" s="501"/>
      <c r="AX3" s="501"/>
      <c r="AY3" s="501"/>
      <c r="AZ3" s="501"/>
      <c r="BA3" s="501"/>
      <c r="BB3" s="501"/>
      <c r="BC3" s="501"/>
      <c r="BD3" s="501"/>
      <c r="BE3" s="502"/>
      <c r="BF3" s="506" t="s">
        <v>11</v>
      </c>
      <c r="BG3" s="477" t="s">
        <v>12</v>
      </c>
    </row>
    <row r="4" spans="1:59" ht="51.75" customHeight="1" hidden="1" thickBot="1">
      <c r="A4" s="413"/>
      <c r="B4" s="512"/>
      <c r="C4" s="514"/>
      <c r="D4" s="516"/>
      <c r="E4" s="413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414"/>
      <c r="S4" s="428"/>
      <c r="T4" s="490"/>
      <c r="U4" s="428"/>
      <c r="V4" s="490"/>
      <c r="W4" s="494"/>
      <c r="X4" s="495"/>
      <c r="Y4" s="495"/>
      <c r="Z4" s="495"/>
      <c r="AA4" s="495"/>
      <c r="AB4" s="495"/>
      <c r="AC4" s="495"/>
      <c r="AD4" s="495"/>
      <c r="AE4" s="495"/>
      <c r="AF4" s="495"/>
      <c r="AG4" s="495"/>
      <c r="AH4" s="495"/>
      <c r="AI4" s="496"/>
      <c r="AJ4" s="498"/>
      <c r="AK4" s="503"/>
      <c r="AL4" s="504"/>
      <c r="AM4" s="504"/>
      <c r="AN4" s="504"/>
      <c r="AO4" s="504"/>
      <c r="AP4" s="504"/>
      <c r="AQ4" s="504"/>
      <c r="AR4" s="504"/>
      <c r="AS4" s="504"/>
      <c r="AT4" s="504"/>
      <c r="AU4" s="504"/>
      <c r="AV4" s="504"/>
      <c r="AW4" s="504"/>
      <c r="AX4" s="504"/>
      <c r="AY4" s="504"/>
      <c r="AZ4" s="504"/>
      <c r="BA4" s="504"/>
      <c r="BB4" s="504"/>
      <c r="BC4" s="504"/>
      <c r="BD4" s="504"/>
      <c r="BE4" s="505"/>
      <c r="BF4" s="507"/>
      <c r="BG4" s="478"/>
    </row>
    <row r="5" spans="1:59" ht="19.5" customHeight="1">
      <c r="A5" s="413"/>
      <c r="B5" s="512"/>
      <c r="C5" s="514"/>
      <c r="D5" s="516"/>
      <c r="E5" s="480" t="s">
        <v>13</v>
      </c>
      <c r="F5" s="481"/>
      <c r="G5" s="480" t="s">
        <v>94</v>
      </c>
      <c r="H5" s="481"/>
      <c r="I5" s="480" t="s">
        <v>14</v>
      </c>
      <c r="J5" s="481"/>
      <c r="K5" s="480" t="s">
        <v>16</v>
      </c>
      <c r="L5" s="481"/>
      <c r="M5" s="480" t="s">
        <v>15</v>
      </c>
      <c r="N5" s="481"/>
      <c r="O5" s="484" t="s">
        <v>17</v>
      </c>
      <c r="P5" s="484"/>
      <c r="Q5" s="480" t="s">
        <v>95</v>
      </c>
      <c r="R5" s="481"/>
      <c r="S5" s="484" t="s">
        <v>96</v>
      </c>
      <c r="T5" s="481"/>
      <c r="U5" s="487" t="s">
        <v>20</v>
      </c>
      <c r="V5" s="509" t="s">
        <v>21</v>
      </c>
      <c r="W5" s="473" t="s">
        <v>22</v>
      </c>
      <c r="X5" s="473" t="s">
        <v>97</v>
      </c>
      <c r="Y5" s="473" t="s">
        <v>23</v>
      </c>
      <c r="Z5" s="473" t="s">
        <v>25</v>
      </c>
      <c r="AA5" s="473" t="s">
        <v>24</v>
      </c>
      <c r="AB5" s="473" t="s">
        <v>26</v>
      </c>
      <c r="AC5" s="473" t="s">
        <v>27</v>
      </c>
      <c r="AD5" s="475" t="s">
        <v>28</v>
      </c>
      <c r="AE5" s="475" t="s">
        <v>98</v>
      </c>
      <c r="AF5" s="463" t="s">
        <v>29</v>
      </c>
      <c r="AG5" s="465" t="s">
        <v>99</v>
      </c>
      <c r="AH5" s="467" t="s">
        <v>8</v>
      </c>
      <c r="AI5" s="469" t="s">
        <v>9</v>
      </c>
      <c r="AJ5" s="498"/>
      <c r="AK5" s="471" t="s">
        <v>100</v>
      </c>
      <c r="AL5" s="461" t="s">
        <v>101</v>
      </c>
      <c r="AM5" s="461" t="s">
        <v>102</v>
      </c>
      <c r="AN5" s="455" t="s">
        <v>103</v>
      </c>
      <c r="AO5" s="461" t="s">
        <v>104</v>
      </c>
      <c r="AP5" s="455" t="s">
        <v>105</v>
      </c>
      <c r="AQ5" s="455" t="s">
        <v>106</v>
      </c>
      <c r="AR5" s="455" t="s">
        <v>107</v>
      </c>
      <c r="AS5" s="455" t="s">
        <v>108</v>
      </c>
      <c r="AT5" s="455" t="s">
        <v>36</v>
      </c>
      <c r="AU5" s="373" t="s">
        <v>109</v>
      </c>
      <c r="AV5" s="402" t="s">
        <v>110</v>
      </c>
      <c r="AW5" s="373" t="s">
        <v>111</v>
      </c>
      <c r="AX5" s="375" t="s">
        <v>112</v>
      </c>
      <c r="AY5" s="192"/>
      <c r="AZ5" s="453" t="s">
        <v>19</v>
      </c>
      <c r="BA5" s="455" t="s">
        <v>38</v>
      </c>
      <c r="BB5" s="455" t="s">
        <v>33</v>
      </c>
      <c r="BC5" s="457" t="s">
        <v>39</v>
      </c>
      <c r="BD5" s="459" t="s">
        <v>90</v>
      </c>
      <c r="BE5" s="455" t="s">
        <v>113</v>
      </c>
      <c r="BF5" s="507"/>
      <c r="BG5" s="478"/>
    </row>
    <row r="6" spans="1:59" ht="56.25" customHeight="1" thickBot="1">
      <c r="A6" s="413"/>
      <c r="B6" s="512"/>
      <c r="C6" s="514"/>
      <c r="D6" s="516"/>
      <c r="E6" s="482"/>
      <c r="F6" s="483"/>
      <c r="G6" s="482"/>
      <c r="H6" s="483"/>
      <c r="I6" s="482"/>
      <c r="J6" s="483"/>
      <c r="K6" s="482"/>
      <c r="L6" s="483"/>
      <c r="M6" s="482"/>
      <c r="N6" s="483"/>
      <c r="O6" s="485"/>
      <c r="P6" s="485"/>
      <c r="Q6" s="482"/>
      <c r="R6" s="483"/>
      <c r="S6" s="486"/>
      <c r="T6" s="483"/>
      <c r="U6" s="488"/>
      <c r="V6" s="510"/>
      <c r="W6" s="474"/>
      <c r="X6" s="474"/>
      <c r="Y6" s="474"/>
      <c r="Z6" s="474"/>
      <c r="AA6" s="474"/>
      <c r="AB6" s="474"/>
      <c r="AC6" s="474"/>
      <c r="AD6" s="476"/>
      <c r="AE6" s="476"/>
      <c r="AF6" s="464"/>
      <c r="AG6" s="466"/>
      <c r="AH6" s="468"/>
      <c r="AI6" s="470"/>
      <c r="AJ6" s="499"/>
      <c r="AK6" s="472"/>
      <c r="AL6" s="462"/>
      <c r="AM6" s="462"/>
      <c r="AN6" s="456"/>
      <c r="AO6" s="462"/>
      <c r="AP6" s="456"/>
      <c r="AQ6" s="456"/>
      <c r="AR6" s="456"/>
      <c r="AS6" s="456"/>
      <c r="AT6" s="456"/>
      <c r="AU6" s="374"/>
      <c r="AV6" s="403"/>
      <c r="AW6" s="374"/>
      <c r="AX6" s="376"/>
      <c r="AY6" s="193" t="s">
        <v>114</v>
      </c>
      <c r="AZ6" s="454"/>
      <c r="BA6" s="456"/>
      <c r="BB6" s="456"/>
      <c r="BC6" s="458"/>
      <c r="BD6" s="460"/>
      <c r="BE6" s="456"/>
      <c r="BF6" s="508"/>
      <c r="BG6" s="479"/>
    </row>
    <row r="7" spans="1:59" ht="19.5" customHeight="1" thickBot="1">
      <c r="A7" s="200">
        <v>1</v>
      </c>
      <c r="B7" s="42">
        <v>2</v>
      </c>
      <c r="C7" s="42">
        <v>3</v>
      </c>
      <c r="D7" s="200">
        <v>4</v>
      </c>
      <c r="E7" s="42">
        <v>5</v>
      </c>
      <c r="F7" s="42">
        <v>6</v>
      </c>
      <c r="G7" s="200">
        <v>7</v>
      </c>
      <c r="H7" s="42">
        <v>8</v>
      </c>
      <c r="I7" s="42">
        <v>9</v>
      </c>
      <c r="J7" s="200">
        <v>10</v>
      </c>
      <c r="K7" s="42">
        <v>11</v>
      </c>
      <c r="L7" s="42">
        <v>12</v>
      </c>
      <c r="M7" s="200">
        <v>13</v>
      </c>
      <c r="N7" s="42">
        <v>14</v>
      </c>
      <c r="O7" s="42">
        <v>15</v>
      </c>
      <c r="P7" s="200">
        <v>16</v>
      </c>
      <c r="Q7" s="42">
        <v>17</v>
      </c>
      <c r="R7" s="42">
        <v>18</v>
      </c>
      <c r="S7" s="200">
        <v>19</v>
      </c>
      <c r="T7" s="42">
        <v>20</v>
      </c>
      <c r="U7" s="42">
        <v>21</v>
      </c>
      <c r="V7" s="200">
        <v>22</v>
      </c>
      <c r="W7" s="42">
        <v>23</v>
      </c>
      <c r="X7" s="200">
        <v>24</v>
      </c>
      <c r="Y7" s="42">
        <v>25</v>
      </c>
      <c r="Z7" s="200">
        <v>26</v>
      </c>
      <c r="AA7" s="42">
        <v>27</v>
      </c>
      <c r="AB7" s="200">
        <v>28</v>
      </c>
      <c r="AC7" s="42">
        <v>29</v>
      </c>
      <c r="AD7" s="200">
        <v>30</v>
      </c>
      <c r="AE7" s="200">
        <v>31</v>
      </c>
      <c r="AF7" s="42">
        <v>32</v>
      </c>
      <c r="AG7" s="200">
        <v>33</v>
      </c>
      <c r="AH7" s="42">
        <v>34</v>
      </c>
      <c r="AI7" s="200">
        <v>35</v>
      </c>
      <c r="AJ7" s="42">
        <v>36</v>
      </c>
      <c r="AK7" s="200">
        <v>37</v>
      </c>
      <c r="AL7" s="42">
        <v>38</v>
      </c>
      <c r="AM7" s="200">
        <v>39</v>
      </c>
      <c r="AN7" s="200">
        <v>40</v>
      </c>
      <c r="AO7" s="42">
        <v>41</v>
      </c>
      <c r="AP7" s="200">
        <v>42</v>
      </c>
      <c r="AQ7" s="42">
        <v>43</v>
      </c>
      <c r="AR7" s="200"/>
      <c r="AS7" s="200">
        <v>44</v>
      </c>
      <c r="AT7" s="42">
        <v>45</v>
      </c>
      <c r="AU7" s="200">
        <v>46</v>
      </c>
      <c r="AV7" s="42">
        <v>47</v>
      </c>
      <c r="AW7" s="200">
        <v>48</v>
      </c>
      <c r="AX7" s="200">
        <v>49</v>
      </c>
      <c r="AY7" s="42"/>
      <c r="AZ7" s="42">
        <v>50</v>
      </c>
      <c r="BA7" s="42">
        <v>51</v>
      </c>
      <c r="BB7" s="42">
        <v>52</v>
      </c>
      <c r="BC7" s="42">
        <v>53</v>
      </c>
      <c r="BD7" s="42">
        <v>54</v>
      </c>
      <c r="BE7" s="42"/>
      <c r="BF7" s="42">
        <v>55</v>
      </c>
      <c r="BG7" s="42">
        <v>56</v>
      </c>
    </row>
    <row r="8" spans="1:59" s="29" customFormat="1" ht="15" customHeight="1" thickBot="1">
      <c r="A8" s="33" t="s">
        <v>54</v>
      </c>
      <c r="B8" s="201"/>
      <c r="C8" s="201">
        <f>Лист1!C42</f>
        <v>867852.77</v>
      </c>
      <c r="D8" s="201">
        <f>Лист1!D42</f>
        <v>96708.55769915003</v>
      </c>
      <c r="E8" s="201">
        <f>Лист1!E42</f>
        <v>75298.04999999999</v>
      </c>
      <c r="F8" s="201">
        <f>Лист1!F42</f>
        <v>13417.149999999998</v>
      </c>
      <c r="G8" s="201">
        <f>0</f>
        <v>0</v>
      </c>
      <c r="H8" s="201">
        <f>0</f>
        <v>0</v>
      </c>
      <c r="I8" s="201">
        <f>Лист1!G42</f>
        <v>100551.78000000001</v>
      </c>
      <c r="J8" s="201">
        <f>Лист1!H42</f>
        <v>18163.910000000003</v>
      </c>
      <c r="K8" s="201">
        <f>Лист1!K42</f>
        <v>167420.55</v>
      </c>
      <c r="L8" s="201">
        <f>Лист1!L42</f>
        <v>30238.699999999997</v>
      </c>
      <c r="M8" s="201">
        <f>Лист1!I42</f>
        <v>241624.74</v>
      </c>
      <c r="N8" s="201">
        <f>Лист1!J42</f>
        <v>43989.270000000004</v>
      </c>
      <c r="O8" s="201">
        <f>Лист1!M42</f>
        <v>59438.149999999994</v>
      </c>
      <c r="P8" s="201">
        <f>Лист1!N42</f>
        <v>10733.86</v>
      </c>
      <c r="Q8" s="201">
        <f>'[10]Лист1'!O44</f>
        <v>0</v>
      </c>
      <c r="R8" s="201">
        <f>'[10]Лист1'!P44</f>
        <v>0</v>
      </c>
      <c r="S8" s="201">
        <f>'[10]Лист1'!Q44</f>
        <v>0</v>
      </c>
      <c r="T8" s="201">
        <f>'[10]Лист1'!R44</f>
        <v>0</v>
      </c>
      <c r="U8" s="201">
        <f>Лист1!S42</f>
        <v>644333.27</v>
      </c>
      <c r="V8" s="201">
        <f>Лист1!T42</f>
        <v>116542.88999999997</v>
      </c>
      <c r="W8" s="201">
        <f>Лист1!U42</f>
        <v>72927.65</v>
      </c>
      <c r="X8" s="201">
        <v>0</v>
      </c>
      <c r="Y8" s="201">
        <f>Лист1!V42</f>
        <v>98676.67</v>
      </c>
      <c r="Z8" s="201">
        <f>Лист1!X42</f>
        <v>164311.52000000002</v>
      </c>
      <c r="AA8" s="201">
        <f>Лист1!W42</f>
        <v>243125.05</v>
      </c>
      <c r="AB8" s="201">
        <f>Лист1!Y42</f>
        <v>58341.53999999999</v>
      </c>
      <c r="AC8" s="201">
        <f>'[9]Лист1'!Z42</f>
        <v>0</v>
      </c>
      <c r="AD8" s="201">
        <f>'[9]Лист1'!AA42</f>
        <v>0</v>
      </c>
      <c r="AE8" s="201">
        <f>0</f>
        <v>0</v>
      </c>
      <c r="AF8" s="201">
        <f>Лист1!AB42</f>
        <v>637382.4299999999</v>
      </c>
      <c r="AG8" s="201">
        <f>Лист1!AC42</f>
        <v>850633.87769915</v>
      </c>
      <c r="AH8" s="201">
        <f>Лист1!AD42</f>
        <v>0</v>
      </c>
      <c r="AI8" s="201">
        <f>'[9]Лист1'!AE42</f>
        <v>0</v>
      </c>
      <c r="AJ8" s="201">
        <f>Лист1!AF42</f>
        <v>452894.3616720001</v>
      </c>
      <c r="AK8" s="201">
        <f>Лист1!AG42</f>
        <v>59306.352</v>
      </c>
      <c r="AL8" s="201">
        <f>Лист1!AH42</f>
        <v>19872.4934684</v>
      </c>
      <c r="AM8" s="201">
        <f>Лист1!AI42+Лист1!AJ42</f>
        <v>98450.90741063599</v>
      </c>
      <c r="AN8" s="201">
        <v>0</v>
      </c>
      <c r="AO8" s="201">
        <f>Лист1!AK42+Лист1!AL42</f>
        <v>98196.97172426361</v>
      </c>
      <c r="AP8" s="201">
        <f>Лист1!AM42+Лист1!AN42</f>
        <v>219674.57713479936</v>
      </c>
      <c r="AQ8" s="201">
        <v>0</v>
      </c>
      <c r="AR8" s="201">
        <v>0</v>
      </c>
      <c r="AS8" s="201">
        <v>0</v>
      </c>
      <c r="AT8" s="201">
        <f>Лист1!AO42+Лист1!AP42</f>
        <v>0</v>
      </c>
      <c r="AU8" s="201">
        <f>Лист1!AS42</f>
        <v>265920.67</v>
      </c>
      <c r="AV8" s="201">
        <v>0</v>
      </c>
      <c r="AW8" s="201">
        <f>Лист1!AT42+Лист1!AU42</f>
        <v>103825.3458</v>
      </c>
      <c r="AX8" s="201">
        <f>Лист1!AQ42+Лист1!AR42</f>
        <v>15334.4776</v>
      </c>
      <c r="AY8" s="202">
        <f>Лист1!AX42+50070.1</f>
        <v>80007.7</v>
      </c>
      <c r="AZ8" s="202">
        <f>'[10]Лист1'!AY44</f>
        <v>0</v>
      </c>
      <c r="BA8" s="202">
        <v>0</v>
      </c>
      <c r="BB8" s="202">
        <v>0</v>
      </c>
      <c r="BC8" s="202">
        <f>SUM(AK8:BA8)</f>
        <v>960589.4951380988</v>
      </c>
      <c r="BD8" s="201">
        <f>Лист1!BC42</f>
        <v>211645.02712074594</v>
      </c>
      <c r="BE8" s="203">
        <f>BC8+BD8</f>
        <v>1172234.5222588447</v>
      </c>
      <c r="BF8" s="204">
        <f>Лист1!BD42-50070.1</f>
        <v>131293.7171123051</v>
      </c>
      <c r="BG8" s="205">
        <f>Лист1!BE42</f>
        <v>-6950.840000000004</v>
      </c>
    </row>
    <row r="9" spans="1:59" ht="12.75">
      <c r="A9" s="5" t="s">
        <v>115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7"/>
      <c r="BF9" s="204"/>
      <c r="BG9" s="205"/>
    </row>
    <row r="10" spans="1:65" ht="12.75">
      <c r="A10" s="208" t="s">
        <v>45</v>
      </c>
      <c r="B10" s="209">
        <v>3717.4</v>
      </c>
      <c r="C10" s="170">
        <f aca="true" t="shared" si="0" ref="C10:C15">B10*8.55</f>
        <v>31783.770000000004</v>
      </c>
      <c r="D10" s="151">
        <v>211.75</v>
      </c>
      <c r="E10" s="217">
        <v>0</v>
      </c>
      <c r="F10" s="217">
        <v>0</v>
      </c>
      <c r="G10" s="216">
        <v>19649.65</v>
      </c>
      <c r="H10" s="216">
        <v>0</v>
      </c>
      <c r="I10" s="216">
        <v>0</v>
      </c>
      <c r="J10" s="216">
        <v>0</v>
      </c>
      <c r="K10" s="216">
        <v>0</v>
      </c>
      <c r="L10" s="216">
        <v>0</v>
      </c>
      <c r="M10" s="216">
        <v>9297.65</v>
      </c>
      <c r="N10" s="216">
        <v>130.51</v>
      </c>
      <c r="O10" s="296">
        <v>3241.36</v>
      </c>
      <c r="P10" s="301">
        <v>28.71</v>
      </c>
      <c r="Q10" s="212">
        <v>0</v>
      </c>
      <c r="R10" s="213">
        <v>0</v>
      </c>
      <c r="S10" s="244">
        <v>0</v>
      </c>
      <c r="T10" s="237">
        <v>0</v>
      </c>
      <c r="U10" s="214">
        <f aca="true" t="shared" si="1" ref="U10:V21">E10+G10+I10+K10+M10+O10+Q10+S10</f>
        <v>32188.660000000003</v>
      </c>
      <c r="V10" s="215">
        <f t="shared" si="1"/>
        <v>159.22</v>
      </c>
      <c r="W10" s="216">
        <v>2368.46</v>
      </c>
      <c r="X10" s="216"/>
      <c r="Y10" s="216">
        <v>3207.86</v>
      </c>
      <c r="Z10" s="216">
        <v>5339.32</v>
      </c>
      <c r="AA10" s="216">
        <v>7533.71</v>
      </c>
      <c r="AB10" s="216">
        <v>2665.37</v>
      </c>
      <c r="AC10" s="216">
        <v>0</v>
      </c>
      <c r="AD10" s="217">
        <v>0</v>
      </c>
      <c r="AE10" s="218">
        <v>0</v>
      </c>
      <c r="AF10" s="218">
        <f>SUM(W10:AE10)</f>
        <v>21114.719999999998</v>
      </c>
      <c r="AG10" s="219">
        <f>AF10+V10+D10</f>
        <v>21485.69</v>
      </c>
      <c r="AH10" s="220">
        <f aca="true" t="shared" si="2" ref="AH10:AI21">AC10</f>
        <v>0</v>
      </c>
      <c r="AI10" s="220">
        <f t="shared" si="2"/>
        <v>0</v>
      </c>
      <c r="AJ10" s="221">
        <f>'[11]Т01'!$I$4+'[11]Т01'!$I$11+'[11]Т01'!$I$16+'[11]Т01'!$I$43+'[11]Т01'!$I$50+'[11]Т01'!$I$93+'[11]Т01'!$I$94+'[11]Т01'!$I$147</f>
        <v>21463.450800000002</v>
      </c>
      <c r="AK10" s="222">
        <f aca="true" t="shared" si="3" ref="AK10:AK21">0.67*B10</f>
        <v>2490.6580000000004</v>
      </c>
      <c r="AL10" s="222">
        <f aca="true" t="shared" si="4" ref="AL10:AL21">B10*0.2</f>
        <v>743.48</v>
      </c>
      <c r="AM10" s="222">
        <f aca="true" t="shared" si="5" ref="AM10:AM21">B10*1</f>
        <v>3717.4</v>
      </c>
      <c r="AN10" s="222">
        <f aca="true" t="shared" si="6" ref="AN10:AN21">B10*0.21</f>
        <v>780.654</v>
      </c>
      <c r="AO10" s="222">
        <f aca="true" t="shared" si="7" ref="AO10:AO21">2.02*B10</f>
        <v>7509.148</v>
      </c>
      <c r="AP10" s="222">
        <f aca="true" t="shared" si="8" ref="AP10:AP21">B10*1.03</f>
        <v>3828.922</v>
      </c>
      <c r="AQ10" s="222">
        <f aca="true" t="shared" si="9" ref="AQ10:AQ21">B10*0.75</f>
        <v>2788.05</v>
      </c>
      <c r="AR10" s="222">
        <f aca="true" t="shared" si="10" ref="AR10:AR21">B10*0.75</f>
        <v>2788.05</v>
      </c>
      <c r="AS10" s="222">
        <f>B10*1.15</f>
        <v>4275.01</v>
      </c>
      <c r="AT10" s="222"/>
      <c r="AU10" s="223">
        <v>4373</v>
      </c>
      <c r="AV10" s="224">
        <v>125</v>
      </c>
      <c r="AW10" s="223"/>
      <c r="AX10" s="223">
        <f>7.24+15+23.1+20.8</f>
        <v>66.14</v>
      </c>
      <c r="AY10" s="223"/>
      <c r="AZ10" s="159"/>
      <c r="BA10" s="171"/>
      <c r="BB10" s="225">
        <f>BA10*0.18</f>
        <v>0</v>
      </c>
      <c r="BC10" s="225">
        <f>SUM(AK10:BB10)</f>
        <v>33485.511999999995</v>
      </c>
      <c r="BD10" s="226">
        <f>'[11]Т01'!$R$4+'[11]Т01'!$R$11+'[11]Т01'!$R$16+'[11]Т01'!$R$43+'[11]Т01'!$R$50+'[11]Т01'!$R$93+'[11]Т01'!$R$94+'[11]Т01'!$R$147</f>
        <v>15330.5336</v>
      </c>
      <c r="BE10" s="226">
        <f>BC10+BD10</f>
        <v>48816.0456</v>
      </c>
      <c r="BF10" s="226">
        <f>AG10+AJ10-BE10</f>
        <v>-5866.904799999997</v>
      </c>
      <c r="BG10" s="226">
        <f>AF10-U10</f>
        <v>-11073.940000000006</v>
      </c>
      <c r="BH10" s="351"/>
      <c r="BI10" s="354"/>
      <c r="BJ10" s="351"/>
      <c r="BK10" s="354"/>
      <c r="BL10" s="68"/>
      <c r="BM10" s="230"/>
    </row>
    <row r="11" spans="1:63" ht="12.75">
      <c r="A11" s="208" t="s">
        <v>46</v>
      </c>
      <c r="B11" s="209">
        <v>3717.4</v>
      </c>
      <c r="C11" s="170">
        <f t="shared" si="0"/>
        <v>31783.770000000004</v>
      </c>
      <c r="D11" s="151">
        <v>155.96</v>
      </c>
      <c r="E11" s="217">
        <v>0</v>
      </c>
      <c r="F11" s="217">
        <v>0</v>
      </c>
      <c r="G11" s="216">
        <v>18642.11</v>
      </c>
      <c r="H11" s="216">
        <v>0</v>
      </c>
      <c r="I11" s="216">
        <v>0</v>
      </c>
      <c r="J11" s="216">
        <v>0</v>
      </c>
      <c r="K11" s="216">
        <v>0</v>
      </c>
      <c r="L11" s="216">
        <v>0</v>
      </c>
      <c r="M11" s="216">
        <v>9297.65</v>
      </c>
      <c r="N11" s="216">
        <v>0</v>
      </c>
      <c r="O11" s="296">
        <v>3241.36</v>
      </c>
      <c r="P11" s="301">
        <v>0</v>
      </c>
      <c r="Q11" s="217">
        <v>0</v>
      </c>
      <c r="R11" s="217">
        <v>0</v>
      </c>
      <c r="S11" s="217">
        <v>0</v>
      </c>
      <c r="T11" s="216">
        <v>0</v>
      </c>
      <c r="U11" s="231">
        <f t="shared" si="1"/>
        <v>31181.120000000003</v>
      </c>
      <c r="V11" s="215">
        <f t="shared" si="1"/>
        <v>0</v>
      </c>
      <c r="W11" s="216">
        <v>693.08</v>
      </c>
      <c r="X11" s="217">
        <v>13963.42</v>
      </c>
      <c r="Y11" s="216">
        <v>939.18</v>
      </c>
      <c r="Z11" s="216">
        <v>1563.18</v>
      </c>
      <c r="AA11" s="216">
        <v>7752.12</v>
      </c>
      <c r="AB11" s="216">
        <v>2826.68</v>
      </c>
      <c r="AC11" s="216">
        <v>0</v>
      </c>
      <c r="AD11" s="217">
        <v>0</v>
      </c>
      <c r="AE11" s="217">
        <v>0</v>
      </c>
      <c r="AF11" s="218">
        <f>SUM(W11:AE11)</f>
        <v>27737.66</v>
      </c>
      <c r="AG11" s="219">
        <f>AF11+V11+D11</f>
        <v>27893.62</v>
      </c>
      <c r="AH11" s="220">
        <f t="shared" si="2"/>
        <v>0</v>
      </c>
      <c r="AI11" s="220">
        <f t="shared" si="2"/>
        <v>0</v>
      </c>
      <c r="AJ11" s="221">
        <f>'[11]Т02'!$J$4+'[11]Т02'!$J$11+'[11]Т02'!$J$16+'[11]Т02'!$J$43+'[11]Т02'!$J$50+'[11]Т02'!$J$93+'[11]Т02'!$J$94+'[11]Т02'!$J$149</f>
        <v>21463.460799999997</v>
      </c>
      <c r="AK11" s="222">
        <f t="shared" si="3"/>
        <v>2490.6580000000004</v>
      </c>
      <c r="AL11" s="222">
        <f t="shared" si="4"/>
        <v>743.48</v>
      </c>
      <c r="AM11" s="222">
        <f t="shared" si="5"/>
        <v>3717.4</v>
      </c>
      <c r="AN11" s="222">
        <f t="shared" si="6"/>
        <v>780.654</v>
      </c>
      <c r="AO11" s="222">
        <f t="shared" si="7"/>
        <v>7509.148</v>
      </c>
      <c r="AP11" s="222">
        <f t="shared" si="8"/>
        <v>3828.922</v>
      </c>
      <c r="AQ11" s="222">
        <f t="shared" si="9"/>
        <v>2788.05</v>
      </c>
      <c r="AR11" s="222">
        <f t="shared" si="10"/>
        <v>2788.05</v>
      </c>
      <c r="AS11" s="222">
        <f>B11*1.15</f>
        <v>4275.01</v>
      </c>
      <c r="AT11" s="222"/>
      <c r="AU11" s="223">
        <v>1289</v>
      </c>
      <c r="AV11" s="224"/>
      <c r="AW11" s="223"/>
      <c r="AX11" s="223">
        <f>22.56+141+15</f>
        <v>178.56</v>
      </c>
      <c r="AY11" s="223"/>
      <c r="AZ11" s="159"/>
      <c r="BA11" s="171"/>
      <c r="BB11" s="225">
        <f>BA11*0.18</f>
        <v>0</v>
      </c>
      <c r="BC11" s="225">
        <f aca="true" t="shared" si="11" ref="BC11:BC21">SUM(AK11:BB11)</f>
        <v>30388.931999999997</v>
      </c>
      <c r="BD11" s="226">
        <f>'[11]Т02'!$S$4+'[11]Т02'!$S$11+'[11]Т02'!$S$16+'[11]Т02'!$S$43+'[11]Т02'!$S$50+'[11]Т02'!$S$93+'[11]Т02'!$S$94+'[11]Т02'!$S$148</f>
        <v>15330.5336</v>
      </c>
      <c r="BE11" s="226">
        <f aca="true" t="shared" si="12" ref="BE11:BE21">BC11+BD11</f>
        <v>45719.465599999996</v>
      </c>
      <c r="BF11" s="226">
        <f aca="true" t="shared" si="13" ref="BF11:BF21">AG11+AJ11-BE11</f>
        <v>3637.6152</v>
      </c>
      <c r="BG11" s="226">
        <f aca="true" t="shared" si="14" ref="BG11:BG21">AF11-U11</f>
        <v>-3443.4600000000028</v>
      </c>
      <c r="BH11" s="351"/>
      <c r="BI11" s="354"/>
      <c r="BJ11" s="354"/>
      <c r="BK11" s="354"/>
    </row>
    <row r="12" spans="1:63" ht="12.75">
      <c r="A12" s="208" t="s">
        <v>47</v>
      </c>
      <c r="B12" s="209">
        <v>3717.4</v>
      </c>
      <c r="C12" s="170">
        <f t="shared" si="0"/>
        <v>31783.770000000004</v>
      </c>
      <c r="D12" s="151">
        <v>155.96</v>
      </c>
      <c r="E12" s="217">
        <v>0.15</v>
      </c>
      <c r="F12" s="217">
        <v>0</v>
      </c>
      <c r="G12" s="216">
        <v>19172.96</v>
      </c>
      <c r="H12" s="216">
        <v>268.83</v>
      </c>
      <c r="I12" s="216">
        <v>0.13</v>
      </c>
      <c r="J12" s="216">
        <v>0</v>
      </c>
      <c r="K12" s="216">
        <v>0.27</v>
      </c>
      <c r="L12" s="216">
        <v>0</v>
      </c>
      <c r="M12" s="216">
        <v>9311.36</v>
      </c>
      <c r="N12" s="216">
        <v>130.51</v>
      </c>
      <c r="O12" s="296">
        <v>3246.23</v>
      </c>
      <c r="P12" s="301">
        <v>28.71</v>
      </c>
      <c r="Q12" s="210">
        <v>0</v>
      </c>
      <c r="R12" s="210">
        <v>0</v>
      </c>
      <c r="S12" s="210">
        <v>0</v>
      </c>
      <c r="T12" s="216">
        <v>0</v>
      </c>
      <c r="U12" s="216">
        <f t="shared" si="1"/>
        <v>31731.100000000002</v>
      </c>
      <c r="V12" s="233">
        <f t="shared" si="1"/>
        <v>428.04999999999995</v>
      </c>
      <c r="W12" s="234">
        <v>1197.92</v>
      </c>
      <c r="X12" s="217">
        <v>18518.88</v>
      </c>
      <c r="Y12" s="216">
        <v>539.53</v>
      </c>
      <c r="Z12" s="216">
        <v>897.79</v>
      </c>
      <c r="AA12" s="216">
        <v>8052.26</v>
      </c>
      <c r="AB12" s="216">
        <v>3379.91</v>
      </c>
      <c r="AC12" s="216">
        <v>0</v>
      </c>
      <c r="AD12" s="217">
        <v>0</v>
      </c>
      <c r="AE12" s="216">
        <v>0</v>
      </c>
      <c r="AF12" s="235">
        <f>SUM(W12:AE12)</f>
        <v>32586.290000000005</v>
      </c>
      <c r="AG12" s="219">
        <f>AF12+V12+D12</f>
        <v>33170.3</v>
      </c>
      <c r="AH12" s="220">
        <f t="shared" si="2"/>
        <v>0</v>
      </c>
      <c r="AI12" s="220">
        <f t="shared" si="2"/>
        <v>0</v>
      </c>
      <c r="AJ12" s="221">
        <f>'[11]Т03'!$J$4+'[11]Т03'!$J$11+'[11]Т03'!$J$16+'[11]Т03'!$J$43+'[11]Т03'!$J$50+'[11]Т03'!$J$93+'[11]Т03'!$J$94+'[11]Т03'!$J$149</f>
        <v>21463.460799999997</v>
      </c>
      <c r="AK12" s="222">
        <f t="shared" si="3"/>
        <v>2490.6580000000004</v>
      </c>
      <c r="AL12" s="222">
        <f t="shared" si="4"/>
        <v>743.48</v>
      </c>
      <c r="AM12" s="222">
        <f t="shared" si="5"/>
        <v>3717.4</v>
      </c>
      <c r="AN12" s="222">
        <f t="shared" si="6"/>
        <v>780.654</v>
      </c>
      <c r="AO12" s="222">
        <f t="shared" si="7"/>
        <v>7509.148</v>
      </c>
      <c r="AP12" s="222">
        <f t="shared" si="8"/>
        <v>3828.922</v>
      </c>
      <c r="AQ12" s="222">
        <f t="shared" si="9"/>
        <v>2788.05</v>
      </c>
      <c r="AR12" s="222">
        <f t="shared" si="10"/>
        <v>2788.05</v>
      </c>
      <c r="AS12" s="222">
        <f>B12*1.15</f>
        <v>4275.01</v>
      </c>
      <c r="AT12" s="222"/>
      <c r="AU12" s="223"/>
      <c r="AV12" s="302"/>
      <c r="AW12" s="223">
        <v>12000</v>
      </c>
      <c r="AX12" s="223">
        <f>'[12]март 2011'!$F$163</f>
        <v>234</v>
      </c>
      <c r="AY12" s="223"/>
      <c r="AZ12" s="159"/>
      <c r="BA12" s="171"/>
      <c r="BB12" s="225">
        <f>BA12*0.18</f>
        <v>0</v>
      </c>
      <c r="BC12" s="225">
        <f t="shared" si="11"/>
        <v>41155.371999999996</v>
      </c>
      <c r="BD12" s="226">
        <f>'[11]Т03'!$S$4+'[11]Т03'!$S$11+'[11]Т03'!$S$16+'[11]Т03'!$S$43+'[11]Т03'!$S$50+'[11]Т03'!$S$93+'[11]Т03'!$S$94+'[11]Т03'!$S$149</f>
        <v>15330.5336</v>
      </c>
      <c r="BE12" s="226">
        <f t="shared" si="12"/>
        <v>56485.9056</v>
      </c>
      <c r="BF12" s="226">
        <f t="shared" si="13"/>
        <v>-1852.1447999999946</v>
      </c>
      <c r="BG12" s="226">
        <f t="shared" si="14"/>
        <v>855.1900000000023</v>
      </c>
      <c r="BH12" s="351"/>
      <c r="BI12" s="354"/>
      <c r="BJ12" s="354"/>
      <c r="BK12" s="355"/>
    </row>
    <row r="13" spans="1:64" ht="12.75">
      <c r="A13" s="208" t="s">
        <v>48</v>
      </c>
      <c r="B13" s="209">
        <v>3717.4</v>
      </c>
      <c r="C13" s="170">
        <f t="shared" si="0"/>
        <v>31783.770000000004</v>
      </c>
      <c r="D13" s="151">
        <v>155.96</v>
      </c>
      <c r="E13" s="244">
        <v>0</v>
      </c>
      <c r="F13" s="217">
        <v>0</v>
      </c>
      <c r="G13" s="234">
        <v>19168.28</v>
      </c>
      <c r="H13" s="216">
        <v>0</v>
      </c>
      <c r="I13" s="216">
        <v>0</v>
      </c>
      <c r="J13" s="216">
        <v>0</v>
      </c>
      <c r="K13" s="216">
        <v>0</v>
      </c>
      <c r="L13" s="216">
        <v>0</v>
      </c>
      <c r="M13" s="216">
        <v>9308.66</v>
      </c>
      <c r="N13" s="216">
        <v>0</v>
      </c>
      <c r="O13" s="296">
        <v>3245.29</v>
      </c>
      <c r="P13" s="301">
        <v>0</v>
      </c>
      <c r="Q13" s="303">
        <v>0</v>
      </c>
      <c r="R13" s="299">
        <v>0</v>
      </c>
      <c r="S13" s="304">
        <v>0</v>
      </c>
      <c r="T13" s="237">
        <v>0</v>
      </c>
      <c r="U13" s="231">
        <f t="shared" si="1"/>
        <v>31722.23</v>
      </c>
      <c r="V13" s="233">
        <f t="shared" si="1"/>
        <v>0</v>
      </c>
      <c r="W13" s="216">
        <v>232.25</v>
      </c>
      <c r="X13" s="217">
        <v>17745.42</v>
      </c>
      <c r="Y13" s="216">
        <v>1164.66</v>
      </c>
      <c r="Z13" s="216">
        <v>523.6</v>
      </c>
      <c r="AA13" s="216">
        <v>8566.25</v>
      </c>
      <c r="AB13" s="217">
        <v>2974.15</v>
      </c>
      <c r="AC13" s="216">
        <v>0</v>
      </c>
      <c r="AD13" s="217">
        <v>0</v>
      </c>
      <c r="AE13" s="217">
        <v>0</v>
      </c>
      <c r="AF13" s="218">
        <f>SUM(W13:AD13)</f>
        <v>31206.329999999998</v>
      </c>
      <c r="AG13" s="238">
        <f>AF13+V13+D13</f>
        <v>31362.289999999997</v>
      </c>
      <c r="AH13" s="239">
        <f t="shared" si="2"/>
        <v>0</v>
      </c>
      <c r="AI13" s="239">
        <f t="shared" si="2"/>
        <v>0</v>
      </c>
      <c r="AJ13" s="240">
        <f>'[13]Т04'!$J$4+'[13]Т04'!$J$11+'[13]Т04'!$J$16+'[13]Т04'!$J$43+'[13]Т04'!$J$50+'[13]Т04'!$J$94+'[13]Т04'!$J$95+'[13]Т04'!$J$151</f>
        <v>21463.460799999997</v>
      </c>
      <c r="AK13" s="222">
        <f t="shared" si="3"/>
        <v>2490.6580000000004</v>
      </c>
      <c r="AL13" s="222">
        <f t="shared" si="4"/>
        <v>743.48</v>
      </c>
      <c r="AM13" s="222">
        <f t="shared" si="5"/>
        <v>3717.4</v>
      </c>
      <c r="AN13" s="222">
        <f t="shared" si="6"/>
        <v>780.654</v>
      </c>
      <c r="AO13" s="222">
        <f t="shared" si="7"/>
        <v>7509.148</v>
      </c>
      <c r="AP13" s="222">
        <f t="shared" si="8"/>
        <v>3828.922</v>
      </c>
      <c r="AQ13" s="222">
        <f t="shared" si="9"/>
        <v>2788.05</v>
      </c>
      <c r="AR13" s="222">
        <f t="shared" si="10"/>
        <v>2788.05</v>
      </c>
      <c r="AS13" s="222"/>
      <c r="AT13" s="241"/>
      <c r="AU13" s="242">
        <v>378</v>
      </c>
      <c r="AV13" s="242">
        <v>413</v>
      </c>
      <c r="AW13" s="242"/>
      <c r="AX13" s="242">
        <f>296.5+115.1+158</f>
        <v>569.6</v>
      </c>
      <c r="AY13" s="242"/>
      <c r="AZ13" s="159"/>
      <c r="BA13" s="241"/>
      <c r="BB13" s="241"/>
      <c r="BC13" s="225">
        <f t="shared" si="11"/>
        <v>26006.961999999996</v>
      </c>
      <c r="BD13" s="305">
        <f>'[11]Т04'!$S$4+'[11]Т04'!$S$11+'[11]Т04'!$S$16+'[11]Т04'!$S$43+'[11]Т04'!$S$50+'[11]Т04'!$S$94+'[11]Т04'!$S$95+'[11]Т04'!$S$151</f>
        <v>15330.5336</v>
      </c>
      <c r="BE13" s="226">
        <f t="shared" si="12"/>
        <v>41337.495599999995</v>
      </c>
      <c r="BF13" s="226">
        <f t="shared" si="13"/>
        <v>11488.2552</v>
      </c>
      <c r="BG13" s="226">
        <f t="shared" si="14"/>
        <v>-515.9000000000015</v>
      </c>
      <c r="BH13" s="351"/>
      <c r="BI13" s="351"/>
      <c r="BJ13" s="354"/>
      <c r="BK13" s="354"/>
      <c r="BL13" s="232"/>
    </row>
    <row r="14" spans="1:63" ht="12.75">
      <c r="A14" s="208" t="s">
        <v>49</v>
      </c>
      <c r="B14" s="243">
        <v>3717.4</v>
      </c>
      <c r="C14" s="170">
        <f t="shared" si="0"/>
        <v>31783.770000000004</v>
      </c>
      <c r="D14" s="151">
        <v>155.96</v>
      </c>
      <c r="E14" s="306">
        <v>0</v>
      </c>
      <c r="F14" s="217">
        <v>0</v>
      </c>
      <c r="G14" s="216">
        <v>19175.46</v>
      </c>
      <c r="H14" s="216">
        <v>0</v>
      </c>
      <c r="I14" s="216">
        <v>0</v>
      </c>
      <c r="J14" s="216">
        <v>0</v>
      </c>
      <c r="K14" s="216">
        <v>0</v>
      </c>
      <c r="L14" s="216">
        <v>0</v>
      </c>
      <c r="M14" s="216">
        <v>9312.17</v>
      </c>
      <c r="N14" s="216">
        <v>0</v>
      </c>
      <c r="O14" s="296">
        <v>3246.54</v>
      </c>
      <c r="P14" s="301">
        <v>0</v>
      </c>
      <c r="Q14" s="210">
        <v>0</v>
      </c>
      <c r="R14" s="211">
        <v>0</v>
      </c>
      <c r="S14" s="210">
        <v>0</v>
      </c>
      <c r="T14" s="217">
        <v>0</v>
      </c>
      <c r="U14" s="244">
        <f t="shared" si="1"/>
        <v>31734.17</v>
      </c>
      <c r="V14" s="245">
        <f>F14+H14+J14+L14+N14++R14+T14</f>
        <v>0</v>
      </c>
      <c r="W14" s="216">
        <v>234.32</v>
      </c>
      <c r="X14" s="217">
        <v>12339.28</v>
      </c>
      <c r="Y14" s="216">
        <v>317.64</v>
      </c>
      <c r="Z14" s="216">
        <v>1328.66</v>
      </c>
      <c r="AA14" s="216">
        <v>10373.56</v>
      </c>
      <c r="AB14" s="216">
        <v>2346.16</v>
      </c>
      <c r="AC14" s="216">
        <v>0</v>
      </c>
      <c r="AD14" s="217">
        <v>0</v>
      </c>
      <c r="AE14" s="218">
        <v>0</v>
      </c>
      <c r="AF14" s="246">
        <f>SUM(W14:AE14)</f>
        <v>26939.62</v>
      </c>
      <c r="AG14" s="238">
        <f aca="true" t="shared" si="15" ref="AG14:AG21">D14+V14+AF14</f>
        <v>27095.579999999998</v>
      </c>
      <c r="AH14" s="239">
        <f t="shared" si="2"/>
        <v>0</v>
      </c>
      <c r="AI14" s="239">
        <f t="shared" si="2"/>
        <v>0</v>
      </c>
      <c r="AJ14" s="240">
        <f>'[11]Т05'!$J$4+'[11]Т05'!$J$11+'[11]Т05'!$J$16+'[11]Т05'!$J$43+'[11]Т05'!$J$50+'[11]Т05'!$J$92+'[11]Т05'!$J$93+'[11]Т05'!$J$149+'[11]Т05'!$J$204</f>
        <v>21577.460799999997</v>
      </c>
      <c r="AK14" s="222">
        <f t="shared" si="3"/>
        <v>2490.6580000000004</v>
      </c>
      <c r="AL14" s="222">
        <f t="shared" si="4"/>
        <v>743.48</v>
      </c>
      <c r="AM14" s="222">
        <f t="shared" si="5"/>
        <v>3717.4</v>
      </c>
      <c r="AN14" s="222">
        <f t="shared" si="6"/>
        <v>780.654</v>
      </c>
      <c r="AO14" s="222">
        <f t="shared" si="7"/>
        <v>7509.148</v>
      </c>
      <c r="AP14" s="222">
        <f t="shared" si="8"/>
        <v>3828.922</v>
      </c>
      <c r="AQ14" s="222">
        <f t="shared" si="9"/>
        <v>2788.05</v>
      </c>
      <c r="AR14" s="222">
        <f t="shared" si="10"/>
        <v>2788.05</v>
      </c>
      <c r="AS14" s="222"/>
      <c r="AT14" s="241"/>
      <c r="AU14" s="242"/>
      <c r="AV14" s="242"/>
      <c r="AW14" s="242"/>
      <c r="AX14" s="242">
        <f>8.5+13+7.98</f>
        <v>29.48</v>
      </c>
      <c r="AY14" s="242"/>
      <c r="AZ14" s="159"/>
      <c r="BA14" s="241"/>
      <c r="BB14" s="241"/>
      <c r="BC14" s="225">
        <f t="shared" si="11"/>
        <v>24675.841999999997</v>
      </c>
      <c r="BD14" s="305">
        <f>'[11]Т05'!$S$4+'[11]Т05'!$S$11+'[11]Т05'!$S$16+'[11]Т05'!$S$43+'[11]Т05'!$S$50+'[11]Т05'!$S$92+'[11]Т05'!$S$93+'[11]Т05'!$S$149+'[11]Т05'!$S$204</f>
        <v>15359.0336</v>
      </c>
      <c r="BE14" s="226">
        <f t="shared" si="12"/>
        <v>40034.8756</v>
      </c>
      <c r="BF14" s="226">
        <f t="shared" si="13"/>
        <v>8638.165199999996</v>
      </c>
      <c r="BG14" s="226">
        <f t="shared" si="14"/>
        <v>-4794.549999999999</v>
      </c>
      <c r="BH14" s="351"/>
      <c r="BI14" s="354"/>
      <c r="BJ14" s="354"/>
      <c r="BK14" s="354"/>
    </row>
    <row r="15" spans="1:63" ht="12.75">
      <c r="A15" s="208" t="s">
        <v>50</v>
      </c>
      <c r="B15" s="209">
        <v>3717.4</v>
      </c>
      <c r="C15" s="170">
        <f t="shared" si="0"/>
        <v>31783.770000000004</v>
      </c>
      <c r="D15" s="151">
        <v>155.96</v>
      </c>
      <c r="E15" s="247">
        <v>83.83</v>
      </c>
      <c r="F15" s="247"/>
      <c r="G15" s="247">
        <v>19221.02</v>
      </c>
      <c r="H15" s="247">
        <v>268.83</v>
      </c>
      <c r="I15" s="248">
        <v>110.85</v>
      </c>
      <c r="J15" s="248"/>
      <c r="K15" s="248">
        <v>186.34</v>
      </c>
      <c r="L15" s="248"/>
      <c r="M15" s="248">
        <v>9581.57</v>
      </c>
      <c r="N15" s="248">
        <v>130.51</v>
      </c>
      <c r="O15" s="248">
        <v>3313.43</v>
      </c>
      <c r="P15" s="248">
        <v>28.71</v>
      </c>
      <c r="Q15" s="248">
        <v>0</v>
      </c>
      <c r="R15" s="249"/>
      <c r="S15" s="249">
        <v>0</v>
      </c>
      <c r="T15" s="248"/>
      <c r="U15" s="250">
        <f t="shared" si="1"/>
        <v>32497.04</v>
      </c>
      <c r="V15" s="251">
        <f t="shared" si="1"/>
        <v>428.04999999999995</v>
      </c>
      <c r="W15" s="252">
        <v>42.19</v>
      </c>
      <c r="X15" s="247">
        <v>15343.18</v>
      </c>
      <c r="Y15" s="247">
        <v>56.94</v>
      </c>
      <c r="Z15" s="247">
        <v>94.94</v>
      </c>
      <c r="AA15" s="247">
        <v>7520.88</v>
      </c>
      <c r="AB15" s="247">
        <v>2705.3</v>
      </c>
      <c r="AC15" s="247">
        <v>0</v>
      </c>
      <c r="AD15" s="247">
        <v>0</v>
      </c>
      <c r="AE15" s="253">
        <v>0</v>
      </c>
      <c r="AF15" s="254">
        <f aca="true" t="shared" si="16" ref="AF15:AF21">SUM(W15:AE15)</f>
        <v>25763.43</v>
      </c>
      <c r="AG15" s="238">
        <f t="shared" si="15"/>
        <v>26347.44</v>
      </c>
      <c r="AH15" s="239">
        <f t="shared" si="2"/>
        <v>0</v>
      </c>
      <c r="AI15" s="239">
        <f t="shared" si="2"/>
        <v>0</v>
      </c>
      <c r="AJ15" s="240">
        <f>'[11]Т06'!$J$4+'[11]Т06'!$J$11+'[11]Т06'!$J$16+'[11]Т06'!$J$43+'[11]Т06'!$J$50+'[11]Т06'!$J$92+'[11]Т06'!$J$93+'[11]Т06'!$J$149+'[11]Т06'!$J$204</f>
        <v>21577.460799999997</v>
      </c>
      <c r="AK15" s="222">
        <f t="shared" si="3"/>
        <v>2490.6580000000004</v>
      </c>
      <c r="AL15" s="222">
        <f t="shared" si="4"/>
        <v>743.48</v>
      </c>
      <c r="AM15" s="222">
        <f t="shared" si="5"/>
        <v>3717.4</v>
      </c>
      <c r="AN15" s="222">
        <f t="shared" si="6"/>
        <v>780.654</v>
      </c>
      <c r="AO15" s="222">
        <f t="shared" si="7"/>
        <v>7509.148</v>
      </c>
      <c r="AP15" s="222">
        <f t="shared" si="8"/>
        <v>3828.922</v>
      </c>
      <c r="AQ15" s="222">
        <f t="shared" si="9"/>
        <v>2788.05</v>
      </c>
      <c r="AR15" s="222">
        <f t="shared" si="10"/>
        <v>2788.05</v>
      </c>
      <c r="AS15" s="222"/>
      <c r="AT15" s="241"/>
      <c r="AU15" s="242"/>
      <c r="AV15" s="242"/>
      <c r="AW15" s="242"/>
      <c r="AX15" s="242"/>
      <c r="AY15" s="242"/>
      <c r="AZ15" s="222"/>
      <c r="BA15" s="241"/>
      <c r="BB15" s="241"/>
      <c r="BC15" s="225">
        <f t="shared" si="11"/>
        <v>24646.361999999997</v>
      </c>
      <c r="BD15" s="305">
        <f>'[11]Т06'!$S$4+'[11]Т06'!$S$11+'[11]Т06'!$S$16+'[11]Т06'!$S$43+'[11]Т06'!$S$50+'[11]Т06'!$S$92+'[11]Т06'!$S$93+'[11]Т06'!$S$149+'[11]Т06'!$S$204</f>
        <v>15359.0336</v>
      </c>
      <c r="BE15" s="226">
        <f t="shared" si="12"/>
        <v>40005.395599999996</v>
      </c>
      <c r="BF15" s="226">
        <f t="shared" si="13"/>
        <v>7919.5052</v>
      </c>
      <c r="BG15" s="226">
        <f t="shared" si="14"/>
        <v>-6733.610000000001</v>
      </c>
      <c r="BH15" s="351"/>
      <c r="BI15" s="354"/>
      <c r="BJ15" s="354"/>
      <c r="BK15" s="354"/>
    </row>
    <row r="16" spans="1:63" ht="12.75">
      <c r="A16" s="208" t="s">
        <v>51</v>
      </c>
      <c r="B16" s="307">
        <v>3717.4</v>
      </c>
      <c r="C16" s="308">
        <f aca="true" t="shared" si="17" ref="C16:C21">B16*10.2</f>
        <v>37917.479999999996</v>
      </c>
      <c r="D16" s="151">
        <v>155.96</v>
      </c>
      <c r="E16" s="256">
        <v>-2.01</v>
      </c>
      <c r="F16" s="256"/>
      <c r="G16" s="256">
        <v>35668.72</v>
      </c>
      <c r="H16" s="256">
        <v>512.19</v>
      </c>
      <c r="I16" s="256">
        <v>-2.73</v>
      </c>
      <c r="J16" s="256"/>
      <c r="K16" s="256">
        <v>-4.54</v>
      </c>
      <c r="L16" s="256"/>
      <c r="M16" s="256">
        <v>10857.04</v>
      </c>
      <c r="N16" s="256">
        <v>156</v>
      </c>
      <c r="O16" s="256">
        <v>4366.63</v>
      </c>
      <c r="P16" s="256">
        <v>39.6</v>
      </c>
      <c r="Q16" s="256"/>
      <c r="R16" s="256"/>
      <c r="S16" s="257"/>
      <c r="T16" s="310"/>
      <c r="U16" s="258">
        <f t="shared" si="1"/>
        <v>50883.10999999999</v>
      </c>
      <c r="V16" s="311">
        <f t="shared" si="1"/>
        <v>707.7900000000001</v>
      </c>
      <c r="W16" s="259">
        <v>39.75</v>
      </c>
      <c r="X16" s="256">
        <v>15297.24</v>
      </c>
      <c r="Y16" s="256">
        <v>53.77</v>
      </c>
      <c r="Z16" s="256">
        <v>89.54</v>
      </c>
      <c r="AA16" s="256">
        <v>6262.3</v>
      </c>
      <c r="AB16" s="256">
        <v>2221.57</v>
      </c>
      <c r="AC16" s="312"/>
      <c r="AD16" s="256"/>
      <c r="AE16" s="257"/>
      <c r="AF16" s="313">
        <f t="shared" si="16"/>
        <v>23964.170000000002</v>
      </c>
      <c r="AG16" s="260">
        <f t="shared" si="15"/>
        <v>24827.920000000002</v>
      </c>
      <c r="AH16" s="314">
        <f t="shared" si="2"/>
        <v>0</v>
      </c>
      <c r="AI16" s="314">
        <f t="shared" si="2"/>
        <v>0</v>
      </c>
      <c r="AJ16" s="315">
        <f>'[11]Т07'!$J$4+'[11]Т07'!$J$11+'[11]Т07'!$J$16+'[11]Т07'!$J$43+'[11]Т07'!$J$50+'[11]Т07'!$J$92+'[11]Т07'!$J$93+'[11]Т07'!$J$153+'[11]Т07'!$J$208</f>
        <v>21577.460799999997</v>
      </c>
      <c r="AK16" s="222">
        <f t="shared" si="3"/>
        <v>2490.6580000000004</v>
      </c>
      <c r="AL16" s="222">
        <f t="shared" si="4"/>
        <v>743.48</v>
      </c>
      <c r="AM16" s="222">
        <f t="shared" si="5"/>
        <v>3717.4</v>
      </c>
      <c r="AN16" s="222">
        <f t="shared" si="6"/>
        <v>780.654</v>
      </c>
      <c r="AO16" s="222">
        <f t="shared" si="7"/>
        <v>7509.148</v>
      </c>
      <c r="AP16" s="222">
        <f t="shared" si="8"/>
        <v>3828.922</v>
      </c>
      <c r="AQ16" s="222">
        <f t="shared" si="9"/>
        <v>2788.05</v>
      </c>
      <c r="AR16" s="222">
        <f t="shared" si="10"/>
        <v>2788.05</v>
      </c>
      <c r="AS16" s="316"/>
      <c r="AT16" s="241"/>
      <c r="AU16" s="317">
        <v>18863</v>
      </c>
      <c r="AV16" s="317"/>
      <c r="AW16" s="317"/>
      <c r="AX16" s="242">
        <f>111.43+9.43+24.42+40+320+20.8+10.4+38.4+1116+168+480+46</f>
        <v>2384.88</v>
      </c>
      <c r="AY16" s="242"/>
      <c r="AZ16" s="316"/>
      <c r="BA16" s="318"/>
      <c r="BB16" s="318"/>
      <c r="BC16" s="225">
        <f t="shared" si="11"/>
        <v>45894.24199999999</v>
      </c>
      <c r="BD16" s="320">
        <f>'[11]Т07'!$S$4+'[11]Т07'!$S$11+'[11]Т07'!$S$16+'[11]Т07'!$S$43+'[11]Т07'!$S$50+'[11]Т07'!$S$92+'[11]Т07'!$S$93+'[11]Т07'!$S$153+'[11]Т07'!$S$208</f>
        <v>15359.0336</v>
      </c>
      <c r="BE16" s="226">
        <f>BC16+BD16</f>
        <v>61253.27559999999</v>
      </c>
      <c r="BF16" s="226">
        <f t="shared" si="13"/>
        <v>-14847.894799999995</v>
      </c>
      <c r="BG16" s="226">
        <f t="shared" si="14"/>
        <v>-26918.93999999999</v>
      </c>
      <c r="BH16" s="351"/>
      <c r="BI16" s="355"/>
      <c r="BJ16" s="355"/>
      <c r="BK16" s="355"/>
    </row>
    <row r="17" spans="1:63" ht="12.75">
      <c r="A17" s="208" t="s">
        <v>52</v>
      </c>
      <c r="B17" s="307">
        <v>3717.4</v>
      </c>
      <c r="C17" s="308">
        <f t="shared" si="17"/>
        <v>37917.479999999996</v>
      </c>
      <c r="D17" s="151">
        <v>155.96</v>
      </c>
      <c r="E17" s="256">
        <v>0</v>
      </c>
      <c r="F17" s="256"/>
      <c r="G17" s="256">
        <v>35668.7</v>
      </c>
      <c r="H17" s="256">
        <v>512.19</v>
      </c>
      <c r="I17" s="256">
        <v>0</v>
      </c>
      <c r="J17" s="256"/>
      <c r="K17" s="256">
        <v>0</v>
      </c>
      <c r="L17" s="256"/>
      <c r="M17" s="256">
        <v>10863.57</v>
      </c>
      <c r="N17" s="256">
        <v>156</v>
      </c>
      <c r="O17" s="256">
        <v>4368.24</v>
      </c>
      <c r="P17" s="256">
        <v>39.6</v>
      </c>
      <c r="Q17" s="256"/>
      <c r="R17" s="256"/>
      <c r="S17" s="257"/>
      <c r="T17" s="321"/>
      <c r="U17" s="322">
        <f t="shared" si="1"/>
        <v>50900.509999999995</v>
      </c>
      <c r="V17" s="323">
        <f t="shared" si="1"/>
        <v>707.7900000000001</v>
      </c>
      <c r="W17" s="256">
        <v>61.23</v>
      </c>
      <c r="X17" s="256">
        <v>27709.43</v>
      </c>
      <c r="Y17" s="256">
        <v>82.99</v>
      </c>
      <c r="Z17" s="256">
        <v>138.1</v>
      </c>
      <c r="AA17" s="256">
        <v>9327.05</v>
      </c>
      <c r="AB17" s="256">
        <v>5169.1</v>
      </c>
      <c r="AC17" s="256"/>
      <c r="AD17" s="256"/>
      <c r="AE17" s="257"/>
      <c r="AF17" s="313">
        <f t="shared" si="16"/>
        <v>42487.9</v>
      </c>
      <c r="AG17" s="260">
        <f t="shared" si="15"/>
        <v>43351.65</v>
      </c>
      <c r="AH17" s="314">
        <f t="shared" si="2"/>
        <v>0</v>
      </c>
      <c r="AI17" s="314">
        <f t="shared" si="2"/>
        <v>0</v>
      </c>
      <c r="AJ17" s="315">
        <f>'[11]Т08'!$J$4+'[11]Т08'!$J$11+'[11]Т08'!$J$16+'[11]Т08'!$J$43+'[11]Т08'!$J$50+'[11]Т08'!$J$92+'[11]Т08'!$J$93+'[11]Т08'!$J$157+'[11]Т08'!$J$212</f>
        <v>21577.460799999997</v>
      </c>
      <c r="AK17" s="222">
        <f t="shared" si="3"/>
        <v>2490.6580000000004</v>
      </c>
      <c r="AL17" s="222">
        <f t="shared" si="4"/>
        <v>743.48</v>
      </c>
      <c r="AM17" s="222">
        <f t="shared" si="5"/>
        <v>3717.4</v>
      </c>
      <c r="AN17" s="222">
        <f t="shared" si="6"/>
        <v>780.654</v>
      </c>
      <c r="AO17" s="222">
        <f t="shared" si="7"/>
        <v>7509.148</v>
      </c>
      <c r="AP17" s="222">
        <f t="shared" si="8"/>
        <v>3828.922</v>
      </c>
      <c r="AQ17" s="222">
        <f t="shared" si="9"/>
        <v>2788.05</v>
      </c>
      <c r="AR17" s="222">
        <f t="shared" si="10"/>
        <v>2788.05</v>
      </c>
      <c r="AS17" s="316"/>
      <c r="AT17" s="241"/>
      <c r="AU17" s="317">
        <v>115920</v>
      </c>
      <c r="AV17" s="317"/>
      <c r="AW17" s="317">
        <f>13789+230+1902.1+8523+5888+69+128+1349</f>
        <v>31878.1</v>
      </c>
      <c r="AX17" s="317">
        <f>8</f>
        <v>8</v>
      </c>
      <c r="AY17" s="317"/>
      <c r="AZ17" s="316"/>
      <c r="BA17" s="318"/>
      <c r="BB17" s="318"/>
      <c r="BC17" s="225">
        <f t="shared" si="11"/>
        <v>172452.462</v>
      </c>
      <c r="BD17" s="320">
        <f>'[11]Т08'!$S$4+'[11]Т08'!$S$11+'[11]Т08'!$S$16+'[11]Т08'!$S$43+'[11]Т08'!$S$50+'[11]Т08'!$S$92+'[11]Т08'!$S$93+'[11]Т08'!$S$157+'[11]Т08'!$S$212</f>
        <v>15359.0336</v>
      </c>
      <c r="BE17" s="226">
        <f t="shared" si="12"/>
        <v>187811.4956</v>
      </c>
      <c r="BF17" s="226">
        <f t="shared" si="13"/>
        <v>-122882.3848</v>
      </c>
      <c r="BG17" s="226">
        <f t="shared" si="14"/>
        <v>-8412.609999999993</v>
      </c>
      <c r="BH17" s="351"/>
      <c r="BI17" s="355"/>
      <c r="BJ17" s="355"/>
      <c r="BK17" s="355"/>
    </row>
    <row r="18" spans="1:63" ht="12.75">
      <c r="A18" s="208" t="s">
        <v>53</v>
      </c>
      <c r="B18" s="209">
        <v>3717.4</v>
      </c>
      <c r="C18" s="308">
        <f t="shared" si="17"/>
        <v>37917.479999999996</v>
      </c>
      <c r="D18" s="151">
        <v>155.96</v>
      </c>
      <c r="E18" s="256">
        <v>0</v>
      </c>
      <c r="F18" s="256"/>
      <c r="G18" s="256">
        <v>36616.61</v>
      </c>
      <c r="H18" s="256">
        <v>0</v>
      </c>
      <c r="I18" s="256">
        <v>0</v>
      </c>
      <c r="J18" s="256"/>
      <c r="K18" s="256">
        <v>0</v>
      </c>
      <c r="L18" s="256"/>
      <c r="M18" s="256">
        <v>11152.2</v>
      </c>
      <c r="N18" s="256">
        <v>0</v>
      </c>
      <c r="O18" s="256">
        <v>4460.88</v>
      </c>
      <c r="P18" s="256">
        <v>0</v>
      </c>
      <c r="Q18" s="256"/>
      <c r="R18" s="256"/>
      <c r="S18" s="257"/>
      <c r="T18" s="324"/>
      <c r="U18" s="324">
        <f t="shared" si="1"/>
        <v>52229.689999999995</v>
      </c>
      <c r="V18" s="325">
        <f t="shared" si="1"/>
        <v>0</v>
      </c>
      <c r="W18" s="256">
        <v>152.39</v>
      </c>
      <c r="X18" s="256">
        <v>26084.31</v>
      </c>
      <c r="Y18" s="256">
        <v>206.46</v>
      </c>
      <c r="Z18" s="256">
        <v>343.64</v>
      </c>
      <c r="AA18" s="256">
        <v>6906.66</v>
      </c>
      <c r="AB18" s="256">
        <v>3646.29</v>
      </c>
      <c r="AC18" s="256"/>
      <c r="AD18" s="256"/>
      <c r="AE18" s="257"/>
      <c r="AF18" s="313">
        <f t="shared" si="16"/>
        <v>37339.75</v>
      </c>
      <c r="AG18" s="260">
        <f t="shared" si="15"/>
        <v>37495.71</v>
      </c>
      <c r="AH18" s="314">
        <f t="shared" si="2"/>
        <v>0</v>
      </c>
      <c r="AI18" s="314">
        <f t="shared" si="2"/>
        <v>0</v>
      </c>
      <c r="AJ18" s="315">
        <f>'[11]Т09'!$J$4+'[11]Т09'!$J$11+'[11]Т09'!$J$16+'[11]Т09'!$J$43+'[11]Т09'!$J$50+'[11]Т09'!$J$92+'[11]Т09'!$J$93+'[11]Т09'!$J$157+'[11]Т09'!$J$212</f>
        <v>21577.460799999997</v>
      </c>
      <c r="AK18" s="222">
        <f t="shared" si="3"/>
        <v>2490.6580000000004</v>
      </c>
      <c r="AL18" s="222">
        <f t="shared" si="4"/>
        <v>743.48</v>
      </c>
      <c r="AM18" s="222">
        <f t="shared" si="5"/>
        <v>3717.4</v>
      </c>
      <c r="AN18" s="222">
        <f t="shared" si="6"/>
        <v>780.654</v>
      </c>
      <c r="AO18" s="222">
        <f t="shared" si="7"/>
        <v>7509.148</v>
      </c>
      <c r="AP18" s="222">
        <f t="shared" si="8"/>
        <v>3828.922</v>
      </c>
      <c r="AQ18" s="222">
        <f t="shared" si="9"/>
        <v>2788.05</v>
      </c>
      <c r="AR18" s="222">
        <f t="shared" si="10"/>
        <v>2788.05</v>
      </c>
      <c r="AS18" s="316"/>
      <c r="AT18" s="241"/>
      <c r="AU18" s="317">
        <v>922</v>
      </c>
      <c r="AV18" s="317"/>
      <c r="AW18" s="317">
        <v>353</v>
      </c>
      <c r="AX18" s="317">
        <f>810.44</f>
        <v>810.44</v>
      </c>
      <c r="AY18" s="317"/>
      <c r="AZ18" s="316"/>
      <c r="BA18" s="318"/>
      <c r="BB18" s="318"/>
      <c r="BC18" s="225">
        <f t="shared" si="11"/>
        <v>26731.801999999996</v>
      </c>
      <c r="BD18" s="320">
        <f>'[11]Т08'!$S$4+'[11]Т08'!$S$11+'[11]Т08'!$S$16+'[11]Т08'!$S$43+'[11]Т08'!$S$50+'[11]Т08'!$S$92+'[11]Т08'!$S$93+'[11]Т08'!$S$157+'[11]Т08'!$S$212</f>
        <v>15359.0336</v>
      </c>
      <c r="BE18" s="226">
        <f t="shared" si="12"/>
        <v>42090.8356</v>
      </c>
      <c r="BF18" s="226">
        <f t="shared" si="13"/>
        <v>16982.335199999994</v>
      </c>
      <c r="BG18" s="226">
        <f t="shared" si="14"/>
        <v>-14889.939999999995</v>
      </c>
      <c r="BH18" s="351"/>
      <c r="BI18" s="355"/>
      <c r="BJ18" s="355"/>
      <c r="BK18" s="355"/>
    </row>
    <row r="19" spans="1:63" ht="12.75">
      <c r="A19" s="208" t="s">
        <v>41</v>
      </c>
      <c r="B19" s="209">
        <v>3717.4</v>
      </c>
      <c r="C19" s="308">
        <f t="shared" si="17"/>
        <v>37917.479999999996</v>
      </c>
      <c r="D19" s="331">
        <v>99.65</v>
      </c>
      <c r="E19" s="247">
        <v>0</v>
      </c>
      <c r="F19" s="247"/>
      <c r="G19" s="247">
        <v>35572.51</v>
      </c>
      <c r="H19" s="247">
        <v>1044.1</v>
      </c>
      <c r="I19" s="247">
        <v>0</v>
      </c>
      <c r="J19" s="247"/>
      <c r="K19" s="247">
        <v>0</v>
      </c>
      <c r="L19" s="247"/>
      <c r="M19" s="247">
        <v>10834.2</v>
      </c>
      <c r="N19" s="247">
        <v>318</v>
      </c>
      <c r="O19" s="247">
        <v>4381.68</v>
      </c>
      <c r="P19" s="247">
        <v>79.2</v>
      </c>
      <c r="Q19" s="247"/>
      <c r="R19" s="247"/>
      <c r="S19" s="253"/>
      <c r="T19" s="332"/>
      <c r="U19" s="333">
        <f t="shared" si="1"/>
        <v>50788.39000000001</v>
      </c>
      <c r="V19" s="334">
        <f t="shared" si="1"/>
        <v>1441.3</v>
      </c>
      <c r="W19" s="247">
        <v>0</v>
      </c>
      <c r="X19" s="247">
        <v>28267.51</v>
      </c>
      <c r="Y19" s="247">
        <v>0</v>
      </c>
      <c r="Z19" s="247">
        <v>0</v>
      </c>
      <c r="AA19" s="247">
        <v>11058.62</v>
      </c>
      <c r="AB19" s="247">
        <v>3506.16</v>
      </c>
      <c r="AC19" s="247"/>
      <c r="AD19" s="247"/>
      <c r="AE19" s="253"/>
      <c r="AF19" s="313">
        <f t="shared" si="16"/>
        <v>42832.28999999999</v>
      </c>
      <c r="AG19" s="260">
        <f t="shared" si="15"/>
        <v>44373.23999999999</v>
      </c>
      <c r="AH19" s="314">
        <f t="shared" si="2"/>
        <v>0</v>
      </c>
      <c r="AI19" s="314">
        <f t="shared" si="2"/>
        <v>0</v>
      </c>
      <c r="AJ19" s="315">
        <f>'[11]Т10'!$J$4+'[11]Т10'!$J$11+'[11]Т10'!$J$16+'[11]Т10'!$J$43+'[11]Т10'!$J$50+'[11]Т10'!$J$92+'[11]Т10'!$J$93+'[11]Т10'!$J$157+'[11]Т10'!$J$212</f>
        <v>21577.460799999997</v>
      </c>
      <c r="AK19" s="222">
        <f t="shared" si="3"/>
        <v>2490.6580000000004</v>
      </c>
      <c r="AL19" s="222">
        <f t="shared" si="4"/>
        <v>743.48</v>
      </c>
      <c r="AM19" s="222">
        <f t="shared" si="5"/>
        <v>3717.4</v>
      </c>
      <c r="AN19" s="222">
        <f t="shared" si="6"/>
        <v>780.654</v>
      </c>
      <c r="AO19" s="222">
        <f t="shared" si="7"/>
        <v>7509.148</v>
      </c>
      <c r="AP19" s="222">
        <f t="shared" si="8"/>
        <v>3828.922</v>
      </c>
      <c r="AQ19" s="222">
        <f t="shared" si="9"/>
        <v>2788.05</v>
      </c>
      <c r="AR19" s="222">
        <f t="shared" si="10"/>
        <v>2788.05</v>
      </c>
      <c r="AS19" s="335">
        <f>B19*1.15</f>
        <v>4275.01</v>
      </c>
      <c r="AT19" s="241"/>
      <c r="AU19" s="317">
        <v>2213</v>
      </c>
      <c r="AV19" s="317"/>
      <c r="AW19" s="317">
        <v>2136</v>
      </c>
      <c r="AX19" s="317">
        <f>116.35</f>
        <v>116.35</v>
      </c>
      <c r="AY19" s="316"/>
      <c r="AZ19" s="318"/>
      <c r="BA19" s="318"/>
      <c r="BB19" s="318"/>
      <c r="BC19" s="225">
        <f t="shared" si="11"/>
        <v>33386.721999999994</v>
      </c>
      <c r="BD19" s="320">
        <f>'[11]Т10'!$S$4+'[11]Т10'!$S$11+'[11]Т10'!$S$16+'[11]Т10'!$S$43+'[11]Т10'!$S$50+'[11]Т10'!$S$92+'[11]Т10'!$S$93+'[11]Т10'!$S$157+'[11]Т10'!$S$212</f>
        <v>15359.0336</v>
      </c>
      <c r="BE19" s="226">
        <f t="shared" si="12"/>
        <v>48745.7556</v>
      </c>
      <c r="BF19" s="226">
        <f t="shared" si="13"/>
        <v>17204.945199999995</v>
      </c>
      <c r="BG19" s="226">
        <f t="shared" si="14"/>
        <v>-7956.100000000013</v>
      </c>
      <c r="BH19" s="351"/>
      <c r="BI19" s="351"/>
      <c r="BJ19" s="355"/>
      <c r="BK19" s="355"/>
    </row>
    <row r="20" spans="1:63" ht="12.75">
      <c r="A20" s="208" t="s">
        <v>42</v>
      </c>
      <c r="B20" s="209">
        <v>3717.4</v>
      </c>
      <c r="C20" s="308">
        <f t="shared" si="17"/>
        <v>37917.479999999996</v>
      </c>
      <c r="D20" s="331">
        <v>99.65</v>
      </c>
      <c r="E20" s="247">
        <v>0</v>
      </c>
      <c r="F20" s="247"/>
      <c r="G20" s="247">
        <v>36094.55</v>
      </c>
      <c r="H20" s="247">
        <v>522.05</v>
      </c>
      <c r="I20" s="247">
        <v>0</v>
      </c>
      <c r="J20" s="247"/>
      <c r="K20" s="247">
        <v>0</v>
      </c>
      <c r="L20" s="247"/>
      <c r="M20" s="247">
        <v>10993.2</v>
      </c>
      <c r="N20" s="247">
        <v>159</v>
      </c>
      <c r="O20" s="247">
        <v>4421.28</v>
      </c>
      <c r="P20" s="247">
        <v>39.6</v>
      </c>
      <c r="Q20" s="247"/>
      <c r="R20" s="247"/>
      <c r="S20" s="253"/>
      <c r="T20" s="332"/>
      <c r="U20" s="333">
        <f t="shared" si="1"/>
        <v>51509.03</v>
      </c>
      <c r="V20" s="334">
        <f t="shared" si="1"/>
        <v>720.65</v>
      </c>
      <c r="W20" s="247">
        <v>0</v>
      </c>
      <c r="X20" s="247">
        <v>29576.48</v>
      </c>
      <c r="Y20" s="247">
        <v>0</v>
      </c>
      <c r="Z20" s="247">
        <v>0</v>
      </c>
      <c r="AA20" s="247">
        <v>8959.46</v>
      </c>
      <c r="AB20" s="247">
        <v>3588.59</v>
      </c>
      <c r="AC20" s="247"/>
      <c r="AD20" s="247"/>
      <c r="AE20" s="253"/>
      <c r="AF20" s="313">
        <f t="shared" si="16"/>
        <v>42124.53</v>
      </c>
      <c r="AG20" s="260">
        <f t="shared" si="15"/>
        <v>42944.83</v>
      </c>
      <c r="AH20" s="314">
        <f t="shared" si="2"/>
        <v>0</v>
      </c>
      <c r="AI20" s="314">
        <f t="shared" si="2"/>
        <v>0</v>
      </c>
      <c r="AJ20" s="315">
        <f>'[11]Т11'!$J$4+'[11]Т11'!$J$11+'[11]Т11'!$J$16+'[11]Т11'!$J$43+'[11]Т11'!$J$50+'[11]Т11'!$J$92+'[11]Т11'!$J$93+'[11]Т11'!$J$157+'[11]Т11'!$J$212</f>
        <v>21577.460799999997</v>
      </c>
      <c r="AK20" s="222">
        <f t="shared" si="3"/>
        <v>2490.6580000000004</v>
      </c>
      <c r="AL20" s="222">
        <f t="shared" si="4"/>
        <v>743.48</v>
      </c>
      <c r="AM20" s="222">
        <f t="shared" si="5"/>
        <v>3717.4</v>
      </c>
      <c r="AN20" s="222">
        <f t="shared" si="6"/>
        <v>780.654</v>
      </c>
      <c r="AO20" s="222">
        <f t="shared" si="7"/>
        <v>7509.148</v>
      </c>
      <c r="AP20" s="222">
        <f t="shared" si="8"/>
        <v>3828.922</v>
      </c>
      <c r="AQ20" s="222">
        <f t="shared" si="9"/>
        <v>2788.05</v>
      </c>
      <c r="AR20" s="222">
        <f t="shared" si="10"/>
        <v>2788.05</v>
      </c>
      <c r="AS20" s="335">
        <f>B20*1.15</f>
        <v>4275.01</v>
      </c>
      <c r="AT20" s="241"/>
      <c r="AU20" s="317">
        <f>657</f>
        <v>657</v>
      </c>
      <c r="AV20" s="317">
        <v>908</v>
      </c>
      <c r="AW20" s="317"/>
      <c r="AX20" s="317">
        <f>26.34+19+117</f>
        <v>162.34</v>
      </c>
      <c r="AY20" s="316"/>
      <c r="AZ20" s="318"/>
      <c r="BA20" s="318"/>
      <c r="BB20" s="318"/>
      <c r="BC20" s="225">
        <f t="shared" si="11"/>
        <v>30648.711999999996</v>
      </c>
      <c r="BD20" s="320">
        <f>'[11]Т11'!$S$4+'[11]Т11'!$S$11+'[11]Т11'!$S$16+'[11]Т11'!$S$43+'[11]Т11'!$S$50+'[11]Т11'!$S$92+'[11]Т11'!$S$93+'[11]Т11'!$S$157+'[11]Т11'!$S$212</f>
        <v>15359.0336</v>
      </c>
      <c r="BE20" s="226">
        <f t="shared" si="12"/>
        <v>46007.745599999995</v>
      </c>
      <c r="BF20" s="226">
        <f t="shared" si="13"/>
        <v>18514.545200000008</v>
      </c>
      <c r="BG20" s="226">
        <f t="shared" si="14"/>
        <v>-9384.5</v>
      </c>
      <c r="BH20" s="351"/>
      <c r="BI20" s="351"/>
      <c r="BJ20" s="355"/>
      <c r="BK20" s="355"/>
    </row>
    <row r="21" spans="1:63" ht="13.5" thickBot="1">
      <c r="A21" s="208" t="s">
        <v>43</v>
      </c>
      <c r="B21" s="209">
        <v>3717.4</v>
      </c>
      <c r="C21" s="308">
        <f t="shared" si="17"/>
        <v>37917.479999999996</v>
      </c>
      <c r="D21" s="331">
        <v>99.65</v>
      </c>
      <c r="E21" s="337">
        <v>0</v>
      </c>
      <c r="F21" s="337"/>
      <c r="G21" s="337">
        <v>36094.57</v>
      </c>
      <c r="H21" s="337">
        <v>522.05</v>
      </c>
      <c r="I21" s="337">
        <v>0</v>
      </c>
      <c r="J21" s="337"/>
      <c r="K21" s="337">
        <v>0</v>
      </c>
      <c r="L21" s="337"/>
      <c r="M21" s="337">
        <v>10993.2</v>
      </c>
      <c r="N21" s="337">
        <v>159</v>
      </c>
      <c r="O21" s="337">
        <v>4421.28</v>
      </c>
      <c r="P21" s="337">
        <v>39.6</v>
      </c>
      <c r="Q21" s="337"/>
      <c r="R21" s="337"/>
      <c r="S21" s="338"/>
      <c r="T21" s="339"/>
      <c r="U21" s="333">
        <f t="shared" si="1"/>
        <v>51509.05</v>
      </c>
      <c r="V21" s="334">
        <f t="shared" si="1"/>
        <v>720.65</v>
      </c>
      <c r="W21" s="247">
        <v>0</v>
      </c>
      <c r="X21" s="247">
        <v>38828.37</v>
      </c>
      <c r="Y21" s="247">
        <v>0</v>
      </c>
      <c r="Z21" s="247">
        <v>0</v>
      </c>
      <c r="AA21" s="247">
        <v>11627.37</v>
      </c>
      <c r="AB21" s="247">
        <v>4770.44</v>
      </c>
      <c r="AC21" s="247"/>
      <c r="AD21" s="247"/>
      <c r="AE21" s="253"/>
      <c r="AF21" s="313">
        <f t="shared" si="16"/>
        <v>55226.18000000001</v>
      </c>
      <c r="AG21" s="260">
        <f t="shared" si="15"/>
        <v>56046.48000000001</v>
      </c>
      <c r="AH21" s="314">
        <f t="shared" si="2"/>
        <v>0</v>
      </c>
      <c r="AI21" s="314">
        <f t="shared" si="2"/>
        <v>0</v>
      </c>
      <c r="AJ21" s="315">
        <f>'[11]Т12'!$J$4+'[11]Т12'!$J$11+'[11]Т12'!$J$16+'[11]Т12'!$J$43+'[11]Т12'!$J$50+'[11]Т12'!$J$92+'[11]Т12'!$J$93+'[11]Т12'!$J$177+'[11]Т12'!$J$232</f>
        <v>21577.460799999997</v>
      </c>
      <c r="AK21" s="222">
        <f t="shared" si="3"/>
        <v>2490.6580000000004</v>
      </c>
      <c r="AL21" s="222">
        <f t="shared" si="4"/>
        <v>743.48</v>
      </c>
      <c r="AM21" s="222">
        <f t="shared" si="5"/>
        <v>3717.4</v>
      </c>
      <c r="AN21" s="222">
        <f t="shared" si="6"/>
        <v>780.654</v>
      </c>
      <c r="AO21" s="222">
        <f t="shared" si="7"/>
        <v>7509.148</v>
      </c>
      <c r="AP21" s="222">
        <f t="shared" si="8"/>
        <v>3828.922</v>
      </c>
      <c r="AQ21" s="222">
        <f t="shared" si="9"/>
        <v>2788.05</v>
      </c>
      <c r="AR21" s="222">
        <f t="shared" si="10"/>
        <v>2788.05</v>
      </c>
      <c r="AS21" s="335">
        <f>B21*1.15</f>
        <v>4275.01</v>
      </c>
      <c r="AT21" s="241"/>
      <c r="AU21" s="317">
        <v>9353</v>
      </c>
      <c r="AV21" s="317">
        <v>6704</v>
      </c>
      <c r="AW21" s="317"/>
      <c r="AX21" s="317">
        <f>1500+1900+8+37+1793+217</f>
        <v>5455</v>
      </c>
      <c r="AY21" s="317"/>
      <c r="AZ21" s="316"/>
      <c r="BA21" s="318"/>
      <c r="BB21" s="318"/>
      <c r="BC21" s="225">
        <f t="shared" si="11"/>
        <v>50433.371999999996</v>
      </c>
      <c r="BD21" s="320">
        <f>'[11]Т12'!$S$4+'[11]Т12'!$S$11+'[11]Т12'!$S$16+'[11]Т12'!$S$43+'[11]Т12'!$S$50+'[11]Т12'!$S$92+'[11]Т12'!$S$93+'[11]Т12'!$S$177+'[11]Т12'!$S$232</f>
        <v>15359.0336</v>
      </c>
      <c r="BE21" s="226">
        <f t="shared" si="12"/>
        <v>65792.4056</v>
      </c>
      <c r="BF21" s="226">
        <f t="shared" si="13"/>
        <v>11831.535200000013</v>
      </c>
      <c r="BG21" s="226">
        <f t="shared" si="14"/>
        <v>3717.1300000000047</v>
      </c>
      <c r="BH21" s="352"/>
      <c r="BI21" s="351"/>
      <c r="BJ21" s="351"/>
      <c r="BK21" s="355"/>
    </row>
    <row r="22" spans="1:63" s="29" customFormat="1" ht="13.5" thickBot="1">
      <c r="A22" s="261" t="s">
        <v>5</v>
      </c>
      <c r="B22" s="262"/>
      <c r="C22" s="263">
        <f aca="true" t="shared" si="18" ref="C22:BF22">SUM(C10:C21)</f>
        <v>418207.49999999994</v>
      </c>
      <c r="D22" s="263">
        <f t="shared" si="18"/>
        <v>1758.3800000000006</v>
      </c>
      <c r="E22" s="263">
        <f t="shared" si="18"/>
        <v>81.97</v>
      </c>
      <c r="F22" s="263">
        <f t="shared" si="18"/>
        <v>0</v>
      </c>
      <c r="G22" s="263">
        <f t="shared" si="18"/>
        <v>330745.14</v>
      </c>
      <c r="H22" s="263">
        <f t="shared" si="18"/>
        <v>3650.24</v>
      </c>
      <c r="I22" s="263">
        <f t="shared" si="18"/>
        <v>108.24999999999999</v>
      </c>
      <c r="J22" s="263">
        <f t="shared" si="18"/>
        <v>0</v>
      </c>
      <c r="K22" s="263">
        <f t="shared" si="18"/>
        <v>182.07000000000002</v>
      </c>
      <c r="L22" s="263">
        <f t="shared" si="18"/>
        <v>0</v>
      </c>
      <c r="M22" s="263">
        <f t="shared" si="18"/>
        <v>121802.47</v>
      </c>
      <c r="N22" s="263">
        <f t="shared" si="18"/>
        <v>1339.53</v>
      </c>
      <c r="O22" s="263">
        <f t="shared" si="18"/>
        <v>45954.2</v>
      </c>
      <c r="P22" s="263">
        <f t="shared" si="18"/>
        <v>323.73</v>
      </c>
      <c r="Q22" s="263">
        <f t="shared" si="18"/>
        <v>0</v>
      </c>
      <c r="R22" s="263">
        <f t="shared" si="18"/>
        <v>0</v>
      </c>
      <c r="S22" s="263">
        <f t="shared" si="18"/>
        <v>0</v>
      </c>
      <c r="T22" s="263">
        <f t="shared" si="18"/>
        <v>0</v>
      </c>
      <c r="U22" s="263">
        <f t="shared" si="18"/>
        <v>498874.10000000003</v>
      </c>
      <c r="V22" s="263">
        <f t="shared" si="18"/>
        <v>5313.499999999999</v>
      </c>
      <c r="W22" s="263">
        <f t="shared" si="18"/>
        <v>5021.589999999999</v>
      </c>
      <c r="X22" s="263">
        <f t="shared" si="18"/>
        <v>243673.52000000002</v>
      </c>
      <c r="Y22" s="263">
        <f t="shared" si="18"/>
        <v>6569.03</v>
      </c>
      <c r="Z22" s="263">
        <f t="shared" si="18"/>
        <v>10318.77</v>
      </c>
      <c r="AA22" s="263">
        <f t="shared" si="18"/>
        <v>103940.23999999999</v>
      </c>
      <c r="AB22" s="263">
        <f t="shared" si="18"/>
        <v>39799.72</v>
      </c>
      <c r="AC22" s="263">
        <f t="shared" si="18"/>
        <v>0</v>
      </c>
      <c r="AD22" s="263">
        <f t="shared" si="18"/>
        <v>0</v>
      </c>
      <c r="AE22" s="263">
        <f t="shared" si="18"/>
        <v>0</v>
      </c>
      <c r="AF22" s="263">
        <f t="shared" si="18"/>
        <v>409322.86999999994</v>
      </c>
      <c r="AG22" s="263">
        <f t="shared" si="18"/>
        <v>416394.75</v>
      </c>
      <c r="AH22" s="263">
        <f t="shared" si="18"/>
        <v>0</v>
      </c>
      <c r="AI22" s="263">
        <f t="shared" si="18"/>
        <v>0</v>
      </c>
      <c r="AJ22" s="263">
        <f t="shared" si="18"/>
        <v>258473.5196</v>
      </c>
      <c r="AK22" s="263">
        <f t="shared" si="18"/>
        <v>29887.895999999997</v>
      </c>
      <c r="AL22" s="263">
        <f t="shared" si="18"/>
        <v>8921.759999999998</v>
      </c>
      <c r="AM22" s="263">
        <f t="shared" si="18"/>
        <v>44608.80000000001</v>
      </c>
      <c r="AN22" s="263">
        <f t="shared" si="18"/>
        <v>9367.848000000002</v>
      </c>
      <c r="AO22" s="263">
        <f t="shared" si="18"/>
        <v>90109.776</v>
      </c>
      <c r="AP22" s="263">
        <f t="shared" si="18"/>
        <v>45947.06399999999</v>
      </c>
      <c r="AQ22" s="263">
        <f t="shared" si="18"/>
        <v>33456.6</v>
      </c>
      <c r="AR22" s="263">
        <f t="shared" si="18"/>
        <v>33456.6</v>
      </c>
      <c r="AS22" s="263">
        <f t="shared" si="18"/>
        <v>25650.060000000005</v>
      </c>
      <c r="AT22" s="263">
        <f t="shared" si="18"/>
        <v>0</v>
      </c>
      <c r="AU22" s="263">
        <f t="shared" si="18"/>
        <v>153968</v>
      </c>
      <c r="AV22" s="263">
        <f t="shared" si="18"/>
        <v>8150</v>
      </c>
      <c r="AW22" s="263">
        <f>SUM(AW10:AW21)</f>
        <v>46367.1</v>
      </c>
      <c r="AX22" s="263">
        <f t="shared" si="18"/>
        <v>10014.79</v>
      </c>
      <c r="AY22" s="263">
        <f t="shared" si="18"/>
        <v>0</v>
      </c>
      <c r="AZ22" s="263">
        <f t="shared" si="18"/>
        <v>0</v>
      </c>
      <c r="BA22" s="263">
        <f t="shared" si="18"/>
        <v>0</v>
      </c>
      <c r="BB22" s="263">
        <f t="shared" si="18"/>
        <v>0</v>
      </c>
      <c r="BC22" s="263">
        <f t="shared" si="18"/>
        <v>539906.294</v>
      </c>
      <c r="BD22" s="263">
        <f t="shared" si="18"/>
        <v>184194.40319999997</v>
      </c>
      <c r="BE22" s="263">
        <f t="shared" si="18"/>
        <v>724100.6972</v>
      </c>
      <c r="BF22" s="263">
        <f t="shared" si="18"/>
        <v>-49232.42759999998</v>
      </c>
      <c r="BG22" s="350">
        <f>SUM(BG10:BG21)</f>
        <v>-89551.22999999998</v>
      </c>
      <c r="BH22" s="353"/>
      <c r="BI22" s="353"/>
      <c r="BJ22" s="353"/>
      <c r="BK22" s="353"/>
    </row>
    <row r="23" spans="1:63" s="29" customFormat="1" ht="13.5" thickBot="1">
      <c r="A23" s="264"/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O23" s="265"/>
      <c r="AP23" s="265"/>
      <c r="AQ23" s="265"/>
      <c r="AR23" s="265"/>
      <c r="AS23" s="265"/>
      <c r="AT23" s="265"/>
      <c r="AU23" s="265"/>
      <c r="AV23" s="265"/>
      <c r="AW23" s="265"/>
      <c r="AX23" s="265"/>
      <c r="AY23" s="265"/>
      <c r="AZ23" s="265"/>
      <c r="BA23" s="265"/>
      <c r="BB23" s="265"/>
      <c r="BC23" s="265"/>
      <c r="BD23" s="265"/>
      <c r="BE23" s="266"/>
      <c r="BF23" s="265"/>
      <c r="BG23" s="266"/>
      <c r="BH23" s="353"/>
      <c r="BI23" s="353"/>
      <c r="BJ23" s="353"/>
      <c r="BK23" s="353"/>
    </row>
    <row r="24" spans="1:63" s="29" customFormat="1" ht="13.5" thickBot="1">
      <c r="A24" s="33" t="s">
        <v>54</v>
      </c>
      <c r="B24" s="265"/>
      <c r="C24" s="268">
        <f aca="true" t="shared" si="19" ref="C24:L24">C22+C8</f>
        <v>1286060.27</v>
      </c>
      <c r="D24" s="268">
        <f t="shared" si="19"/>
        <v>98466.93769915003</v>
      </c>
      <c r="E24" s="268">
        <f t="shared" si="19"/>
        <v>75380.01999999999</v>
      </c>
      <c r="F24" s="268">
        <f t="shared" si="19"/>
        <v>13417.149999999998</v>
      </c>
      <c r="G24" s="268">
        <f t="shared" si="19"/>
        <v>330745.14</v>
      </c>
      <c r="H24" s="268">
        <f t="shared" si="19"/>
        <v>3650.24</v>
      </c>
      <c r="I24" s="268">
        <f t="shared" si="19"/>
        <v>100660.03000000001</v>
      </c>
      <c r="J24" s="268">
        <f t="shared" si="19"/>
        <v>18163.910000000003</v>
      </c>
      <c r="K24" s="268">
        <f t="shared" si="19"/>
        <v>167602.62</v>
      </c>
      <c r="L24" s="268">
        <f t="shared" si="19"/>
        <v>30238.699999999997</v>
      </c>
      <c r="M24" s="268">
        <f>Лист1!I42</f>
        <v>241624.74</v>
      </c>
      <c r="N24" s="268">
        <f aca="true" t="shared" si="20" ref="N24:BG24">N22+N8</f>
        <v>45328.8</v>
      </c>
      <c r="O24" s="268">
        <f t="shared" si="20"/>
        <v>105392.34999999999</v>
      </c>
      <c r="P24" s="268">
        <f t="shared" si="20"/>
        <v>11057.59</v>
      </c>
      <c r="Q24" s="268">
        <f t="shared" si="20"/>
        <v>0</v>
      </c>
      <c r="R24" s="268">
        <f t="shared" si="20"/>
        <v>0</v>
      </c>
      <c r="S24" s="268">
        <f t="shared" si="20"/>
        <v>0</v>
      </c>
      <c r="T24" s="268">
        <f t="shared" si="20"/>
        <v>0</v>
      </c>
      <c r="U24" s="268">
        <f t="shared" si="20"/>
        <v>1143207.37</v>
      </c>
      <c r="V24" s="268">
        <f t="shared" si="20"/>
        <v>121856.38999999997</v>
      </c>
      <c r="W24" s="268">
        <f t="shared" si="20"/>
        <v>77949.23999999999</v>
      </c>
      <c r="X24" s="268">
        <f t="shared" si="20"/>
        <v>243673.52000000002</v>
      </c>
      <c r="Y24" s="268">
        <f t="shared" si="20"/>
        <v>105245.7</v>
      </c>
      <c r="Z24" s="268">
        <f t="shared" si="20"/>
        <v>174630.29</v>
      </c>
      <c r="AA24" s="268">
        <f t="shared" si="20"/>
        <v>347065.29</v>
      </c>
      <c r="AB24" s="268">
        <f t="shared" si="20"/>
        <v>98141.26</v>
      </c>
      <c r="AC24" s="268">
        <f t="shared" si="20"/>
        <v>0</v>
      </c>
      <c r="AD24" s="268">
        <f t="shared" si="20"/>
        <v>0</v>
      </c>
      <c r="AE24" s="268">
        <f t="shared" si="20"/>
        <v>0</v>
      </c>
      <c r="AF24" s="268">
        <f t="shared" si="20"/>
        <v>1046705.2999999998</v>
      </c>
      <c r="AG24" s="268">
        <f t="shared" si="20"/>
        <v>1267028.62769915</v>
      </c>
      <c r="AH24" s="268">
        <f t="shared" si="20"/>
        <v>0</v>
      </c>
      <c r="AI24" s="268">
        <f t="shared" si="20"/>
        <v>0</v>
      </c>
      <c r="AJ24" s="268">
        <f t="shared" si="20"/>
        <v>711367.881272</v>
      </c>
      <c r="AK24" s="268">
        <f t="shared" si="20"/>
        <v>89194.24799999999</v>
      </c>
      <c r="AL24" s="268">
        <f t="shared" si="20"/>
        <v>28794.2534684</v>
      </c>
      <c r="AM24" s="268">
        <f t="shared" si="20"/>
        <v>143059.707410636</v>
      </c>
      <c r="AN24" s="268">
        <f t="shared" si="20"/>
        <v>9367.848000000002</v>
      </c>
      <c r="AO24" s="268">
        <f t="shared" si="20"/>
        <v>188306.7477242636</v>
      </c>
      <c r="AP24" s="268">
        <f t="shared" si="20"/>
        <v>265621.64113479934</v>
      </c>
      <c r="AQ24" s="268">
        <f t="shared" si="20"/>
        <v>33456.6</v>
      </c>
      <c r="AR24" s="268">
        <f t="shared" si="20"/>
        <v>33456.6</v>
      </c>
      <c r="AS24" s="268">
        <f t="shared" si="20"/>
        <v>25650.060000000005</v>
      </c>
      <c r="AT24" s="268">
        <f t="shared" si="20"/>
        <v>0</v>
      </c>
      <c r="AU24" s="268">
        <f t="shared" si="20"/>
        <v>419888.67</v>
      </c>
      <c r="AV24" s="268">
        <f t="shared" si="20"/>
        <v>8150</v>
      </c>
      <c r="AW24" s="269">
        <f t="shared" si="20"/>
        <v>150192.4458</v>
      </c>
      <c r="AX24" s="269">
        <f t="shared" si="20"/>
        <v>25349.2676</v>
      </c>
      <c r="AY24" s="269">
        <f t="shared" si="20"/>
        <v>80007.7</v>
      </c>
      <c r="AZ24" s="269">
        <f t="shared" si="20"/>
        <v>0</v>
      </c>
      <c r="BA24" s="269">
        <f t="shared" si="20"/>
        <v>0</v>
      </c>
      <c r="BB24" s="269">
        <f t="shared" si="20"/>
        <v>0</v>
      </c>
      <c r="BC24" s="269">
        <f t="shared" si="20"/>
        <v>1500495.7891380987</v>
      </c>
      <c r="BD24" s="269">
        <f t="shared" si="20"/>
        <v>395839.4303207459</v>
      </c>
      <c r="BE24" s="269">
        <f t="shared" si="20"/>
        <v>1896335.2194588447</v>
      </c>
      <c r="BF24" s="269">
        <f t="shared" si="20"/>
        <v>82061.28951230513</v>
      </c>
      <c r="BG24" s="356">
        <f t="shared" si="20"/>
        <v>-96502.06999999998</v>
      </c>
      <c r="BH24" s="353"/>
      <c r="BI24" s="353"/>
      <c r="BJ24" s="353"/>
      <c r="BK24" s="353"/>
    </row>
    <row r="25" spans="1:63" ht="12.75">
      <c r="A25" s="5" t="s">
        <v>126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7"/>
      <c r="BF25" s="204"/>
      <c r="BG25" s="357"/>
      <c r="BH25" s="355"/>
      <c r="BI25" s="355"/>
      <c r="BJ25" s="355"/>
      <c r="BK25" s="355"/>
    </row>
    <row r="26" spans="1:65" ht="12.75">
      <c r="A26" s="208" t="s">
        <v>45</v>
      </c>
      <c r="B26" s="209">
        <v>3717.4</v>
      </c>
      <c r="C26" s="308">
        <f aca="true" t="shared" si="21" ref="C26:C31">B26*10.2</f>
        <v>37917.479999999996</v>
      </c>
      <c r="D26" s="345">
        <v>99.654</v>
      </c>
      <c r="E26" s="247">
        <v>0</v>
      </c>
      <c r="F26" s="247"/>
      <c r="G26" s="247">
        <v>36094.55</v>
      </c>
      <c r="H26" s="247">
        <v>522.05</v>
      </c>
      <c r="I26" s="247">
        <v>0</v>
      </c>
      <c r="J26" s="247"/>
      <c r="K26" s="247">
        <v>0</v>
      </c>
      <c r="L26" s="247"/>
      <c r="M26" s="247">
        <v>10993.2</v>
      </c>
      <c r="N26" s="247">
        <v>159</v>
      </c>
      <c r="O26" s="247">
        <v>4421.27</v>
      </c>
      <c r="P26" s="247">
        <v>39.6</v>
      </c>
      <c r="Q26" s="247"/>
      <c r="R26" s="247"/>
      <c r="S26" s="253"/>
      <c r="T26" s="339"/>
      <c r="U26" s="333">
        <f aca="true" t="shared" si="22" ref="U26:V31">E26+G26+I26+K26+M26+O26+Q26+S26</f>
        <v>51509.020000000004</v>
      </c>
      <c r="V26" s="334">
        <f t="shared" si="22"/>
        <v>720.65</v>
      </c>
      <c r="W26" s="247">
        <v>0</v>
      </c>
      <c r="X26" s="247">
        <v>31372.29</v>
      </c>
      <c r="Y26" s="247">
        <v>0</v>
      </c>
      <c r="Z26" s="247">
        <v>0</v>
      </c>
      <c r="AA26" s="247">
        <v>9621.94</v>
      </c>
      <c r="AB26" s="247">
        <v>4076.19</v>
      </c>
      <c r="AC26" s="247"/>
      <c r="AD26" s="247"/>
      <c r="AE26" s="253"/>
      <c r="AF26" s="313">
        <f aca="true" t="shared" si="23" ref="AF26:AF31">SUM(W26:AE26)</f>
        <v>45070.420000000006</v>
      </c>
      <c r="AG26" s="260">
        <f aca="true" t="shared" si="24" ref="AG26:AG37">D26+V26+AF26</f>
        <v>45890.724</v>
      </c>
      <c r="AH26" s="314">
        <f aca="true" t="shared" si="25" ref="AH26:AI37">AC26</f>
        <v>0</v>
      </c>
      <c r="AI26" s="314">
        <f t="shared" si="25"/>
        <v>0</v>
      </c>
      <c r="AJ26" s="315">
        <f>'[14]Т01'!$J$64+'[14]Т01'!$J$65+'[14]Т01'!$J$124+'[14]Т01'!$J$126+'[14]Т01'!$J$134+'[14]Т01'!$J$139+'[14]Т01'!$J$144+'[14]Т01'!$J$179+'[14]Т01'!$J$234</f>
        <v>27517.787999999997</v>
      </c>
      <c r="AK26" s="316">
        <f aca="true" t="shared" si="26" ref="AK26:AK37">1*B26</f>
        <v>3717.4</v>
      </c>
      <c r="AL26" s="222">
        <f aca="true" t="shared" si="27" ref="AL26:AL37">B26*0.2</f>
        <v>743.48</v>
      </c>
      <c r="AM26" s="222">
        <f aca="true" t="shared" si="28" ref="AM26:AM37">B26*1</f>
        <v>3717.4</v>
      </c>
      <c r="AN26" s="222">
        <f aca="true" t="shared" si="29" ref="AN26:AN37">B26*0.21</f>
        <v>780.654</v>
      </c>
      <c r="AO26" s="222">
        <f aca="true" t="shared" si="30" ref="AO26:AO37">2.02*B26</f>
        <v>7509.148</v>
      </c>
      <c r="AP26" s="222">
        <f aca="true" t="shared" si="31" ref="AP26:AP37">B26*1.03</f>
        <v>3828.922</v>
      </c>
      <c r="AQ26" s="222">
        <f aca="true" t="shared" si="32" ref="AQ26:AQ37">B26*0.75</f>
        <v>2788.05</v>
      </c>
      <c r="AR26" s="222">
        <f aca="true" t="shared" si="33" ref="AR26:AR37">B26*0.75</f>
        <v>2788.05</v>
      </c>
      <c r="AS26" s="335">
        <f>B26*1.15</f>
        <v>4275.01</v>
      </c>
      <c r="AT26" s="241"/>
      <c r="AU26" s="346">
        <v>2960</v>
      </c>
      <c r="AV26" s="317"/>
      <c r="AW26" s="317"/>
      <c r="AX26" s="317">
        <f>94+340+676</f>
        <v>1110</v>
      </c>
      <c r="AY26" s="159"/>
      <c r="AZ26" s="318"/>
      <c r="BC26" s="329">
        <f>SUM(AK26:AZ26)</f>
        <v>34218.114</v>
      </c>
      <c r="BD26" s="320">
        <f>'[14]Т01'!$S$64+'[14]Т01'!$S$65+'[14]Т01'!$S$124+'[14]Т01'!$S$126+'[14]Т01'!$S$134+'[14]Т01'!$S$139+'[14]Т01'!$S$144+'[14]Т01'!$S$179+'[14]Т01'!$S$234</f>
        <v>15359.0336</v>
      </c>
      <c r="BE26" s="225">
        <f>BC26+BD26</f>
        <v>49577.147600000004</v>
      </c>
      <c r="BF26" s="226">
        <f>AG26+AJ26-BE26</f>
        <v>23831.3644</v>
      </c>
      <c r="BG26" s="226">
        <f>AF26-U26</f>
        <v>-6438.5999999999985</v>
      </c>
      <c r="BH26" s="351"/>
      <c r="BI26" s="354"/>
      <c r="BJ26" s="351"/>
      <c r="BK26" s="354"/>
      <c r="BL26" s="68"/>
      <c r="BM26" s="230"/>
    </row>
    <row r="27" spans="1:63" ht="12.75">
      <c r="A27" s="208" t="s">
        <v>46</v>
      </c>
      <c r="B27" s="209">
        <v>3717.4</v>
      </c>
      <c r="C27" s="308">
        <f t="shared" si="21"/>
        <v>37917.479999999996</v>
      </c>
      <c r="D27" s="345">
        <v>99.654</v>
      </c>
      <c r="E27" s="256">
        <v>0</v>
      </c>
      <c r="F27" s="256"/>
      <c r="G27" s="256">
        <v>35832.95</v>
      </c>
      <c r="H27" s="256">
        <v>522.05</v>
      </c>
      <c r="I27" s="256">
        <v>0</v>
      </c>
      <c r="J27" s="256"/>
      <c r="K27" s="256">
        <v>0</v>
      </c>
      <c r="L27" s="256"/>
      <c r="M27" s="256">
        <v>10965.8</v>
      </c>
      <c r="N27" s="256">
        <v>159</v>
      </c>
      <c r="O27" s="256">
        <v>4402.83</v>
      </c>
      <c r="P27" s="256">
        <v>39.6</v>
      </c>
      <c r="Q27" s="256"/>
      <c r="R27" s="256"/>
      <c r="S27" s="257"/>
      <c r="T27" s="339"/>
      <c r="U27" s="333">
        <f t="shared" si="22"/>
        <v>51201.58</v>
      </c>
      <c r="V27" s="334">
        <f t="shared" si="22"/>
        <v>720.65</v>
      </c>
      <c r="W27" s="256">
        <v>0</v>
      </c>
      <c r="X27" s="256">
        <v>35435.4</v>
      </c>
      <c r="Y27" s="256">
        <v>0</v>
      </c>
      <c r="Z27" s="256">
        <v>0</v>
      </c>
      <c r="AA27" s="256">
        <v>10920.23</v>
      </c>
      <c r="AB27" s="256">
        <v>4523.02</v>
      </c>
      <c r="AC27" s="256"/>
      <c r="AD27" s="256"/>
      <c r="AE27" s="257"/>
      <c r="AF27" s="313">
        <f t="shared" si="23"/>
        <v>50878.65000000001</v>
      </c>
      <c r="AG27" s="260">
        <f t="shared" si="24"/>
        <v>51698.954000000005</v>
      </c>
      <c r="AH27" s="314">
        <f t="shared" si="25"/>
        <v>0</v>
      </c>
      <c r="AI27" s="314">
        <f t="shared" si="25"/>
        <v>0</v>
      </c>
      <c r="AJ27" s="315">
        <f>'[14]Т01'!$J$64+'[14]Т01'!$J$65+'[14]Т01'!$J$124+'[14]Т01'!$J$126+'[14]Т01'!$J$134+'[14]Т01'!$J$139+'[14]Т01'!$J$144+'[14]Т01'!$J$179+'[14]Т01'!$J$234</f>
        <v>27517.787999999997</v>
      </c>
      <c r="AK27" s="347">
        <f t="shared" si="26"/>
        <v>3717.4</v>
      </c>
      <c r="AL27" s="222">
        <f t="shared" si="27"/>
        <v>743.48</v>
      </c>
      <c r="AM27" s="222">
        <f t="shared" si="28"/>
        <v>3717.4</v>
      </c>
      <c r="AN27" s="222">
        <f t="shared" si="29"/>
        <v>780.654</v>
      </c>
      <c r="AO27" s="222">
        <f t="shared" si="30"/>
        <v>7509.148</v>
      </c>
      <c r="AP27" s="222">
        <f t="shared" si="31"/>
        <v>3828.922</v>
      </c>
      <c r="AQ27" s="222">
        <f t="shared" si="32"/>
        <v>2788.05</v>
      </c>
      <c r="AR27" s="222">
        <f t="shared" si="33"/>
        <v>2788.05</v>
      </c>
      <c r="AS27" s="335">
        <f>B27*1.15</f>
        <v>4275.01</v>
      </c>
      <c r="AT27" s="241"/>
      <c r="AU27" s="346"/>
      <c r="AV27" s="317"/>
      <c r="AW27" s="317"/>
      <c r="AX27" s="317">
        <f>698</f>
        <v>698</v>
      </c>
      <c r="AY27" s="159"/>
      <c r="AZ27" s="318"/>
      <c r="BC27" s="319">
        <f>SUM(AK27:AZ27)</f>
        <v>30846.114</v>
      </c>
      <c r="BD27" s="320">
        <f>'[14]Т01'!$S$64+'[14]Т01'!$S$65+'[14]Т01'!$S$124+'[14]Т01'!$S$126+'[14]Т01'!$S$134+'[14]Т01'!$S$139+'[14]Т01'!$S$144+'[14]Т01'!$S$179+'[14]Т01'!$S$234</f>
        <v>15359.0336</v>
      </c>
      <c r="BE27" s="225">
        <f>BC27+BD27</f>
        <v>46205.147600000004</v>
      </c>
      <c r="BF27" s="226">
        <f>AG27+AJ27-BE27</f>
        <v>33011.594399999994</v>
      </c>
      <c r="BG27" s="226">
        <f>AF27-U27</f>
        <v>-322.929999999993</v>
      </c>
      <c r="BH27" s="351"/>
      <c r="BI27" s="354"/>
      <c r="BJ27" s="354"/>
      <c r="BK27" s="354"/>
    </row>
    <row r="28" spans="1:63" ht="12.75">
      <c r="A28" s="208" t="s">
        <v>47</v>
      </c>
      <c r="B28" s="209">
        <v>3717.4</v>
      </c>
      <c r="C28" s="308">
        <f t="shared" si="21"/>
        <v>37917.479999999996</v>
      </c>
      <c r="D28" s="345">
        <v>99.654</v>
      </c>
      <c r="E28" s="256">
        <v>0</v>
      </c>
      <c r="F28" s="256"/>
      <c r="G28" s="256">
        <v>35832.93</v>
      </c>
      <c r="H28" s="256">
        <v>522.05</v>
      </c>
      <c r="I28" s="256">
        <v>0</v>
      </c>
      <c r="J28" s="256"/>
      <c r="K28" s="256">
        <v>0</v>
      </c>
      <c r="L28" s="256"/>
      <c r="M28" s="256">
        <v>10965.82</v>
      </c>
      <c r="N28" s="256">
        <v>159</v>
      </c>
      <c r="O28" s="256">
        <v>4402.83</v>
      </c>
      <c r="P28" s="256">
        <v>39.6</v>
      </c>
      <c r="Q28" s="256"/>
      <c r="R28" s="256"/>
      <c r="S28" s="257"/>
      <c r="T28" s="339"/>
      <c r="U28" s="333">
        <f t="shared" si="22"/>
        <v>51201.58</v>
      </c>
      <c r="V28" s="334">
        <f t="shared" si="22"/>
        <v>720.65</v>
      </c>
      <c r="W28" s="247">
        <v>0</v>
      </c>
      <c r="X28" s="247">
        <v>31653.12</v>
      </c>
      <c r="Y28" s="247">
        <v>0</v>
      </c>
      <c r="Z28" s="247">
        <v>0</v>
      </c>
      <c r="AA28" s="247">
        <v>8906.51</v>
      </c>
      <c r="AB28" s="247">
        <v>3596.24</v>
      </c>
      <c r="AC28" s="247"/>
      <c r="AD28" s="247"/>
      <c r="AE28" s="253"/>
      <c r="AF28" s="313">
        <f t="shared" si="23"/>
        <v>44155.869999999995</v>
      </c>
      <c r="AG28" s="260">
        <f t="shared" si="24"/>
        <v>44976.17399999999</v>
      </c>
      <c r="AH28" s="314">
        <f t="shared" si="25"/>
        <v>0</v>
      </c>
      <c r="AI28" s="314">
        <f t="shared" si="25"/>
        <v>0</v>
      </c>
      <c r="AJ28" s="315">
        <f>'[14]Т03'!$J$62+'[14]Т03'!$J$63+'[14]Т03'!$J$125+'[14]Т03'!$J$127+'[14]Т03'!$J$135+'[14]Т03'!$J$140+'[14]Т03'!$J$145+'[14]Т03'!$J$180+'[14]Т03'!$J$235</f>
        <v>29030.978</v>
      </c>
      <c r="AK28" s="347">
        <f t="shared" si="26"/>
        <v>3717.4</v>
      </c>
      <c r="AL28" s="222">
        <f t="shared" si="27"/>
        <v>743.48</v>
      </c>
      <c r="AM28" s="222">
        <f t="shared" si="28"/>
        <v>3717.4</v>
      </c>
      <c r="AN28" s="222">
        <f t="shared" si="29"/>
        <v>780.654</v>
      </c>
      <c r="AO28" s="222">
        <f t="shared" si="30"/>
        <v>7509.148</v>
      </c>
      <c r="AP28" s="222">
        <f t="shared" si="31"/>
        <v>3828.922</v>
      </c>
      <c r="AQ28" s="222">
        <f t="shared" si="32"/>
        <v>2788.05</v>
      </c>
      <c r="AR28" s="222">
        <f t="shared" si="33"/>
        <v>2788.05</v>
      </c>
      <c r="AS28" s="335">
        <f>B28*1.15</f>
        <v>4275.01</v>
      </c>
      <c r="AT28" s="241"/>
      <c r="AU28" s="346"/>
      <c r="AV28" s="317"/>
      <c r="AW28" s="317">
        <v>682.52</v>
      </c>
      <c r="AX28" s="317">
        <f>1629+22.78</f>
        <v>1651.78</v>
      </c>
      <c r="AY28" s="159"/>
      <c r="AZ28" s="318"/>
      <c r="BC28" s="329">
        <f>SUM(AK28:AZ28)</f>
        <v>32482.414</v>
      </c>
      <c r="BD28" s="320">
        <f>'[14]Т03'!$S$62+'[14]Т03'!$S$63+'[14]Т03'!$S$125+'[14]Т03'!$S$127+'[14]Т03'!$S$135+'[14]Т03'!$S$140+'[14]Т03'!$S$145+'[14]Т03'!$S$180+'[14]Т03'!$S$235</f>
        <v>15643.002600000002</v>
      </c>
      <c r="BE28" s="225">
        <f>BC28+BD28</f>
        <v>48125.416600000004</v>
      </c>
      <c r="BF28" s="226">
        <f>AG28+AJ28-BE28</f>
        <v>25881.735399999983</v>
      </c>
      <c r="BG28" s="226">
        <f>AF28-U28</f>
        <v>-7045.710000000006</v>
      </c>
      <c r="BH28" s="351"/>
      <c r="BI28" s="354"/>
      <c r="BJ28" s="354"/>
      <c r="BK28" s="355"/>
    </row>
    <row r="29" spans="1:66" ht="12.75">
      <c r="A29" s="208" t="s">
        <v>48</v>
      </c>
      <c r="B29" s="209">
        <v>3717.4</v>
      </c>
      <c r="C29" s="170">
        <f t="shared" si="21"/>
        <v>37917.479999999996</v>
      </c>
      <c r="D29" s="345">
        <v>99.654</v>
      </c>
      <c r="E29" s="256">
        <v>0</v>
      </c>
      <c r="F29" s="256"/>
      <c r="G29" s="256">
        <v>35832.94</v>
      </c>
      <c r="H29" s="256">
        <v>522.05</v>
      </c>
      <c r="I29" s="256">
        <v>0</v>
      </c>
      <c r="J29" s="256"/>
      <c r="K29" s="256">
        <v>0</v>
      </c>
      <c r="L29" s="256"/>
      <c r="M29" s="256">
        <v>10965.81</v>
      </c>
      <c r="N29" s="256">
        <v>159</v>
      </c>
      <c r="O29" s="256">
        <v>4402.83</v>
      </c>
      <c r="P29" s="256">
        <v>39.6</v>
      </c>
      <c r="Q29" s="256"/>
      <c r="R29" s="256"/>
      <c r="S29" s="257"/>
      <c r="T29" s="339"/>
      <c r="U29" s="333">
        <f t="shared" si="22"/>
        <v>51201.58</v>
      </c>
      <c r="V29" s="334">
        <f t="shared" si="22"/>
        <v>720.65</v>
      </c>
      <c r="W29" s="337">
        <v>0</v>
      </c>
      <c r="X29" s="337">
        <v>38661.69</v>
      </c>
      <c r="Y29" s="337">
        <v>0</v>
      </c>
      <c r="Z29" s="337">
        <v>0</v>
      </c>
      <c r="AA29" s="337">
        <v>9873.38</v>
      </c>
      <c r="AB29" s="337">
        <v>3572.42</v>
      </c>
      <c r="AC29" s="337"/>
      <c r="AD29" s="337"/>
      <c r="AE29" s="338"/>
      <c r="AF29" s="313">
        <f t="shared" si="23"/>
        <v>52107.49</v>
      </c>
      <c r="AG29" s="260">
        <f t="shared" si="24"/>
        <v>52927.793999999994</v>
      </c>
      <c r="AH29" s="314">
        <f t="shared" si="25"/>
        <v>0</v>
      </c>
      <c r="AI29" s="314">
        <f t="shared" si="25"/>
        <v>0</v>
      </c>
      <c r="AJ29" s="315">
        <f>'[15]Т04'!$J$62+'[15]Т04'!$J$63+'[15]Т04'!$J$125+'[15]Т04'!$J$127+'[15]Т04'!$J$135+'[15]Т04'!$J$140+'[15]Т04'!$J$145+'[15]Т04'!$J$180+'[15]Т04'!$J$235</f>
        <v>28022.183</v>
      </c>
      <c r="AK29" s="347">
        <f t="shared" si="26"/>
        <v>3717.4</v>
      </c>
      <c r="AL29" s="222">
        <f t="shared" si="27"/>
        <v>743.48</v>
      </c>
      <c r="AM29" s="222">
        <f t="shared" si="28"/>
        <v>3717.4</v>
      </c>
      <c r="AN29" s="222">
        <f t="shared" si="29"/>
        <v>780.654</v>
      </c>
      <c r="AO29" s="222">
        <f t="shared" si="30"/>
        <v>7509.148</v>
      </c>
      <c r="AP29" s="222">
        <f t="shared" si="31"/>
        <v>3828.922</v>
      </c>
      <c r="AQ29" s="222">
        <f t="shared" si="32"/>
        <v>2788.05</v>
      </c>
      <c r="AR29" s="222">
        <f t="shared" si="33"/>
        <v>2788.05</v>
      </c>
      <c r="AS29" s="335"/>
      <c r="AT29" s="241"/>
      <c r="AU29" s="346"/>
      <c r="AV29" s="317"/>
      <c r="AW29" s="317"/>
      <c r="AX29" s="317">
        <f>264+76.95+930+457.8</f>
        <v>1728.75</v>
      </c>
      <c r="AY29" s="317"/>
      <c r="AZ29" s="317"/>
      <c r="BA29" s="159"/>
      <c r="BB29" s="318"/>
      <c r="BC29" s="329">
        <f aca="true" t="shared" si="34" ref="BC29:BC37">SUM(AK29:BB29)</f>
        <v>27601.854</v>
      </c>
      <c r="BD29" s="320">
        <f>'[15]Т03'!$S$62+'[15]Т03'!$S$63+'[15]Т03'!$S$125+'[15]Т03'!$S$127+'[15]Т03'!$S$135+'[15]Т03'!$S$140+'[15]Т03'!$S$145+'[15]Т03'!$S$180+'[15]Т03'!$S$235</f>
        <v>15643.002600000002</v>
      </c>
      <c r="BE29" s="225">
        <f>BC29+BD29</f>
        <v>43244.8566</v>
      </c>
      <c r="BF29" s="226">
        <f>AG29+AJ29-BE29</f>
        <v>37705.1204</v>
      </c>
      <c r="BG29" s="226">
        <f>AF29-U29</f>
        <v>905.9099999999962</v>
      </c>
      <c r="BH29" s="352"/>
      <c r="BI29" s="352"/>
      <c r="BJ29" s="351"/>
      <c r="BK29" s="351"/>
      <c r="BL29" s="354"/>
      <c r="BM29" s="354"/>
      <c r="BN29" s="232"/>
    </row>
    <row r="30" spans="1:65" ht="12.75">
      <c r="A30" s="208" t="s">
        <v>49</v>
      </c>
      <c r="B30" s="209">
        <v>3717.4</v>
      </c>
      <c r="C30" s="170">
        <f t="shared" si="21"/>
        <v>37917.479999999996</v>
      </c>
      <c r="D30" s="345">
        <v>99.654</v>
      </c>
      <c r="E30" s="256">
        <v>0</v>
      </c>
      <c r="F30" s="256"/>
      <c r="G30" s="256">
        <v>-84950.24</v>
      </c>
      <c r="H30" s="256"/>
      <c r="I30" s="256">
        <v>0</v>
      </c>
      <c r="J30" s="256"/>
      <c r="K30" s="256">
        <v>0</v>
      </c>
      <c r="L30" s="256"/>
      <c r="M30" s="256">
        <v>10974.76</v>
      </c>
      <c r="N30" s="256"/>
      <c r="O30" s="256">
        <v>-862.24</v>
      </c>
      <c r="P30" s="256"/>
      <c r="Q30" s="256"/>
      <c r="R30" s="256"/>
      <c r="S30" s="257"/>
      <c r="T30" s="339"/>
      <c r="U30" s="333">
        <f t="shared" si="22"/>
        <v>-74837.72000000002</v>
      </c>
      <c r="V30" s="334">
        <f t="shared" si="22"/>
        <v>0</v>
      </c>
      <c r="W30" s="337">
        <v>0</v>
      </c>
      <c r="X30" s="337">
        <v>57369.45</v>
      </c>
      <c r="Y30" s="337">
        <v>0</v>
      </c>
      <c r="Z30" s="337">
        <v>0</v>
      </c>
      <c r="AA30" s="337">
        <v>9710.81</v>
      </c>
      <c r="AB30" s="337">
        <v>4798.82</v>
      </c>
      <c r="AC30" s="337"/>
      <c r="AD30" s="337"/>
      <c r="AE30" s="337"/>
      <c r="AF30" s="313">
        <f t="shared" si="23"/>
        <v>71879.07999999999</v>
      </c>
      <c r="AG30" s="260">
        <f t="shared" si="24"/>
        <v>71978.73399999998</v>
      </c>
      <c r="AH30" s="314">
        <f t="shared" si="25"/>
        <v>0</v>
      </c>
      <c r="AI30" s="314">
        <f t="shared" si="25"/>
        <v>0</v>
      </c>
      <c r="AJ30" s="315">
        <f>'[15]Т05'!$J$62+'[15]Т05'!$J$63+'[15]Т05'!$J$125+'[15]Т05'!$J$127+'[15]Т05'!$J$135+'[15]Т05'!$J$140+'[15]Т05'!$J$145+'[15]Т05'!$J$180+'[15]Т05'!$J$241</f>
        <v>28022.183</v>
      </c>
      <c r="AK30" s="347">
        <f t="shared" si="26"/>
        <v>3717.4</v>
      </c>
      <c r="AL30" s="222">
        <f t="shared" si="27"/>
        <v>743.48</v>
      </c>
      <c r="AM30" s="222">
        <f t="shared" si="28"/>
        <v>3717.4</v>
      </c>
      <c r="AN30" s="222">
        <f t="shared" si="29"/>
        <v>780.654</v>
      </c>
      <c r="AO30" s="222">
        <f t="shared" si="30"/>
        <v>7509.148</v>
      </c>
      <c r="AP30" s="222">
        <f t="shared" si="31"/>
        <v>3828.922</v>
      </c>
      <c r="AQ30" s="222">
        <f t="shared" si="32"/>
        <v>2788.05</v>
      </c>
      <c r="AR30" s="222">
        <f t="shared" si="33"/>
        <v>2788.05</v>
      </c>
      <c r="AS30" s="335"/>
      <c r="AT30" s="241"/>
      <c r="AU30" s="346">
        <v>746</v>
      </c>
      <c r="AV30" s="317"/>
      <c r="AW30" s="317">
        <v>2092</v>
      </c>
      <c r="AX30" s="317">
        <f>132</f>
        <v>132</v>
      </c>
      <c r="AY30" s="317"/>
      <c r="AZ30" s="317"/>
      <c r="BA30" s="159"/>
      <c r="BB30" s="318"/>
      <c r="BC30" s="329">
        <f t="shared" si="34"/>
        <v>28843.104</v>
      </c>
      <c r="BD30" s="320">
        <f>'[15]Т05'!$S$62+'[15]Т05'!$S$63+'[15]Т05'!$S$125+'[15]Т05'!$S$127+'[15]Т05'!$S$135+'[15]Т05'!$S$140+'[15]Т05'!$S$145+'[15]Т05'!$S$180+'[15]Т05'!$S$241</f>
        <v>15643.002600000002</v>
      </c>
      <c r="BE30" s="225">
        <f aca="true" t="shared" si="35" ref="BE30:BE37">BC30+BD30</f>
        <v>44486.1066</v>
      </c>
      <c r="BF30" s="226">
        <f aca="true" t="shared" si="36" ref="BF30:BF37">AG30+AJ30-BE30</f>
        <v>55514.81039999999</v>
      </c>
      <c r="BG30" s="226">
        <f aca="true" t="shared" si="37" ref="BG30:BG37">AF30-U30</f>
        <v>146716.8</v>
      </c>
      <c r="BH30" s="352"/>
      <c r="BI30" s="352"/>
      <c r="BJ30" s="351"/>
      <c r="BK30" s="354"/>
      <c r="BL30" s="354"/>
      <c r="BM30" s="354"/>
    </row>
    <row r="31" spans="1:65" ht="12.75">
      <c r="A31" s="208" t="s">
        <v>50</v>
      </c>
      <c r="B31" s="209">
        <v>3717.4</v>
      </c>
      <c r="C31" s="170">
        <f t="shared" si="21"/>
        <v>37917.479999999996</v>
      </c>
      <c r="D31" s="345">
        <v>99.654</v>
      </c>
      <c r="E31" s="256"/>
      <c r="F31" s="256"/>
      <c r="G31" s="256">
        <v>22538.01</v>
      </c>
      <c r="H31" s="256"/>
      <c r="I31" s="256"/>
      <c r="J31" s="256"/>
      <c r="K31" s="256"/>
      <c r="L31" s="256"/>
      <c r="M31" s="256">
        <v>10976.43</v>
      </c>
      <c r="N31" s="256"/>
      <c r="O31" s="256">
        <v>3826.21</v>
      </c>
      <c r="P31" s="256"/>
      <c r="Q31" s="256"/>
      <c r="R31" s="256"/>
      <c r="S31" s="257"/>
      <c r="T31" s="339"/>
      <c r="U31" s="333">
        <f t="shared" si="22"/>
        <v>37340.65</v>
      </c>
      <c r="V31" s="334">
        <f t="shared" si="22"/>
        <v>0</v>
      </c>
      <c r="W31" s="337"/>
      <c r="X31" s="348">
        <v>4297.71</v>
      </c>
      <c r="Y31" s="337"/>
      <c r="Z31" s="337"/>
      <c r="AA31" s="348">
        <v>4188.37</v>
      </c>
      <c r="AB31" s="348">
        <v>471.1</v>
      </c>
      <c r="AC31" s="337"/>
      <c r="AD31" s="348"/>
      <c r="AE31" s="349"/>
      <c r="AF31" s="313">
        <f t="shared" si="23"/>
        <v>8957.18</v>
      </c>
      <c r="AG31" s="260">
        <f t="shared" si="24"/>
        <v>9056.834</v>
      </c>
      <c r="AH31" s="314">
        <f t="shared" si="25"/>
        <v>0</v>
      </c>
      <c r="AI31" s="314">
        <f t="shared" si="25"/>
        <v>0</v>
      </c>
      <c r="AJ31" s="315">
        <f>'[15]Т06'!$J$62+'[15]Т06'!$J$63+'[15]Т06'!$J$125+'[15]Т06'!$J$127+'[15]Т06'!$J$135+'[15]Т06'!$J$140+'[15]Т06'!$J$145+'[15]Т06'!$J$211+'[15]Т06'!$J$272</f>
        <v>28022.183</v>
      </c>
      <c r="AK31" s="347">
        <f t="shared" si="26"/>
        <v>3717.4</v>
      </c>
      <c r="AL31" s="222">
        <f t="shared" si="27"/>
        <v>743.48</v>
      </c>
      <c r="AM31" s="222">
        <f t="shared" si="28"/>
        <v>3717.4</v>
      </c>
      <c r="AN31" s="222">
        <f t="shared" si="29"/>
        <v>780.654</v>
      </c>
      <c r="AO31" s="222">
        <f t="shared" si="30"/>
        <v>7509.148</v>
      </c>
      <c r="AP31" s="222">
        <f t="shared" si="31"/>
        <v>3828.922</v>
      </c>
      <c r="AQ31" s="222">
        <f t="shared" si="32"/>
        <v>2788.05</v>
      </c>
      <c r="AR31" s="222">
        <f t="shared" si="33"/>
        <v>2788.05</v>
      </c>
      <c r="AS31" s="335"/>
      <c r="AT31" s="241"/>
      <c r="AU31" s="346">
        <v>285</v>
      </c>
      <c r="AV31" s="317"/>
      <c r="AW31" s="317"/>
      <c r="AX31" s="317">
        <f>65+225</f>
        <v>290</v>
      </c>
      <c r="AY31" s="317"/>
      <c r="AZ31" s="317"/>
      <c r="BA31" s="159"/>
      <c r="BB31" s="318"/>
      <c r="BC31" s="329">
        <f t="shared" si="34"/>
        <v>26448.104</v>
      </c>
      <c r="BD31" s="320">
        <f>'[15]Т06'!$S$62+'[15]Т06'!$S$63+'[15]Т06'!$S$125+'[15]Т06'!$S$127+'[15]Т06'!$S$135+'[15]Т06'!$S$140+'[15]Т06'!$S$145+'[15]Т06'!$S$211+'[15]Т06'!$S$272</f>
        <v>15643.002600000002</v>
      </c>
      <c r="BE31" s="225">
        <f t="shared" si="35"/>
        <v>42091.1066</v>
      </c>
      <c r="BF31" s="226">
        <f t="shared" si="36"/>
        <v>-5012.089599999999</v>
      </c>
      <c r="BG31" s="226">
        <f t="shared" si="37"/>
        <v>-28383.47</v>
      </c>
      <c r="BH31" s="352"/>
      <c r="BI31" s="352"/>
      <c r="BJ31" s="351"/>
      <c r="BK31" s="354"/>
      <c r="BL31" s="354"/>
      <c r="BM31" s="354"/>
    </row>
    <row r="32" spans="1:77" ht="12.75">
      <c r="A32" s="208" t="s">
        <v>51</v>
      </c>
      <c r="B32" s="209">
        <v>3717.4</v>
      </c>
      <c r="C32" s="308">
        <f aca="true" t="shared" si="38" ref="C32:C37">97.7*10.64+3619.7*11.66</f>
        <v>43245.229999999996</v>
      </c>
      <c r="D32" s="345">
        <v>133.3605</v>
      </c>
      <c r="E32" s="256"/>
      <c r="F32" s="256"/>
      <c r="G32" s="256">
        <v>42669.89</v>
      </c>
      <c r="H32" s="256"/>
      <c r="I32" s="256"/>
      <c r="J32" s="256"/>
      <c r="K32" s="256"/>
      <c r="L32" s="256"/>
      <c r="M32" s="256">
        <v>10976.43</v>
      </c>
      <c r="N32" s="256"/>
      <c r="O32" s="256">
        <v>3826.21</v>
      </c>
      <c r="P32" s="256"/>
      <c r="Q32" s="256"/>
      <c r="R32" s="256"/>
      <c r="S32" s="257"/>
      <c r="T32" s="339"/>
      <c r="U32" s="333">
        <f aca="true" t="shared" si="39" ref="U32:V37">G32+M32+O32+Q32+S32</f>
        <v>57472.53</v>
      </c>
      <c r="V32" s="358">
        <f t="shared" si="39"/>
        <v>0</v>
      </c>
      <c r="W32" s="337"/>
      <c r="X32" s="247">
        <v>3027.43</v>
      </c>
      <c r="Y32" s="337"/>
      <c r="Z32" s="337"/>
      <c r="AA32" s="247">
        <v>983.64</v>
      </c>
      <c r="AB32" s="247">
        <v>1675.32</v>
      </c>
      <c r="AC32" s="337"/>
      <c r="AD32" s="247"/>
      <c r="AE32" s="253"/>
      <c r="AF32" s="313">
        <f aca="true" t="shared" si="40" ref="AF32:AF37">SUM(X32:AE32)</f>
        <v>5686.389999999999</v>
      </c>
      <c r="AG32" s="260">
        <f t="shared" si="24"/>
        <v>5819.750499999999</v>
      </c>
      <c r="AH32" s="359">
        <v>0</v>
      </c>
      <c r="AI32" s="314">
        <f t="shared" si="25"/>
        <v>0</v>
      </c>
      <c r="AJ32" s="315">
        <f>'[15]Т07'!$J$62+'[15]Т07'!$J$63+'[15]Т07'!$J$127+'[15]Т07'!$J$129+'[15]Т07'!$J$137+'[15]Т07'!$J$142+'[15]Т07'!$J$147+'[15]Т07'!$J$213+'[15]Т07'!$J$274</f>
        <v>12176.1938</v>
      </c>
      <c r="AK32" s="316">
        <f t="shared" si="26"/>
        <v>3717.4</v>
      </c>
      <c r="AL32" s="222">
        <f t="shared" si="27"/>
        <v>743.48</v>
      </c>
      <c r="AM32" s="222">
        <f t="shared" si="28"/>
        <v>3717.4</v>
      </c>
      <c r="AN32" s="222">
        <f t="shared" si="29"/>
        <v>780.654</v>
      </c>
      <c r="AO32" s="222">
        <f t="shared" si="30"/>
        <v>7509.148</v>
      </c>
      <c r="AP32" s="222">
        <f t="shared" si="31"/>
        <v>3828.922</v>
      </c>
      <c r="AQ32" s="222">
        <f t="shared" si="32"/>
        <v>2788.05</v>
      </c>
      <c r="AR32" s="222">
        <f t="shared" si="33"/>
        <v>2788.05</v>
      </c>
      <c r="AS32" s="335"/>
      <c r="AT32" s="241"/>
      <c r="AU32" s="346">
        <v>2155</v>
      </c>
      <c r="AV32" s="317"/>
      <c r="AW32" s="317"/>
      <c r="AX32" s="317">
        <f>786</f>
        <v>786</v>
      </c>
      <c r="AY32" s="317"/>
      <c r="AZ32" s="317"/>
      <c r="BA32" s="159"/>
      <c r="BB32" s="318"/>
      <c r="BC32" s="329">
        <f t="shared" si="34"/>
        <v>28814.104</v>
      </c>
      <c r="BD32" s="320">
        <f>'[15]Т07'!$S$62+'[15]Т07'!$S$63+'[15]Т07'!$S$127+'[15]Т07'!$S$129+'[15]Т07'!$S$137+'[15]Т07'!$S$142+'[15]Т07'!$S$147+'[15]Т07'!$S$213+'[15]Т07'!$S$274</f>
        <v>15643.002600000002</v>
      </c>
      <c r="BE32" s="225">
        <f t="shared" si="35"/>
        <v>44457.1066</v>
      </c>
      <c r="BF32" s="226">
        <f t="shared" si="36"/>
        <v>-26461.1623</v>
      </c>
      <c r="BG32" s="226">
        <f t="shared" si="37"/>
        <v>-51786.14</v>
      </c>
      <c r="BH32" s="360"/>
      <c r="BI32" s="360"/>
      <c r="BJ32" s="361"/>
      <c r="BK32" s="361"/>
      <c r="BL32" s="362"/>
      <c r="BM32" s="360"/>
      <c r="BN32" s="360"/>
      <c r="BO32" s="352"/>
      <c r="BP32" s="363"/>
      <c r="BQ32" s="352"/>
      <c r="BR32" s="352"/>
      <c r="BS32" s="352"/>
      <c r="BT32" s="352"/>
      <c r="BU32" s="351"/>
      <c r="BV32" s="351"/>
      <c r="BW32" s="355"/>
      <c r="BX32" s="355"/>
      <c r="BY32" s="355"/>
    </row>
    <row r="33" spans="1:77" ht="12.75">
      <c r="A33" s="208" t="s">
        <v>52</v>
      </c>
      <c r="B33" s="209">
        <v>3717.4</v>
      </c>
      <c r="C33" s="308">
        <f t="shared" si="38"/>
        <v>43245.229999999996</v>
      </c>
      <c r="D33" s="345"/>
      <c r="E33" s="256"/>
      <c r="F33" s="256"/>
      <c r="G33" s="256">
        <v>42669.86</v>
      </c>
      <c r="H33" s="256"/>
      <c r="I33" s="256"/>
      <c r="J33" s="256"/>
      <c r="K33" s="256"/>
      <c r="L33" s="256"/>
      <c r="M33" s="256">
        <v>10976.45</v>
      </c>
      <c r="N33" s="256"/>
      <c r="O33" s="256">
        <v>3826.19</v>
      </c>
      <c r="P33" s="256"/>
      <c r="Q33" s="256"/>
      <c r="R33" s="256"/>
      <c r="S33" s="257"/>
      <c r="T33" s="339"/>
      <c r="U33" s="333">
        <f t="shared" si="39"/>
        <v>57472.5</v>
      </c>
      <c r="V33" s="358">
        <f t="shared" si="39"/>
        <v>0</v>
      </c>
      <c r="W33" s="337"/>
      <c r="X33" s="247">
        <v>6732.88</v>
      </c>
      <c r="Y33" s="337"/>
      <c r="Z33" s="337"/>
      <c r="AA33" s="247">
        <v>12388.83</v>
      </c>
      <c r="AB33" s="247">
        <v>313.53</v>
      </c>
      <c r="AC33" s="337"/>
      <c r="AD33" s="247"/>
      <c r="AE33" s="253"/>
      <c r="AF33" s="313">
        <f t="shared" si="40"/>
        <v>19435.239999999998</v>
      </c>
      <c r="AG33" s="260">
        <f t="shared" si="24"/>
        <v>19435.239999999998</v>
      </c>
      <c r="AH33" s="359">
        <v>0</v>
      </c>
      <c r="AI33" s="314">
        <f t="shared" si="25"/>
        <v>0</v>
      </c>
      <c r="AJ33" s="315">
        <f>'[15]Т08'!$J$62+'[15]Т08'!$J$63+'[15]Т08'!$J$127+'[15]Т08'!$J$129+'[15]Т08'!$J$137+'[15]Т08'!$J$142+'[15]Т08'!$J$147+'[15]Т08'!$J$213+'[15]Т08'!$J$274</f>
        <v>28022.193</v>
      </c>
      <c r="AK33" s="316">
        <f t="shared" si="26"/>
        <v>3717.4</v>
      </c>
      <c r="AL33" s="222">
        <f t="shared" si="27"/>
        <v>743.48</v>
      </c>
      <c r="AM33" s="222">
        <f t="shared" si="28"/>
        <v>3717.4</v>
      </c>
      <c r="AN33" s="222">
        <f t="shared" si="29"/>
        <v>780.654</v>
      </c>
      <c r="AO33" s="222">
        <f t="shared" si="30"/>
        <v>7509.148</v>
      </c>
      <c r="AP33" s="222">
        <f t="shared" si="31"/>
        <v>3828.922</v>
      </c>
      <c r="AQ33" s="222">
        <f t="shared" si="32"/>
        <v>2788.05</v>
      </c>
      <c r="AR33" s="222">
        <f t="shared" si="33"/>
        <v>2788.05</v>
      </c>
      <c r="AS33" s="335"/>
      <c r="AT33" s="241"/>
      <c r="AU33" s="346"/>
      <c r="AV33" s="317"/>
      <c r="AW33" s="317">
        <f>28532+5273</f>
        <v>33805</v>
      </c>
      <c r="AX33" s="317">
        <f>8.92+1335+316+1020+1072.5+7524.29+8139</f>
        <v>19415.71</v>
      </c>
      <c r="AY33" s="317"/>
      <c r="AZ33" s="317"/>
      <c r="BA33" s="159"/>
      <c r="BB33" s="318"/>
      <c r="BC33" s="329">
        <f t="shared" si="34"/>
        <v>79093.814</v>
      </c>
      <c r="BD33" s="320">
        <f>'[15]Т08'!$S$62+'[15]Т08'!$S$63+'[15]Т08'!$S$127+'[15]Т08'!$S$129+'[15]Т08'!$S$137+'[15]Т08'!$S$142+'[15]Т08'!$S$147+'[15]Т08'!$S$213+'[15]Т08'!$S$274</f>
        <v>15643.002600000002</v>
      </c>
      <c r="BE33" s="225">
        <f t="shared" si="35"/>
        <v>94736.8166</v>
      </c>
      <c r="BF33" s="226">
        <f t="shared" si="36"/>
        <v>-47279.38360000001</v>
      </c>
      <c r="BG33" s="226">
        <f t="shared" si="37"/>
        <v>-38037.26</v>
      </c>
      <c r="BH33" s="360"/>
      <c r="BI33" s="360"/>
      <c r="BJ33" s="360"/>
      <c r="BK33" s="360"/>
      <c r="BL33" s="362"/>
      <c r="BM33" s="360"/>
      <c r="BN33" s="360"/>
      <c r="BO33" s="352"/>
      <c r="BP33" s="363"/>
      <c r="BQ33" s="352"/>
      <c r="BR33" s="352"/>
      <c r="BS33" s="352"/>
      <c r="BT33" s="352"/>
      <c r="BU33" s="351"/>
      <c r="BV33" s="351"/>
      <c r="BW33" s="355"/>
      <c r="BX33" s="355"/>
      <c r="BY33" s="355"/>
    </row>
    <row r="34" spans="1:77" ht="12.75">
      <c r="A34" s="208" t="s">
        <v>53</v>
      </c>
      <c r="B34" s="209">
        <v>3717.4</v>
      </c>
      <c r="C34" s="308">
        <f t="shared" si="38"/>
        <v>43245.229999999996</v>
      </c>
      <c r="D34" s="345"/>
      <c r="E34" s="256"/>
      <c r="F34" s="256"/>
      <c r="G34" s="256">
        <v>42669.84</v>
      </c>
      <c r="H34" s="256"/>
      <c r="I34" s="256"/>
      <c r="J34" s="256"/>
      <c r="K34" s="256"/>
      <c r="L34" s="256"/>
      <c r="M34" s="256">
        <v>-21952.88</v>
      </c>
      <c r="N34" s="256"/>
      <c r="O34" s="256">
        <v>-7652.4</v>
      </c>
      <c r="P34" s="256"/>
      <c r="Q34" s="256"/>
      <c r="R34" s="256"/>
      <c r="S34" s="257"/>
      <c r="T34" s="339"/>
      <c r="U34" s="333">
        <f t="shared" si="39"/>
        <v>13064.559999999996</v>
      </c>
      <c r="V34" s="358">
        <f t="shared" si="39"/>
        <v>0</v>
      </c>
      <c r="W34" s="337"/>
      <c r="X34" s="247">
        <v>8257.52</v>
      </c>
      <c r="Y34" s="337"/>
      <c r="Z34" s="337"/>
      <c r="AA34" s="247">
        <v>9685.33</v>
      </c>
      <c r="AB34" s="247">
        <v>3100.93</v>
      </c>
      <c r="AC34" s="337"/>
      <c r="AD34" s="247"/>
      <c r="AE34" s="253"/>
      <c r="AF34" s="313">
        <f t="shared" si="40"/>
        <v>21043.78</v>
      </c>
      <c r="AG34" s="260">
        <f t="shared" si="24"/>
        <v>21043.78</v>
      </c>
      <c r="AH34" s="359">
        <v>0</v>
      </c>
      <c r="AI34" s="314">
        <f t="shared" si="25"/>
        <v>0</v>
      </c>
      <c r="AJ34" s="315">
        <f>'[15]Т09'!$J$62+'[15]Т09'!$J$63+'[15]Т09'!$J$126+'[15]Т09'!$J$128+'[15]Т09'!$J$136+'[15]Т09'!$J$141+'[15]Т09'!$J$146+'[15]Т09'!$J$213+'[15]Т09'!$J$274</f>
        <v>28022.193</v>
      </c>
      <c r="AK34" s="316">
        <f t="shared" si="26"/>
        <v>3717.4</v>
      </c>
      <c r="AL34" s="222">
        <f t="shared" si="27"/>
        <v>743.48</v>
      </c>
      <c r="AM34" s="222">
        <f t="shared" si="28"/>
        <v>3717.4</v>
      </c>
      <c r="AN34" s="222">
        <f t="shared" si="29"/>
        <v>780.654</v>
      </c>
      <c r="AO34" s="222">
        <f t="shared" si="30"/>
        <v>7509.148</v>
      </c>
      <c r="AP34" s="222">
        <f t="shared" si="31"/>
        <v>3828.922</v>
      </c>
      <c r="AQ34" s="222">
        <f t="shared" si="32"/>
        <v>2788.05</v>
      </c>
      <c r="AR34" s="222">
        <f t="shared" si="33"/>
        <v>2788.05</v>
      </c>
      <c r="AS34" s="335"/>
      <c r="AT34" s="241"/>
      <c r="AU34" s="346">
        <v>1092</v>
      </c>
      <c r="AV34" s="317"/>
      <c r="AW34" s="317">
        <v>65947</v>
      </c>
      <c r="AX34" s="317">
        <f>61+249.5+608.19</f>
        <v>918.69</v>
      </c>
      <c r="AY34" s="317"/>
      <c r="AZ34" s="317"/>
      <c r="BA34" s="159"/>
      <c r="BB34" s="318"/>
      <c r="BC34" s="329">
        <f t="shared" si="34"/>
        <v>93830.794</v>
      </c>
      <c r="BD34" s="320">
        <f>'[15]Т09'!$S$62+'[15]Т09'!$S$63+'[15]Т09'!$S$126+'[15]Т09'!$S$128+'[15]Т09'!$S$136+'[15]Т09'!$S$141+'[15]Т09'!$S$146+'[15]Т09'!$S$213+'[15]Т09'!$S$274</f>
        <v>15643.002600000002</v>
      </c>
      <c r="BE34" s="225">
        <f t="shared" si="35"/>
        <v>109473.7966</v>
      </c>
      <c r="BF34" s="226">
        <f t="shared" si="36"/>
        <v>-60407.8236</v>
      </c>
      <c r="BG34" s="226">
        <f t="shared" si="37"/>
        <v>7979.220000000003</v>
      </c>
      <c r="BH34" s="360"/>
      <c r="BI34" s="360"/>
      <c r="BJ34" s="360"/>
      <c r="BK34" s="360"/>
      <c r="BL34" s="362"/>
      <c r="BM34" s="360"/>
      <c r="BN34" s="360"/>
      <c r="BO34" s="352"/>
      <c r="BP34" s="363"/>
      <c r="BQ34" s="352"/>
      <c r="BR34" s="352"/>
      <c r="BS34" s="352"/>
      <c r="BT34" s="352"/>
      <c r="BU34" s="351"/>
      <c r="BV34" s="351"/>
      <c r="BW34" s="355"/>
      <c r="BX34" s="355"/>
      <c r="BY34" s="355"/>
    </row>
    <row r="35" spans="1:77" ht="12.75">
      <c r="A35" s="208" t="s">
        <v>41</v>
      </c>
      <c r="B35" s="209">
        <v>3717.4</v>
      </c>
      <c r="C35" s="308">
        <f t="shared" si="38"/>
        <v>43245.229999999996</v>
      </c>
      <c r="D35" s="345"/>
      <c r="E35" s="256"/>
      <c r="F35" s="256"/>
      <c r="G35" s="256">
        <v>42669.87</v>
      </c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7"/>
      <c r="T35" s="339"/>
      <c r="U35" s="333">
        <f t="shared" si="39"/>
        <v>42669.87</v>
      </c>
      <c r="V35" s="358">
        <f t="shared" si="39"/>
        <v>0</v>
      </c>
      <c r="W35" s="337"/>
      <c r="X35" s="247">
        <v>34696.72</v>
      </c>
      <c r="Y35" s="337"/>
      <c r="Z35" s="337"/>
      <c r="AA35" s="247">
        <v>6506.12</v>
      </c>
      <c r="AB35" s="247">
        <v>2154.05</v>
      </c>
      <c r="AC35" s="337"/>
      <c r="AD35" s="247"/>
      <c r="AE35" s="253"/>
      <c r="AF35" s="313">
        <f t="shared" si="40"/>
        <v>43356.89000000001</v>
      </c>
      <c r="AG35" s="260">
        <f t="shared" si="24"/>
        <v>43356.89000000001</v>
      </c>
      <c r="AH35" s="359">
        <v>0</v>
      </c>
      <c r="AI35" s="314">
        <f t="shared" si="25"/>
        <v>0</v>
      </c>
      <c r="AJ35" s="315">
        <f>'[15]Т10'!$J$62+'[15]Т10'!$J$63+'[15]Т10'!$J$125+'[15]Т10'!$J$127+'[15]Т10'!$J$135+'[15]Т10'!$J$140+'[15]Т10'!$J$145+'[15]Т10'!$J$212+'[15]Т10'!$J$273</f>
        <v>28022.193</v>
      </c>
      <c r="AK35" s="316">
        <f t="shared" si="26"/>
        <v>3717.4</v>
      </c>
      <c r="AL35" s="222">
        <f t="shared" si="27"/>
        <v>743.48</v>
      </c>
      <c r="AM35" s="222">
        <f t="shared" si="28"/>
        <v>3717.4</v>
      </c>
      <c r="AN35" s="222">
        <f t="shared" si="29"/>
        <v>780.654</v>
      </c>
      <c r="AO35" s="222">
        <f t="shared" si="30"/>
        <v>7509.148</v>
      </c>
      <c r="AP35" s="222">
        <f t="shared" si="31"/>
        <v>3828.922</v>
      </c>
      <c r="AQ35" s="222">
        <f t="shared" si="32"/>
        <v>2788.05</v>
      </c>
      <c r="AR35" s="222">
        <f t="shared" si="33"/>
        <v>2788.05</v>
      </c>
      <c r="AS35" s="335">
        <f>B35*1.15</f>
        <v>4275.01</v>
      </c>
      <c r="AT35" s="241"/>
      <c r="AU35" s="364">
        <v>2629</v>
      </c>
      <c r="AV35" s="317"/>
      <c r="AW35" s="242">
        <f>3489/2+227</f>
        <v>1971.5</v>
      </c>
      <c r="AX35" s="365">
        <f>27809.1269</f>
        <v>27809.1269</v>
      </c>
      <c r="AY35" s="365"/>
      <c r="AZ35" s="365"/>
      <c r="BA35" s="159"/>
      <c r="BB35" s="318"/>
      <c r="BC35" s="329">
        <f t="shared" si="34"/>
        <v>62557.740900000004</v>
      </c>
      <c r="BD35" s="320">
        <f>'[15]Т10'!$S$62+'[15]Т10'!$S$63+'[15]Т10'!$S$125+'[15]Т10'!$S$127+'[15]Т10'!$S$135+'[15]Т10'!$S$140+'[15]Т10'!$S$145+'[15]Т10'!$S$212+'[15]Т10'!$S$273</f>
        <v>15643.002600000002</v>
      </c>
      <c r="BE35" s="225">
        <f t="shared" si="35"/>
        <v>78200.74350000001</v>
      </c>
      <c r="BF35" s="226">
        <f t="shared" si="36"/>
        <v>-6821.660499999998</v>
      </c>
      <c r="BG35" s="226">
        <f t="shared" si="37"/>
        <v>687.0200000000041</v>
      </c>
      <c r="BH35" s="360"/>
      <c r="BI35" s="360"/>
      <c r="BJ35" s="360"/>
      <c r="BK35" s="360"/>
      <c r="BL35" s="362"/>
      <c r="BM35" s="360"/>
      <c r="BN35" s="360"/>
      <c r="BO35" s="352"/>
      <c r="BP35" s="363"/>
      <c r="BQ35" s="352"/>
      <c r="BR35" s="352"/>
      <c r="BS35" s="352"/>
      <c r="BT35" s="352"/>
      <c r="BU35" s="351"/>
      <c r="BV35" s="351"/>
      <c r="BW35" s="355"/>
      <c r="BX35" s="355"/>
      <c r="BY35" s="355"/>
    </row>
    <row r="36" spans="1:77" ht="12.75">
      <c r="A36" s="208" t="s">
        <v>42</v>
      </c>
      <c r="B36" s="366">
        <v>3717.4</v>
      </c>
      <c r="C36" s="308">
        <f t="shared" si="38"/>
        <v>43245.229999999996</v>
      </c>
      <c r="D36" s="345"/>
      <c r="E36" s="256"/>
      <c r="F36" s="256"/>
      <c r="G36" s="247">
        <v>42669.87</v>
      </c>
      <c r="H36" s="247"/>
      <c r="I36" s="256"/>
      <c r="J36" s="256"/>
      <c r="K36" s="256"/>
      <c r="L36" s="256"/>
      <c r="M36" s="247"/>
      <c r="N36" s="247"/>
      <c r="O36" s="247"/>
      <c r="P36" s="247"/>
      <c r="Q36" s="247"/>
      <c r="R36" s="247"/>
      <c r="S36" s="253"/>
      <c r="T36" s="339"/>
      <c r="U36" s="333">
        <f t="shared" si="39"/>
        <v>42669.87</v>
      </c>
      <c r="V36" s="358">
        <f t="shared" si="39"/>
        <v>0</v>
      </c>
      <c r="W36" s="337"/>
      <c r="X36" s="247">
        <v>39445.38</v>
      </c>
      <c r="Y36" s="337"/>
      <c r="Z36" s="337"/>
      <c r="AA36" s="247">
        <v>680.12</v>
      </c>
      <c r="AB36" s="247">
        <v>210.84</v>
      </c>
      <c r="AC36" s="337"/>
      <c r="AD36" s="247"/>
      <c r="AE36" s="253"/>
      <c r="AF36" s="313">
        <f t="shared" si="40"/>
        <v>40336.34</v>
      </c>
      <c r="AG36" s="260">
        <f t="shared" si="24"/>
        <v>40336.34</v>
      </c>
      <c r="AH36" s="359">
        <v>0</v>
      </c>
      <c r="AI36" s="314">
        <f t="shared" si="25"/>
        <v>0</v>
      </c>
      <c r="AJ36" s="315">
        <f>'[15]Т11'!$J$62+'[15]Т11'!$J$63+'[15]Т11'!$J$125+'[15]Т11'!$J$127+'[15]Т11'!$J$135+'[15]Т11'!$J$140+'[15]Т11'!$J$145+'[15]Т11'!$J$214+'[15]Т11'!$J$275</f>
        <v>28022.193</v>
      </c>
      <c r="AK36" s="316">
        <f t="shared" si="26"/>
        <v>3717.4</v>
      </c>
      <c r="AL36" s="222">
        <f t="shared" si="27"/>
        <v>743.48</v>
      </c>
      <c r="AM36" s="222">
        <f t="shared" si="28"/>
        <v>3717.4</v>
      </c>
      <c r="AN36" s="222">
        <f t="shared" si="29"/>
        <v>780.654</v>
      </c>
      <c r="AO36" s="222">
        <f t="shared" si="30"/>
        <v>7509.148</v>
      </c>
      <c r="AP36" s="222">
        <f t="shared" si="31"/>
        <v>3828.922</v>
      </c>
      <c r="AQ36" s="222">
        <f t="shared" si="32"/>
        <v>2788.05</v>
      </c>
      <c r="AR36" s="222">
        <f t="shared" si="33"/>
        <v>2788.05</v>
      </c>
      <c r="AS36" s="335">
        <f>B36*1.15</f>
        <v>4275.01</v>
      </c>
      <c r="AT36" s="241"/>
      <c r="AU36" s="346"/>
      <c r="AV36" s="317"/>
      <c r="AW36" s="317"/>
      <c r="AX36" s="317"/>
      <c r="AY36" s="317"/>
      <c r="AZ36" s="317"/>
      <c r="BA36" s="159"/>
      <c r="BB36" s="318"/>
      <c r="BC36" s="329">
        <f t="shared" si="34"/>
        <v>30148.114</v>
      </c>
      <c r="BD36" s="320">
        <f>'[15]Т11'!$S$62+'[15]Т11'!$S$63+'[15]Т11'!$S$125+'[15]Т11'!$S$127+'[15]Т11'!$S$135+'[15]Т11'!$S$140+'[15]Т11'!$S$145+'[15]Т11'!$S$214+'[15]Т11'!$S$275</f>
        <v>15643.002600000002</v>
      </c>
      <c r="BE36" s="225">
        <f t="shared" si="35"/>
        <v>45791.1166</v>
      </c>
      <c r="BF36" s="226">
        <f t="shared" si="36"/>
        <v>22567.416399999995</v>
      </c>
      <c r="BG36" s="226">
        <f t="shared" si="37"/>
        <v>-2333.530000000006</v>
      </c>
      <c r="BH36" s="360"/>
      <c r="BI36" s="360"/>
      <c r="BJ36" s="360"/>
      <c r="BK36" s="360"/>
      <c r="BL36" s="362"/>
      <c r="BM36" s="360"/>
      <c r="BN36" s="360"/>
      <c r="BO36" s="352"/>
      <c r="BP36" s="363"/>
      <c r="BQ36" s="352"/>
      <c r="BR36" s="352"/>
      <c r="BS36" s="352"/>
      <c r="BT36" s="352"/>
      <c r="BU36" s="351"/>
      <c r="BV36" s="351"/>
      <c r="BW36" s="355"/>
      <c r="BX36" s="355"/>
      <c r="BY36" s="355"/>
    </row>
    <row r="37" spans="1:77" ht="13.5" thickBot="1">
      <c r="A37" s="208" t="s">
        <v>43</v>
      </c>
      <c r="B37" s="366">
        <v>3717.4</v>
      </c>
      <c r="C37" s="308">
        <f t="shared" si="38"/>
        <v>43245.229999999996</v>
      </c>
      <c r="D37" s="345"/>
      <c r="E37" s="247"/>
      <c r="F37" s="247"/>
      <c r="G37" s="247">
        <v>42669.87</v>
      </c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53"/>
      <c r="T37" s="339"/>
      <c r="U37" s="333">
        <f t="shared" si="39"/>
        <v>42669.87</v>
      </c>
      <c r="V37" s="358">
        <f t="shared" si="39"/>
        <v>0</v>
      </c>
      <c r="W37" s="337"/>
      <c r="X37" s="247">
        <v>51841.3</v>
      </c>
      <c r="Y37" s="247"/>
      <c r="Z37" s="247"/>
      <c r="AA37" s="247">
        <v>820.87</v>
      </c>
      <c r="AB37" s="247">
        <v>288.84</v>
      </c>
      <c r="AC37" s="247"/>
      <c r="AD37" s="247"/>
      <c r="AE37" s="253"/>
      <c r="AF37" s="313">
        <f t="shared" si="40"/>
        <v>52951.01</v>
      </c>
      <c r="AG37" s="260">
        <f t="shared" si="24"/>
        <v>52951.01</v>
      </c>
      <c r="AH37" s="359">
        <v>0</v>
      </c>
      <c r="AI37" s="314">
        <f t="shared" si="25"/>
        <v>0</v>
      </c>
      <c r="AJ37" s="315">
        <f>'[15]Т12'!$J$62+'[15]Т12'!$J$63+'[15]Т12'!$J$125+'[15]Т12'!$J$127+'[15]Т12'!$J$135+'[15]Т12'!$J$140+'[15]Т12'!$J$145+'[15]Т12'!$J$217+'[15]Т12'!$J$278</f>
        <v>28022.193</v>
      </c>
      <c r="AK37" s="316">
        <f t="shared" si="26"/>
        <v>3717.4</v>
      </c>
      <c r="AL37" s="222">
        <f t="shared" si="27"/>
        <v>743.48</v>
      </c>
      <c r="AM37" s="222">
        <f t="shared" si="28"/>
        <v>3717.4</v>
      </c>
      <c r="AN37" s="222">
        <f t="shared" si="29"/>
        <v>780.654</v>
      </c>
      <c r="AO37" s="222">
        <f t="shared" si="30"/>
        <v>7509.148</v>
      </c>
      <c r="AP37" s="222">
        <f t="shared" si="31"/>
        <v>3828.922</v>
      </c>
      <c r="AQ37" s="222">
        <f t="shared" si="32"/>
        <v>2788.05</v>
      </c>
      <c r="AR37" s="222">
        <f t="shared" si="33"/>
        <v>2788.05</v>
      </c>
      <c r="AS37" s="335">
        <f>B37*1.15</f>
        <v>4275.01</v>
      </c>
      <c r="AT37" s="241"/>
      <c r="AU37" s="346">
        <v>10223</v>
      </c>
      <c r="AV37" s="317">
        <v>55</v>
      </c>
      <c r="AW37" s="317"/>
      <c r="AX37" s="317">
        <f>2102.7</f>
        <v>2102.7</v>
      </c>
      <c r="AY37" s="317"/>
      <c r="AZ37" s="317"/>
      <c r="BA37" s="159"/>
      <c r="BB37" s="318"/>
      <c r="BC37" s="329">
        <f t="shared" si="34"/>
        <v>42528.814</v>
      </c>
      <c r="BD37" s="320">
        <f>'[15]Т12'!$S$62+'[15]Т12'!$S$63+'[15]Т12'!$S$125+'[15]Т12'!$S$127+'[15]Т12'!$S$135+'[15]Т12'!$S$140+'[15]Т12'!$S$145+'[15]Т12'!$S$217+'[15]Т12'!$S$278</f>
        <v>15643.002600000002</v>
      </c>
      <c r="BE37" s="225">
        <f t="shared" si="35"/>
        <v>58171.8166</v>
      </c>
      <c r="BF37" s="226">
        <f t="shared" si="36"/>
        <v>22801.38640000001</v>
      </c>
      <c r="BG37" s="226">
        <f t="shared" si="37"/>
        <v>10281.14</v>
      </c>
      <c r="BH37" s="360"/>
      <c r="BI37" s="360"/>
      <c r="BJ37" s="360"/>
      <c r="BK37" s="360"/>
      <c r="BL37" s="362"/>
      <c r="BM37" s="360"/>
      <c r="BN37" s="360"/>
      <c r="BO37" s="352"/>
      <c r="BP37" s="363"/>
      <c r="BQ37" s="352"/>
      <c r="BR37" s="352"/>
      <c r="BS37" s="352"/>
      <c r="BT37" s="352"/>
      <c r="BU37" s="351"/>
      <c r="BV37" s="351"/>
      <c r="BW37" s="355"/>
      <c r="BX37" s="355"/>
      <c r="BY37" s="355"/>
    </row>
    <row r="38" spans="1:69" s="29" customFormat="1" ht="13.5" thickBot="1">
      <c r="A38" s="261" t="s">
        <v>5</v>
      </c>
      <c r="B38" s="262"/>
      <c r="C38" s="350">
        <f aca="true" t="shared" si="41" ref="C38:BF38">SUM(C26:C37)</f>
        <v>486976.25999999983</v>
      </c>
      <c r="D38" s="350">
        <f t="shared" si="41"/>
        <v>731.2845</v>
      </c>
      <c r="E38" s="350">
        <f t="shared" si="41"/>
        <v>0</v>
      </c>
      <c r="F38" s="350">
        <f t="shared" si="41"/>
        <v>0</v>
      </c>
      <c r="G38" s="350">
        <f t="shared" si="41"/>
        <v>337200.33999999997</v>
      </c>
      <c r="H38" s="350">
        <f t="shared" si="41"/>
        <v>2088.2</v>
      </c>
      <c r="I38" s="350">
        <f t="shared" si="41"/>
        <v>0</v>
      </c>
      <c r="J38" s="350">
        <f t="shared" si="41"/>
        <v>0</v>
      </c>
      <c r="K38" s="350">
        <f t="shared" si="41"/>
        <v>0</v>
      </c>
      <c r="L38" s="350">
        <f t="shared" si="41"/>
        <v>0</v>
      </c>
      <c r="M38" s="350">
        <f t="shared" si="41"/>
        <v>65841.81999999999</v>
      </c>
      <c r="N38" s="350">
        <f t="shared" si="41"/>
        <v>636</v>
      </c>
      <c r="O38" s="350">
        <f t="shared" si="41"/>
        <v>20593.729999999996</v>
      </c>
      <c r="P38" s="350">
        <f t="shared" si="41"/>
        <v>158.4</v>
      </c>
      <c r="Q38" s="350">
        <f t="shared" si="41"/>
        <v>0</v>
      </c>
      <c r="R38" s="350">
        <f t="shared" si="41"/>
        <v>0</v>
      </c>
      <c r="S38" s="350">
        <f t="shared" si="41"/>
        <v>0</v>
      </c>
      <c r="T38" s="350">
        <f t="shared" si="41"/>
        <v>0</v>
      </c>
      <c r="U38" s="350">
        <f t="shared" si="41"/>
        <v>423635.88999999996</v>
      </c>
      <c r="V38" s="350">
        <f t="shared" si="41"/>
        <v>2882.6</v>
      </c>
      <c r="W38" s="350">
        <f t="shared" si="41"/>
        <v>0</v>
      </c>
      <c r="X38" s="350">
        <f t="shared" si="41"/>
        <v>342790.88999999996</v>
      </c>
      <c r="Y38" s="350">
        <f t="shared" si="41"/>
        <v>0</v>
      </c>
      <c r="Z38" s="350">
        <f t="shared" si="41"/>
        <v>0</v>
      </c>
      <c r="AA38" s="350">
        <f t="shared" si="41"/>
        <v>84286.14999999998</v>
      </c>
      <c r="AB38" s="350">
        <f t="shared" si="41"/>
        <v>28781.3</v>
      </c>
      <c r="AC38" s="350">
        <f t="shared" si="41"/>
        <v>0</v>
      </c>
      <c r="AD38" s="350">
        <f t="shared" si="41"/>
        <v>0</v>
      </c>
      <c r="AE38" s="350">
        <f t="shared" si="41"/>
        <v>0</v>
      </c>
      <c r="AF38" s="350">
        <f t="shared" si="41"/>
        <v>455858.33999999997</v>
      </c>
      <c r="AG38" s="350">
        <f t="shared" si="41"/>
        <v>459472.2245</v>
      </c>
      <c r="AH38" s="350">
        <f t="shared" si="41"/>
        <v>0</v>
      </c>
      <c r="AI38" s="350">
        <f t="shared" si="41"/>
        <v>0</v>
      </c>
      <c r="AJ38" s="350">
        <f t="shared" si="41"/>
        <v>320420.2618</v>
      </c>
      <c r="AK38" s="350">
        <f t="shared" si="41"/>
        <v>44608.80000000001</v>
      </c>
      <c r="AL38" s="350">
        <f t="shared" si="41"/>
        <v>8921.759999999998</v>
      </c>
      <c r="AM38" s="350">
        <f t="shared" si="41"/>
        <v>44608.80000000001</v>
      </c>
      <c r="AN38" s="350">
        <f t="shared" si="41"/>
        <v>9367.848000000002</v>
      </c>
      <c r="AO38" s="350">
        <f t="shared" si="41"/>
        <v>90109.776</v>
      </c>
      <c r="AP38" s="350">
        <f t="shared" si="41"/>
        <v>45947.06399999999</v>
      </c>
      <c r="AQ38" s="350">
        <f t="shared" si="41"/>
        <v>33456.6</v>
      </c>
      <c r="AR38" s="350">
        <f t="shared" si="41"/>
        <v>33456.6</v>
      </c>
      <c r="AS38" s="350">
        <f t="shared" si="41"/>
        <v>25650.060000000005</v>
      </c>
      <c r="AT38" s="350">
        <f t="shared" si="41"/>
        <v>0</v>
      </c>
      <c r="AU38" s="350">
        <f t="shared" si="41"/>
        <v>20090</v>
      </c>
      <c r="AV38" s="350">
        <f t="shared" si="41"/>
        <v>55</v>
      </c>
      <c r="AW38" s="350">
        <f t="shared" si="41"/>
        <v>104498.01999999999</v>
      </c>
      <c r="AX38" s="350">
        <f t="shared" si="41"/>
        <v>56642.75689999999</v>
      </c>
      <c r="AY38" s="350">
        <f t="shared" si="41"/>
        <v>0</v>
      </c>
      <c r="AZ38" s="350">
        <f t="shared" si="41"/>
        <v>0</v>
      </c>
      <c r="BA38" s="350">
        <f t="shared" si="41"/>
        <v>0</v>
      </c>
      <c r="BB38" s="350">
        <f t="shared" si="41"/>
        <v>0</v>
      </c>
      <c r="BC38" s="350">
        <f t="shared" si="41"/>
        <v>517413.08489999996</v>
      </c>
      <c r="BD38" s="350">
        <f t="shared" si="41"/>
        <v>187148.09320000006</v>
      </c>
      <c r="BE38" s="350">
        <f t="shared" si="41"/>
        <v>704561.1781</v>
      </c>
      <c r="BF38" s="350">
        <f t="shared" si="41"/>
        <v>75331.30819999994</v>
      </c>
      <c r="BG38" s="350">
        <f>SUM(BG26:BG37)</f>
        <v>32222.449999999968</v>
      </c>
      <c r="BH38" s="353"/>
      <c r="BI38" s="353"/>
      <c r="BJ38" s="353"/>
      <c r="BK38" s="353"/>
      <c r="BL38" s="353"/>
      <c r="BM38" s="353"/>
      <c r="BN38" s="353"/>
      <c r="BO38" s="353"/>
      <c r="BP38" s="353"/>
      <c r="BQ38" s="353"/>
    </row>
    <row r="39" spans="1:62" s="29" customFormat="1" ht="13.5" thickBot="1">
      <c r="A39" s="264"/>
      <c r="B39" s="265"/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265"/>
      <c r="AA39" s="265"/>
      <c r="AB39" s="265"/>
      <c r="AC39" s="265"/>
      <c r="AD39" s="265"/>
      <c r="AE39" s="265"/>
      <c r="AF39" s="265"/>
      <c r="AG39" s="265"/>
      <c r="AH39" s="265"/>
      <c r="AI39" s="265"/>
      <c r="AJ39" s="265"/>
      <c r="AK39" s="265"/>
      <c r="AL39" s="265"/>
      <c r="AM39" s="265"/>
      <c r="AN39" s="265"/>
      <c r="AO39" s="265"/>
      <c r="AP39" s="265"/>
      <c r="AQ39" s="265"/>
      <c r="AR39" s="265"/>
      <c r="AS39" s="265"/>
      <c r="AT39" s="265"/>
      <c r="AU39" s="265"/>
      <c r="AV39" s="265"/>
      <c r="AW39" s="265"/>
      <c r="AX39" s="265"/>
      <c r="AY39" s="265"/>
      <c r="AZ39" s="265"/>
      <c r="BA39" s="265"/>
      <c r="BB39" s="265"/>
      <c r="BC39" s="265"/>
      <c r="BD39" s="265"/>
      <c r="BE39" s="266"/>
      <c r="BF39" s="265"/>
      <c r="BG39" s="266"/>
      <c r="BH39" s="59"/>
      <c r="BI39" s="59"/>
      <c r="BJ39" s="59"/>
    </row>
    <row r="40" spans="1:59" s="29" customFormat="1" ht="13.5" thickBot="1">
      <c r="A40" s="33" t="s">
        <v>54</v>
      </c>
      <c r="B40" s="265"/>
      <c r="C40" s="269">
        <f aca="true" t="shared" si="42" ref="C40:BF40">C38+C24</f>
        <v>1773036.5299999998</v>
      </c>
      <c r="D40" s="269">
        <f t="shared" si="42"/>
        <v>99198.22219915003</v>
      </c>
      <c r="E40" s="269">
        <f t="shared" si="42"/>
        <v>75380.01999999999</v>
      </c>
      <c r="F40" s="269">
        <f t="shared" si="42"/>
        <v>13417.149999999998</v>
      </c>
      <c r="G40" s="269">
        <f t="shared" si="42"/>
        <v>667945.48</v>
      </c>
      <c r="H40" s="269">
        <f t="shared" si="42"/>
        <v>5738.44</v>
      </c>
      <c r="I40" s="269">
        <f t="shared" si="42"/>
        <v>100660.03000000001</v>
      </c>
      <c r="J40" s="269">
        <f t="shared" si="42"/>
        <v>18163.910000000003</v>
      </c>
      <c r="K40" s="269">
        <f t="shared" si="42"/>
        <v>167602.62</v>
      </c>
      <c r="L40" s="269">
        <f t="shared" si="42"/>
        <v>30238.699999999997</v>
      </c>
      <c r="M40" s="269">
        <f t="shared" si="42"/>
        <v>307466.56</v>
      </c>
      <c r="N40" s="269">
        <f t="shared" si="42"/>
        <v>45964.8</v>
      </c>
      <c r="O40" s="269">
        <f t="shared" si="42"/>
        <v>125986.07999999999</v>
      </c>
      <c r="P40" s="269">
        <f t="shared" si="42"/>
        <v>11215.99</v>
      </c>
      <c r="Q40" s="269">
        <f t="shared" si="42"/>
        <v>0</v>
      </c>
      <c r="R40" s="269">
        <f t="shared" si="42"/>
        <v>0</v>
      </c>
      <c r="S40" s="269">
        <f t="shared" si="42"/>
        <v>0</v>
      </c>
      <c r="T40" s="269">
        <f t="shared" si="42"/>
        <v>0</v>
      </c>
      <c r="U40" s="269">
        <f t="shared" si="42"/>
        <v>1566843.26</v>
      </c>
      <c r="V40" s="269">
        <f t="shared" si="42"/>
        <v>124738.98999999998</v>
      </c>
      <c r="W40" s="269">
        <f t="shared" si="42"/>
        <v>77949.23999999999</v>
      </c>
      <c r="X40" s="269">
        <f t="shared" si="42"/>
        <v>586464.4099999999</v>
      </c>
      <c r="Y40" s="269">
        <f t="shared" si="42"/>
        <v>105245.7</v>
      </c>
      <c r="Z40" s="269">
        <f t="shared" si="42"/>
        <v>174630.29</v>
      </c>
      <c r="AA40" s="269">
        <f t="shared" si="42"/>
        <v>431351.43999999994</v>
      </c>
      <c r="AB40" s="269">
        <f t="shared" si="42"/>
        <v>126922.56</v>
      </c>
      <c r="AC40" s="269">
        <f t="shared" si="42"/>
        <v>0</v>
      </c>
      <c r="AD40" s="269">
        <f t="shared" si="42"/>
        <v>0</v>
      </c>
      <c r="AE40" s="269">
        <f t="shared" si="42"/>
        <v>0</v>
      </c>
      <c r="AF40" s="269">
        <f t="shared" si="42"/>
        <v>1502563.6399999997</v>
      </c>
      <c r="AG40" s="269">
        <f t="shared" si="42"/>
        <v>1726500.85219915</v>
      </c>
      <c r="AH40" s="269">
        <f t="shared" si="42"/>
        <v>0</v>
      </c>
      <c r="AI40" s="269">
        <f t="shared" si="42"/>
        <v>0</v>
      </c>
      <c r="AJ40" s="269">
        <f t="shared" si="42"/>
        <v>1031788.143072</v>
      </c>
      <c r="AK40" s="269">
        <f t="shared" si="42"/>
        <v>133803.048</v>
      </c>
      <c r="AL40" s="269">
        <f t="shared" si="42"/>
        <v>37716.01346839999</v>
      </c>
      <c r="AM40" s="269">
        <f t="shared" si="42"/>
        <v>187668.50741063603</v>
      </c>
      <c r="AN40" s="269">
        <f t="shared" si="42"/>
        <v>18735.696000000004</v>
      </c>
      <c r="AO40" s="269">
        <f t="shared" si="42"/>
        <v>278416.5237242636</v>
      </c>
      <c r="AP40" s="269">
        <f t="shared" si="42"/>
        <v>311568.70513479935</v>
      </c>
      <c r="AQ40" s="269">
        <f t="shared" si="42"/>
        <v>66913.2</v>
      </c>
      <c r="AR40" s="269">
        <f t="shared" si="42"/>
        <v>66913.2</v>
      </c>
      <c r="AS40" s="269">
        <f t="shared" si="42"/>
        <v>51300.12000000001</v>
      </c>
      <c r="AT40" s="269">
        <f t="shared" si="42"/>
        <v>0</v>
      </c>
      <c r="AU40" s="269">
        <f t="shared" si="42"/>
        <v>439978.67</v>
      </c>
      <c r="AV40" s="269">
        <f t="shared" si="42"/>
        <v>8205</v>
      </c>
      <c r="AW40" s="269">
        <f t="shared" si="42"/>
        <v>254690.46579999998</v>
      </c>
      <c r="AX40" s="269">
        <f t="shared" si="42"/>
        <v>81992.0245</v>
      </c>
      <c r="AY40" s="269">
        <f t="shared" si="42"/>
        <v>80007.7</v>
      </c>
      <c r="AZ40" s="269">
        <f t="shared" si="42"/>
        <v>0</v>
      </c>
      <c r="BA40" s="269">
        <f t="shared" si="42"/>
        <v>0</v>
      </c>
      <c r="BB40" s="269">
        <f t="shared" si="42"/>
        <v>0</v>
      </c>
      <c r="BC40" s="269">
        <f t="shared" si="42"/>
        <v>2017908.8740380986</v>
      </c>
      <c r="BD40" s="269">
        <f t="shared" si="42"/>
        <v>582987.523520746</v>
      </c>
      <c r="BE40" s="269">
        <f t="shared" si="42"/>
        <v>2600896.3975588446</v>
      </c>
      <c r="BF40" s="269">
        <f t="shared" si="42"/>
        <v>157392.59771230508</v>
      </c>
      <c r="BG40" s="269">
        <f>BG38+BG24</f>
        <v>-64279.62000000001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5"/>
  <sheetViews>
    <sheetView tabSelected="1" zoomScalePageLayoutView="0" workbookViewId="0" topLeftCell="A29">
      <selection activeCell="F53" sqref="F53"/>
    </sheetView>
  </sheetViews>
  <sheetFormatPr defaultColWidth="9.00390625" defaultRowHeight="12.75"/>
  <cols>
    <col min="1" max="1" width="10.00390625" style="196" customWidth="1"/>
    <col min="2" max="2" width="10.125" style="196" customWidth="1"/>
    <col min="3" max="3" width="11.875" style="196" customWidth="1"/>
    <col min="4" max="4" width="10.75390625" style="196" customWidth="1"/>
    <col min="5" max="5" width="11.625" style="196" customWidth="1"/>
    <col min="6" max="6" width="9.875" style="196" customWidth="1"/>
    <col min="7" max="9" width="11.625" style="196" customWidth="1"/>
    <col min="10" max="10" width="9.875" style="196" customWidth="1"/>
    <col min="11" max="11" width="9.00390625" style="196" customWidth="1"/>
    <col min="12" max="12" width="11.75390625" style="196" customWidth="1"/>
    <col min="13" max="13" width="11.00390625" style="196" customWidth="1"/>
    <col min="14" max="14" width="9.375" style="196" hidden="1" customWidth="1"/>
    <col min="15" max="15" width="4.00390625" style="196" hidden="1" customWidth="1"/>
    <col min="16" max="16" width="10.625" style="196" customWidth="1"/>
    <col min="17" max="17" width="11.625" style="196" customWidth="1"/>
    <col min="18" max="18" width="10.625" style="196" customWidth="1"/>
    <col min="19" max="19" width="11.00390625" style="196" customWidth="1"/>
    <col min="20" max="20" width="10.75390625" style="196" customWidth="1"/>
    <col min="21" max="16384" width="9.125" style="196" customWidth="1"/>
  </cols>
  <sheetData>
    <row r="1" spans="2:9" ht="20.25" customHeight="1">
      <c r="B1" s="542" t="s">
        <v>55</v>
      </c>
      <c r="C1" s="542"/>
      <c r="D1" s="542"/>
      <c r="E1" s="542"/>
      <c r="F1" s="542"/>
      <c r="G1" s="542"/>
      <c r="H1" s="542"/>
      <c r="I1" s="35"/>
    </row>
    <row r="2" spans="2:12" ht="21" customHeight="1">
      <c r="B2" s="542" t="s">
        <v>56</v>
      </c>
      <c r="C2" s="542"/>
      <c r="D2" s="542"/>
      <c r="E2" s="542"/>
      <c r="F2" s="542"/>
      <c r="G2" s="542"/>
      <c r="H2" s="542"/>
      <c r="I2" s="35"/>
      <c r="K2" s="195"/>
      <c r="L2" s="195"/>
    </row>
    <row r="4" ht="12" customHeight="1"/>
    <row r="5" spans="1:17" ht="12.75">
      <c r="A5" s="440" t="s">
        <v>122</v>
      </c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36"/>
    </row>
    <row r="6" spans="1:17" ht="12.75">
      <c r="A6" s="543" t="s">
        <v>129</v>
      </c>
      <c r="B6" s="543"/>
      <c r="C6" s="543"/>
      <c r="D6" s="543"/>
      <c r="E6" s="543"/>
      <c r="F6" s="543"/>
      <c r="G6" s="543"/>
      <c r="H6" s="124"/>
      <c r="I6" s="124"/>
      <c r="J6" s="124"/>
      <c r="K6" s="124"/>
      <c r="L6" s="124"/>
      <c r="M6" s="124"/>
      <c r="N6" s="124"/>
      <c r="O6" s="124"/>
      <c r="P6" s="124"/>
      <c r="Q6" s="124"/>
    </row>
    <row r="7" spans="1:18" ht="13.5" thickBot="1">
      <c r="A7" s="544" t="s">
        <v>57</v>
      </c>
      <c r="B7" s="544"/>
      <c r="C7" s="544"/>
      <c r="D7" s="544"/>
      <c r="E7" s="544">
        <v>11.66</v>
      </c>
      <c r="F7" s="544"/>
      <c r="I7" s="270"/>
      <c r="J7" s="270"/>
      <c r="K7" s="270"/>
      <c r="L7" s="270"/>
      <c r="M7" s="270"/>
      <c r="N7" s="270"/>
      <c r="O7" s="270"/>
      <c r="P7" s="270"/>
      <c r="Q7" s="270"/>
      <c r="R7" s="270"/>
    </row>
    <row r="8" spans="1:19" ht="12.75" customHeight="1">
      <c r="A8" s="390" t="s">
        <v>58</v>
      </c>
      <c r="B8" s="442" t="s">
        <v>1</v>
      </c>
      <c r="C8" s="445" t="s">
        <v>128</v>
      </c>
      <c r="D8" s="522" t="s">
        <v>3</v>
      </c>
      <c r="E8" s="525" t="s">
        <v>60</v>
      </c>
      <c r="F8" s="427"/>
      <c r="G8" s="538" t="s">
        <v>116</v>
      </c>
      <c r="H8" s="539"/>
      <c r="I8" s="327"/>
      <c r="J8" s="558" t="s">
        <v>10</v>
      </c>
      <c r="K8" s="559"/>
      <c r="L8" s="559"/>
      <c r="M8" s="559"/>
      <c r="N8" s="559"/>
      <c r="O8" s="559"/>
      <c r="P8" s="559"/>
      <c r="Q8" s="559"/>
      <c r="R8" s="530" t="s">
        <v>61</v>
      </c>
      <c r="S8" s="530" t="s">
        <v>12</v>
      </c>
    </row>
    <row r="9" spans="1:19" ht="12.75">
      <c r="A9" s="391"/>
      <c r="B9" s="443"/>
      <c r="C9" s="446"/>
      <c r="D9" s="523"/>
      <c r="E9" s="526"/>
      <c r="F9" s="527"/>
      <c r="G9" s="540"/>
      <c r="H9" s="541"/>
      <c r="I9" s="328"/>
      <c r="J9" s="548"/>
      <c r="K9" s="549"/>
      <c r="L9" s="549"/>
      <c r="M9" s="549"/>
      <c r="N9" s="549"/>
      <c r="O9" s="549"/>
      <c r="P9" s="549"/>
      <c r="Q9" s="549"/>
      <c r="R9" s="531"/>
      <c r="S9" s="531"/>
    </row>
    <row r="10" spans="1:19" ht="26.25" customHeight="1">
      <c r="A10" s="391"/>
      <c r="B10" s="443"/>
      <c r="C10" s="446"/>
      <c r="D10" s="523"/>
      <c r="E10" s="533" t="s">
        <v>62</v>
      </c>
      <c r="F10" s="414"/>
      <c r="G10" s="271" t="s">
        <v>63</v>
      </c>
      <c r="H10" s="534" t="s">
        <v>7</v>
      </c>
      <c r="I10" s="520" t="s">
        <v>124</v>
      </c>
      <c r="J10" s="417" t="s">
        <v>64</v>
      </c>
      <c r="K10" s="419" t="s">
        <v>117</v>
      </c>
      <c r="L10" s="419" t="s">
        <v>65</v>
      </c>
      <c r="M10" s="419" t="s">
        <v>37</v>
      </c>
      <c r="N10" s="528" t="s">
        <v>66</v>
      </c>
      <c r="O10" s="528" t="s">
        <v>38</v>
      </c>
      <c r="P10" s="528" t="s">
        <v>118</v>
      </c>
      <c r="Q10" s="535" t="s">
        <v>39</v>
      </c>
      <c r="R10" s="531"/>
      <c r="S10" s="531"/>
    </row>
    <row r="11" spans="1:19" ht="66.75" customHeight="1" thickBot="1">
      <c r="A11" s="441"/>
      <c r="B11" s="444"/>
      <c r="C11" s="447"/>
      <c r="D11" s="524"/>
      <c r="E11" s="272" t="s">
        <v>67</v>
      </c>
      <c r="F11" s="273" t="s">
        <v>21</v>
      </c>
      <c r="G11" s="274" t="s">
        <v>119</v>
      </c>
      <c r="H11" s="535"/>
      <c r="I11" s="521"/>
      <c r="J11" s="536"/>
      <c r="K11" s="528"/>
      <c r="L11" s="528"/>
      <c r="M11" s="528"/>
      <c r="N11" s="529"/>
      <c r="O11" s="529"/>
      <c r="P11" s="529"/>
      <c r="Q11" s="537"/>
      <c r="R11" s="532"/>
      <c r="S11" s="532"/>
    </row>
    <row r="12" spans="1:19" ht="13.5" thickBot="1">
      <c r="A12" s="39">
        <v>1</v>
      </c>
      <c r="B12" s="40">
        <v>2</v>
      </c>
      <c r="C12" s="39">
        <v>3</v>
      </c>
      <c r="D12" s="40">
        <v>4</v>
      </c>
      <c r="E12" s="39">
        <v>5</v>
      </c>
      <c r="F12" s="40">
        <v>6</v>
      </c>
      <c r="G12" s="39">
        <v>7</v>
      </c>
      <c r="H12" s="40">
        <v>8</v>
      </c>
      <c r="I12" s="39">
        <v>9</v>
      </c>
      <c r="J12" s="40">
        <v>10</v>
      </c>
      <c r="K12" s="39">
        <v>11</v>
      </c>
      <c r="L12" s="40">
        <v>12</v>
      </c>
      <c r="M12" s="39">
        <v>13</v>
      </c>
      <c r="N12" s="39">
        <v>14</v>
      </c>
      <c r="O12" s="40">
        <v>15</v>
      </c>
      <c r="P12" s="39">
        <v>14</v>
      </c>
      <c r="Q12" s="39">
        <v>15</v>
      </c>
      <c r="R12" s="40">
        <v>16</v>
      </c>
      <c r="S12" s="39">
        <v>17</v>
      </c>
    </row>
    <row r="13" spans="1:19" ht="13.5" hidden="1" thickBot="1">
      <c r="A13" s="518" t="s">
        <v>120</v>
      </c>
      <c r="B13" s="519"/>
      <c r="C13" s="519"/>
      <c r="D13" s="519"/>
      <c r="E13" s="519"/>
      <c r="F13" s="519"/>
      <c r="G13" s="519"/>
      <c r="H13" s="519"/>
      <c r="I13" s="519"/>
      <c r="J13" s="519"/>
      <c r="K13" s="519"/>
      <c r="L13" s="519"/>
      <c r="M13" s="519"/>
      <c r="N13" s="519"/>
      <c r="O13" s="519"/>
      <c r="P13" s="519"/>
      <c r="Q13" s="275"/>
      <c r="R13" s="276"/>
      <c r="S13" s="276"/>
    </row>
    <row r="14" spans="1:21" s="29" customFormat="1" ht="13.5" hidden="1" thickBot="1">
      <c r="A14" s="65" t="s">
        <v>54</v>
      </c>
      <c r="B14" s="66"/>
      <c r="C14" s="277">
        <f>'2011 полн'!C24</f>
        <v>1286060.27</v>
      </c>
      <c r="D14" s="277">
        <f>'2011 полн'!D24</f>
        <v>98491.07029915003</v>
      </c>
      <c r="E14" s="277">
        <f>'2011 полн'!U24</f>
        <v>1143207.37</v>
      </c>
      <c r="F14" s="277">
        <f>'2011 полн'!V24</f>
        <v>121856.38999999997</v>
      </c>
      <c r="G14" s="277">
        <f>'2011 полн'!AF8</f>
        <v>637382.4299999999</v>
      </c>
      <c r="H14" s="277">
        <f>'2011 полн'!AG8</f>
        <v>850633.87769915</v>
      </c>
      <c r="I14" s="277">
        <f>'2011 полн'!AJ8</f>
        <v>452894.3616720001</v>
      </c>
      <c r="J14" s="277">
        <f>'2011 полн'!AK8</f>
        <v>59306.352</v>
      </c>
      <c r="K14" s="277">
        <f>'2011 полн'!AL8</f>
        <v>19872.4934684</v>
      </c>
      <c r="L14" s="277">
        <f>'2011 полн'!AM8+'2011 полн'!AO8+'2011 полн'!AP8+'2011 полн'!AX8+80007.7</f>
        <v>511664.6338696989</v>
      </c>
      <c r="M14" s="277">
        <f>'2011 полн'!AU8+'2011 полн'!AV8+'2011 полн'!AW8</f>
        <v>369746.0158</v>
      </c>
      <c r="N14" s="277">
        <v>0</v>
      </c>
      <c r="O14" s="277"/>
      <c r="P14" s="277">
        <f>'2011 полн'!BD8</f>
        <v>211645.02712074594</v>
      </c>
      <c r="Q14" s="277">
        <f>J14+K14+L14+M14+P14</f>
        <v>1172234.522258845</v>
      </c>
      <c r="R14" s="277">
        <f>'2011 полн'!BF8</f>
        <v>181363.8171123051</v>
      </c>
      <c r="S14" s="277">
        <f>'2011 полн'!BG8</f>
        <v>-6950.840000000004</v>
      </c>
      <c r="T14" s="68"/>
      <c r="U14" s="59"/>
    </row>
    <row r="15" spans="1:21" ht="11.25" customHeight="1" hidden="1">
      <c r="A15" s="8" t="s">
        <v>115</v>
      </c>
      <c r="B15" s="278"/>
      <c r="C15" s="60"/>
      <c r="D15" s="279"/>
      <c r="E15" s="280"/>
      <c r="F15" s="281"/>
      <c r="G15" s="282"/>
      <c r="H15" s="281"/>
      <c r="I15" s="326"/>
      <c r="J15" s="282"/>
      <c r="K15" s="283"/>
      <c r="L15" s="283"/>
      <c r="M15" s="284"/>
      <c r="N15" s="285"/>
      <c r="O15" s="286"/>
      <c r="P15" s="286"/>
      <c r="Q15" s="287"/>
      <c r="R15" s="288"/>
      <c r="S15" s="288"/>
      <c r="T15" s="195"/>
      <c r="U15" s="195"/>
    </row>
    <row r="16" spans="1:21" ht="12.75" hidden="1">
      <c r="A16" s="208" t="s">
        <v>45</v>
      </c>
      <c r="B16" s="289">
        <f>'2011 полн'!B10</f>
        <v>3717.4</v>
      </c>
      <c r="C16" s="46">
        <f>'2011 полн'!C10</f>
        <v>31783.770000000004</v>
      </c>
      <c r="D16" s="290">
        <f>'2011 полн'!D10</f>
        <v>214.6584</v>
      </c>
      <c r="E16" s="283">
        <f>'2011 полн'!U10</f>
        <v>32188.660000000003</v>
      </c>
      <c r="F16" s="283">
        <f>'2011 полн'!V10</f>
        <v>159.22</v>
      </c>
      <c r="G16" s="291">
        <f>'2011 полн'!AF10</f>
        <v>21114.719999999998</v>
      </c>
      <c r="H16" s="291">
        <f>'2011 полн'!AG10</f>
        <v>21488.5984</v>
      </c>
      <c r="I16" s="291">
        <f>'2011 полн'!AJ10</f>
        <v>21463.450800000002</v>
      </c>
      <c r="J16" s="291">
        <f>'2011 полн'!AK10</f>
        <v>2490.6580000000004</v>
      </c>
      <c r="K16" s="283">
        <f>'2011 полн'!AL10</f>
        <v>743.48</v>
      </c>
      <c r="L16" s="283">
        <f>'2011 полн'!AM10+'2011 полн'!AN10+'2011 полн'!AO10+'2011 полн'!AP10+'2011 полн'!AQ10+'2011 полн'!AR10+'2011 полн'!AS10</f>
        <v>25687.234000000004</v>
      </c>
      <c r="M16" s="284">
        <f>'2012 полн ( из справок в текущ)'!AU10+'2012 полн ( из справок в текущ)'!AV10+'2012 полн ( из справок в текущ)'!AW10+'2012 полн ( из справок в текущ)'!AX10</f>
        <v>4564.14</v>
      </c>
      <c r="N16" s="284">
        <f>'2011 полн'!AY10</f>
        <v>0</v>
      </c>
      <c r="O16" s="292"/>
      <c r="P16" s="292">
        <f>'2011 полн'!BD10</f>
        <v>15330.5336</v>
      </c>
      <c r="Q16" s="287">
        <f>'2012 полн ( из справок в текущ)'!BE10</f>
        <v>48816.0456</v>
      </c>
      <c r="R16" s="288">
        <f>'2011 полн'!BF10</f>
        <v>-5863.996399999996</v>
      </c>
      <c r="S16" s="288">
        <f>G16-E16</f>
        <v>-11073.940000000006</v>
      </c>
      <c r="T16" s="195"/>
      <c r="U16" s="195"/>
    </row>
    <row r="17" spans="1:21" ht="12.75" hidden="1">
      <c r="A17" s="208" t="s">
        <v>46</v>
      </c>
      <c r="B17" s="289">
        <f>'2011 полн'!B11</f>
        <v>3717.4</v>
      </c>
      <c r="C17" s="46">
        <f>'2011 полн'!C11</f>
        <v>31783.770000000004</v>
      </c>
      <c r="D17" s="290">
        <f>'2011 полн'!D11</f>
        <v>158.09860000000003</v>
      </c>
      <c r="E17" s="283">
        <f>'2011 полн'!U11</f>
        <v>31181.120000000003</v>
      </c>
      <c r="F17" s="283">
        <f>'2011 полн'!V11</f>
        <v>0</v>
      </c>
      <c r="G17" s="291">
        <f>'2011 полн'!AF11</f>
        <v>27737.66</v>
      </c>
      <c r="H17" s="291">
        <f>'2011 полн'!AG11</f>
        <v>27895.7586</v>
      </c>
      <c r="I17" s="291">
        <f>'2011 полн'!AJ11</f>
        <v>21463.460799999997</v>
      </c>
      <c r="J17" s="291">
        <f>'2011 полн'!AK11</f>
        <v>2490.6580000000004</v>
      </c>
      <c r="K17" s="283">
        <f>'2011 полн'!AL11</f>
        <v>743.48</v>
      </c>
      <c r="L17" s="283">
        <f>'2011 полн'!AM11+'2011 полн'!AN11+'2011 полн'!AO11+'2011 полн'!AP11+'2011 полн'!AQ11+'2011 полн'!AR11+'2011 полн'!AS11</f>
        <v>25687.234000000004</v>
      </c>
      <c r="M17" s="284">
        <f>'2012 полн ( из справок в текущ)'!AU11+'2012 полн ( из справок в текущ)'!AV11+'2012 полн ( из справок в текущ)'!AW11+'2012 полн ( из справок в текущ)'!AX11</f>
        <v>1467.56</v>
      </c>
      <c r="N17" s="284">
        <f>'2011 полн'!AY11</f>
        <v>0</v>
      </c>
      <c r="O17" s="292"/>
      <c r="P17" s="292">
        <f>'2011 полн'!BD11</f>
        <v>15330.5336</v>
      </c>
      <c r="Q17" s="287">
        <f>'2012 полн ( из справок в текущ)'!BE11</f>
        <v>45719.465599999996</v>
      </c>
      <c r="R17" s="288">
        <f>'2011 полн'!BF11</f>
        <v>3639.753800000006</v>
      </c>
      <c r="S17" s="288">
        <f aca="true" t="shared" si="0" ref="S17:S27">G17-E17</f>
        <v>-3443.4600000000028</v>
      </c>
      <c r="T17" s="195"/>
      <c r="U17" s="195"/>
    </row>
    <row r="18" spans="1:21" ht="12.75" hidden="1">
      <c r="A18" s="208" t="s">
        <v>47</v>
      </c>
      <c r="B18" s="289">
        <f>'2011 полн'!B12</f>
        <v>3717.4</v>
      </c>
      <c r="C18" s="46">
        <f>'2011 полн'!C12</f>
        <v>31783.770000000004</v>
      </c>
      <c r="D18" s="290">
        <f>'2011 полн'!D12</f>
        <v>158.09860000000003</v>
      </c>
      <c r="E18" s="283">
        <f>'2011 полн'!U12</f>
        <v>31731.100000000002</v>
      </c>
      <c r="F18" s="283">
        <f>'2011 полн'!V12</f>
        <v>428.04999999999995</v>
      </c>
      <c r="G18" s="291">
        <f>'2011 полн'!AF12</f>
        <v>32586.290000000005</v>
      </c>
      <c r="H18" s="291">
        <f>'2011 полн'!AG12</f>
        <v>33172.4386</v>
      </c>
      <c r="I18" s="291">
        <f>'2011 полн'!AJ12</f>
        <v>21463.460799999997</v>
      </c>
      <c r="J18" s="291">
        <f>'2011 полн'!AK12</f>
        <v>2490.6580000000004</v>
      </c>
      <c r="K18" s="283">
        <f>'2011 полн'!AL12</f>
        <v>743.48</v>
      </c>
      <c r="L18" s="283">
        <f>'2011 полн'!AM12+'2011 полн'!AN12+'2011 полн'!AO12+'2011 полн'!AP12+'2011 полн'!AQ12+'2011 полн'!AR12+'2011 полн'!AS12</f>
        <v>25687.234000000004</v>
      </c>
      <c r="M18" s="284">
        <f>'2012 полн ( из справок в текущ)'!AU12+'2012 полн ( из справок в текущ)'!AV12+'2012 полн ( из справок в текущ)'!AW12+'2012 полн ( из справок в текущ)'!AX12</f>
        <v>12234</v>
      </c>
      <c r="N18" s="284">
        <f>'2011 полн'!AY12</f>
        <v>0</v>
      </c>
      <c r="O18" s="292"/>
      <c r="P18" s="292">
        <f>'2011 полн'!BD12</f>
        <v>15330.5336</v>
      </c>
      <c r="Q18" s="287">
        <f>'2012 полн ( из справок в текущ)'!BE12</f>
        <v>56485.9056</v>
      </c>
      <c r="R18" s="288">
        <f>'2011 полн'!BF12</f>
        <v>-1850.0062000000034</v>
      </c>
      <c r="S18" s="288">
        <f t="shared" si="0"/>
        <v>855.1900000000023</v>
      </c>
      <c r="T18" s="195"/>
      <c r="U18" s="195"/>
    </row>
    <row r="19" spans="1:21" ht="12.75" hidden="1">
      <c r="A19" s="208" t="s">
        <v>48</v>
      </c>
      <c r="B19" s="289">
        <f>'2011 полн'!B13</f>
        <v>3717.4</v>
      </c>
      <c r="C19" s="46">
        <f>'2011 полн'!C13</f>
        <v>31783.770000000004</v>
      </c>
      <c r="D19" s="290">
        <f>'2011 полн'!D13</f>
        <v>158.09860000000003</v>
      </c>
      <c r="E19" s="283">
        <f>'2011 полн'!U13</f>
        <v>31722.23</v>
      </c>
      <c r="F19" s="283">
        <f>'2011 полн'!V13</f>
        <v>0</v>
      </c>
      <c r="G19" s="291">
        <f>'2011 полн'!AF13</f>
        <v>31206.329999999998</v>
      </c>
      <c r="H19" s="291">
        <f>'2011 полн'!AG13</f>
        <v>31364.4286</v>
      </c>
      <c r="I19" s="291">
        <f>'2011 полн'!AJ13</f>
        <v>21463.460799999997</v>
      </c>
      <c r="J19" s="291">
        <f>'2011 полн'!AK13</f>
        <v>2490.6580000000004</v>
      </c>
      <c r="K19" s="283">
        <f>'2011 полн'!AL13</f>
        <v>743.48</v>
      </c>
      <c r="L19" s="283">
        <f>'2011 полн'!AM13+'2011 полн'!AN13+'2011 полн'!AO13+'2011 полн'!AP13+'2011 полн'!AQ13+'2011 полн'!AR13+'2011 полн'!AS13</f>
        <v>21412.224000000002</v>
      </c>
      <c r="M19" s="284">
        <f>'2012 полн ( из справок в текущ)'!AU13+'2012 полн ( из справок в текущ)'!AV13+'2012 полн ( из справок в текущ)'!AW13+'2012 полн ( из справок в текущ)'!AX13</f>
        <v>1360.6</v>
      </c>
      <c r="N19" s="284">
        <f>'2011 полн'!AY13</f>
        <v>0</v>
      </c>
      <c r="O19" s="292"/>
      <c r="P19" s="292">
        <f>'2011 полн'!BD13</f>
        <v>15330.5336</v>
      </c>
      <c r="Q19" s="287">
        <f>'2012 полн ( из справок в текущ)'!BE13</f>
        <v>41337.495599999995</v>
      </c>
      <c r="R19" s="288">
        <f>'2011 полн'!BF13</f>
        <v>11490.393800000005</v>
      </c>
      <c r="S19" s="288">
        <f t="shared" si="0"/>
        <v>-515.9000000000015</v>
      </c>
      <c r="T19" s="195"/>
      <c r="U19" s="195"/>
    </row>
    <row r="20" spans="1:21" ht="12.75" hidden="1">
      <c r="A20" s="208" t="s">
        <v>49</v>
      </c>
      <c r="B20" s="289">
        <f>'2011 полн'!B14</f>
        <v>3717.4</v>
      </c>
      <c r="C20" s="46">
        <f>'2011 полн'!C14</f>
        <v>31783.770000000004</v>
      </c>
      <c r="D20" s="290">
        <f>'2011 полн'!D14</f>
        <v>158.09860000000003</v>
      </c>
      <c r="E20" s="283">
        <f>'2011 полн'!U14</f>
        <v>31734.17</v>
      </c>
      <c r="F20" s="283">
        <f>'2011 полн'!V14</f>
        <v>0</v>
      </c>
      <c r="G20" s="291">
        <f>'2011 полн'!AF14</f>
        <v>26939.62</v>
      </c>
      <c r="H20" s="291">
        <f>'2011 полн'!AG14</f>
        <v>27097.7186</v>
      </c>
      <c r="I20" s="291">
        <f>'2011 полн'!AJ14</f>
        <v>21577.460799999997</v>
      </c>
      <c r="J20" s="291">
        <f>'2011 полн'!AK14</f>
        <v>2490.6580000000004</v>
      </c>
      <c r="K20" s="283">
        <f>'2011 полн'!AL14</f>
        <v>743.48</v>
      </c>
      <c r="L20" s="283">
        <f>'2011 полн'!AM14+'2011 полн'!AN14+'2011 полн'!AO14+'2011 полн'!AP14+'2011 полн'!AQ14+'2011 полн'!AR14+'2011 полн'!AS14</f>
        <v>21412.224000000002</v>
      </c>
      <c r="M20" s="284">
        <f>'2012 полн ( из справок в текущ)'!AU14+'2012 полн ( из справок в текущ)'!AV14+'2012 полн ( из справок в текущ)'!AW14+'2012 полн ( из справок в текущ)'!AX14</f>
        <v>29.48</v>
      </c>
      <c r="N20" s="284">
        <f>'2011 полн'!AZ14</f>
        <v>0</v>
      </c>
      <c r="O20" s="292"/>
      <c r="P20" s="292">
        <f>'2011 полн'!BD14</f>
        <v>15359.0336</v>
      </c>
      <c r="Q20" s="287">
        <f>'2012 полн ( из справок в текущ)'!BE14</f>
        <v>40034.8756</v>
      </c>
      <c r="R20" s="288">
        <f>'2011 полн'!BF14</f>
        <v>8640.303799999994</v>
      </c>
      <c r="S20" s="288">
        <f t="shared" si="0"/>
        <v>-4794.549999999999</v>
      </c>
      <c r="T20" s="195"/>
      <c r="U20" s="195"/>
    </row>
    <row r="21" spans="1:21" ht="12.75" hidden="1">
      <c r="A21" s="208" t="s">
        <v>50</v>
      </c>
      <c r="B21" s="289">
        <f>'2011 полн'!B15</f>
        <v>3717.4</v>
      </c>
      <c r="C21" s="46">
        <f>'2011 полн'!C15</f>
        <v>31783.770000000004</v>
      </c>
      <c r="D21" s="290">
        <f>'2011 полн'!D15</f>
        <v>158.09860000000003</v>
      </c>
      <c r="E21" s="283">
        <f>'2011 полн'!U15</f>
        <v>32497.04</v>
      </c>
      <c r="F21" s="283">
        <f>'2011 полн'!V15</f>
        <v>428.04999999999995</v>
      </c>
      <c r="G21" s="291">
        <f>'2011 полн'!AF15</f>
        <v>25763.43</v>
      </c>
      <c r="H21" s="291">
        <f>'2011 полн'!AG15</f>
        <v>26349.5786</v>
      </c>
      <c r="I21" s="291">
        <f>'2011 полн'!AJ15</f>
        <v>21577.460799999997</v>
      </c>
      <c r="J21" s="291">
        <f>'2011 полн'!AK15</f>
        <v>2490.6580000000004</v>
      </c>
      <c r="K21" s="283">
        <f>'2011 полн'!AL15</f>
        <v>743.48</v>
      </c>
      <c r="L21" s="283">
        <f>'2011 полн'!AM15+'2011 полн'!AN15+'2011 полн'!AO15+'2011 полн'!AP15+'2011 полн'!AQ15+'2011 полн'!AR15+'2011 полн'!AS15</f>
        <v>21412.224000000002</v>
      </c>
      <c r="M21" s="284">
        <f>'2012 полн ( из справок в текущ)'!AU15+'2012 полн ( из справок в текущ)'!AV15+'2012 полн ( из справок в текущ)'!AW15+'2012 полн ( из справок в текущ)'!AX15</f>
        <v>0</v>
      </c>
      <c r="N21" s="284">
        <f>'2011 полн'!AY15</f>
        <v>0</v>
      </c>
      <c r="O21" s="292"/>
      <c r="P21" s="292">
        <f>'2011 полн'!BD15</f>
        <v>15359.0336</v>
      </c>
      <c r="Q21" s="287">
        <f>'2012 полн ( из справок в текущ)'!BE15</f>
        <v>40005.395599999996</v>
      </c>
      <c r="R21" s="288">
        <f>'2011 полн'!BF15</f>
        <v>7921.643799999998</v>
      </c>
      <c r="S21" s="288">
        <f t="shared" si="0"/>
        <v>-6733.610000000001</v>
      </c>
      <c r="T21" s="195"/>
      <c r="U21" s="195"/>
    </row>
    <row r="22" spans="1:19" ht="12.75" hidden="1">
      <c r="A22" s="208" t="s">
        <v>51</v>
      </c>
      <c r="B22" s="289">
        <f>'2011 полн'!B16</f>
        <v>3717.4</v>
      </c>
      <c r="C22" s="46">
        <f>'2011 полн'!C16</f>
        <v>37917.479999999996</v>
      </c>
      <c r="D22" s="290">
        <f>'2011 полн'!D16</f>
        <v>158.09860000000003</v>
      </c>
      <c r="E22" s="283">
        <f>'2011 полн'!U16</f>
        <v>50883.10999999999</v>
      </c>
      <c r="F22" s="283">
        <f>'2011 полн'!V16</f>
        <v>707.7900000000001</v>
      </c>
      <c r="G22" s="291">
        <f>'2011 полн'!AF16</f>
        <v>23964.170000000002</v>
      </c>
      <c r="H22" s="291">
        <f>'2011 полн'!AG16</f>
        <v>24830.0586</v>
      </c>
      <c r="I22" s="291">
        <f>'2011 полн'!AJ16</f>
        <v>21577.460799999997</v>
      </c>
      <c r="J22" s="291">
        <f>'2011 полн'!AK16</f>
        <v>2490.6580000000004</v>
      </c>
      <c r="K22" s="283">
        <f>'2011 полн'!AL16</f>
        <v>743.48</v>
      </c>
      <c r="L22" s="283">
        <f>'2011 полн'!AM16+'2011 полн'!AN16+'2011 полн'!AO16+'2011 полн'!AP16+'2011 полн'!AQ16+'2011 полн'!AR16+'2011 полн'!AS16</f>
        <v>21412.224000000002</v>
      </c>
      <c r="M22" s="284">
        <f>'2012 полн ( из справок в текущ)'!AU16+'2012 полн ( из справок в текущ)'!AV16+'2012 полн ( из справок в текущ)'!AW16+'2012 полн ( из справок в текущ)'!AX16</f>
        <v>21247.88</v>
      </c>
      <c r="N22" s="284">
        <f>'2011 полн'!AY16</f>
        <v>0</v>
      </c>
      <c r="O22" s="292"/>
      <c r="P22" s="292">
        <f>'2011 полн'!BD16</f>
        <v>15359.0336</v>
      </c>
      <c r="Q22" s="287">
        <f>'2012 полн ( из справок в текущ)'!BE16</f>
        <v>61253.27559999999</v>
      </c>
      <c r="R22" s="288">
        <f>'2011 полн'!BF16</f>
        <v>-64915.85619999999</v>
      </c>
      <c r="S22" s="288">
        <f t="shared" si="0"/>
        <v>-26918.93999999999</v>
      </c>
    </row>
    <row r="23" spans="1:19" ht="12.75" hidden="1">
      <c r="A23" s="208" t="s">
        <v>52</v>
      </c>
      <c r="B23" s="289">
        <f>'2011 полн'!B17</f>
        <v>3717.4</v>
      </c>
      <c r="C23" s="46">
        <f>'2011 полн'!C17</f>
        <v>37917.479999999996</v>
      </c>
      <c r="D23" s="290">
        <f>'2011 полн'!D17</f>
        <v>158.09860000000003</v>
      </c>
      <c r="E23" s="283">
        <f>'2011 полн'!U17</f>
        <v>50900.509999999995</v>
      </c>
      <c r="F23" s="283">
        <f>'2011 полн'!V17</f>
        <v>707.7900000000001</v>
      </c>
      <c r="G23" s="291">
        <f>'2011 полн'!AF17</f>
        <v>42487.9</v>
      </c>
      <c r="H23" s="291">
        <f>'2011 полн'!AG17</f>
        <v>43353.7886</v>
      </c>
      <c r="I23" s="291">
        <f>'2011 полн'!AJ17</f>
        <v>21577.460799999997</v>
      </c>
      <c r="J23" s="291">
        <f>'2011 полн'!AK17</f>
        <v>2490.6580000000004</v>
      </c>
      <c r="K23" s="283">
        <f>'2011 полн'!AL17</f>
        <v>743.48</v>
      </c>
      <c r="L23" s="283">
        <f>'2011 полн'!AM17+'2011 полн'!AN17+'2011 полн'!AO17+'2011 полн'!AP17+'2011 полн'!AQ17+'2011 полн'!AR17+'2011 полн'!AS17</f>
        <v>21412.224000000002</v>
      </c>
      <c r="M23" s="284">
        <f>'2012 полн ( из справок в текущ)'!AU17+'2012 полн ( из справок в текущ)'!AV17+'2012 полн ( из справок в текущ)'!AW17+'2012 полн ( из справок в текущ)'!AX17</f>
        <v>147806.1</v>
      </c>
      <c r="N23" s="284">
        <f>'2011 полн'!AY17</f>
        <v>0</v>
      </c>
      <c r="O23" s="292"/>
      <c r="P23" s="292">
        <f>'2011 полн'!BD17</f>
        <v>15359.0336</v>
      </c>
      <c r="Q23" s="287">
        <f>'2012 полн ( из справок в текущ)'!BE17</f>
        <v>187811.4956</v>
      </c>
      <c r="R23" s="288">
        <f>'2011 полн'!BF17</f>
        <v>-122880.2462</v>
      </c>
      <c r="S23" s="288">
        <f t="shared" si="0"/>
        <v>-8412.609999999993</v>
      </c>
    </row>
    <row r="24" spans="1:19" ht="12.75" hidden="1">
      <c r="A24" s="208" t="s">
        <v>53</v>
      </c>
      <c r="B24" s="289">
        <f>'2011 полн'!B18</f>
        <v>3717.4</v>
      </c>
      <c r="C24" s="46">
        <f>'2011 полн'!C18</f>
        <v>37917.479999999996</v>
      </c>
      <c r="D24" s="290">
        <f>'2011 полн'!D18</f>
        <v>158.09860000000003</v>
      </c>
      <c r="E24" s="283">
        <f>'2011 полн'!U18</f>
        <v>52229.689999999995</v>
      </c>
      <c r="F24" s="283">
        <f>'2011 полн'!V18</f>
        <v>0</v>
      </c>
      <c r="G24" s="291">
        <f>'2011 полн'!AF18</f>
        <v>37339.75</v>
      </c>
      <c r="H24" s="291">
        <f>'2011 полн'!AG18</f>
        <v>37497.8486</v>
      </c>
      <c r="I24" s="291">
        <f>'2011 полн'!AJ18</f>
        <v>21577.460799999997</v>
      </c>
      <c r="J24" s="291">
        <f>'2011 полн'!AK18</f>
        <v>2490.6580000000004</v>
      </c>
      <c r="K24" s="283">
        <f>'2011 полн'!AL18</f>
        <v>743.48</v>
      </c>
      <c r="L24" s="283">
        <f>'2011 полн'!AM18+'2011 полн'!AN18+'2011 полн'!AO18+'2011 полн'!AP18+'2011 полн'!AQ18+'2011 полн'!AR18+'2011 полн'!AS18</f>
        <v>21412.224000000002</v>
      </c>
      <c r="M24" s="284">
        <f>'2012 полн ( из справок в текущ)'!AU18+'2012 полн ( из справок в текущ)'!AV18+'2012 полн ( из справок в текущ)'!AW18+'2012 полн ( из справок в текущ)'!AX18</f>
        <v>2085.44</v>
      </c>
      <c r="N24" s="284">
        <f>'2011 полн'!AY18</f>
        <v>0</v>
      </c>
      <c r="O24" s="292"/>
      <c r="P24" s="292">
        <f>'2011 полн'!BD18</f>
        <v>15359.0336</v>
      </c>
      <c r="Q24" s="287">
        <f>'2012 полн ( из справок в текущ)'!BE18</f>
        <v>42090.8356</v>
      </c>
      <c r="R24" s="288">
        <f>'2011 полн'!BF18</f>
        <v>16984.4738</v>
      </c>
      <c r="S24" s="288">
        <f t="shared" si="0"/>
        <v>-14889.939999999995</v>
      </c>
    </row>
    <row r="25" spans="1:19" ht="12.75" hidden="1">
      <c r="A25" s="208" t="s">
        <v>41</v>
      </c>
      <c r="B25" s="289">
        <f>'2011 полн'!B19</f>
        <v>3717.4</v>
      </c>
      <c r="C25" s="46">
        <f>'2011 полн'!C19</f>
        <v>37917.479999999996</v>
      </c>
      <c r="D25" s="290">
        <f>'2011 полн'!D19</f>
        <v>101.0218</v>
      </c>
      <c r="E25" s="283">
        <f>'2011 полн'!U19</f>
        <v>50788.39000000001</v>
      </c>
      <c r="F25" s="283">
        <f>'2011 полн'!V19</f>
        <v>1441.3</v>
      </c>
      <c r="G25" s="291">
        <f>'2011 полн'!AF19</f>
        <v>42832.28999999999</v>
      </c>
      <c r="H25" s="291">
        <f>'2011 полн'!AG19</f>
        <v>44374.61179999999</v>
      </c>
      <c r="I25" s="291">
        <f>'2011 полн'!AJ19</f>
        <v>21577.460799999997</v>
      </c>
      <c r="J25" s="291">
        <f>'2011 полн'!AK19</f>
        <v>2490.6580000000004</v>
      </c>
      <c r="K25" s="283">
        <f>'2011 полн'!AL19</f>
        <v>743.48</v>
      </c>
      <c r="L25" s="283">
        <f>'2011 полн'!AM19+'2011 полн'!AN19+'2011 полн'!AO19+'2011 полн'!AP19+'2011 полн'!AQ19+'2011 полн'!AR19+'2011 полн'!AS19</f>
        <v>25687.234000000004</v>
      </c>
      <c r="M25" s="284">
        <f>'2012 полн ( из справок в текущ)'!AU19+'2012 полн ( из справок в текущ)'!AV19+'2012 полн ( из справок в текущ)'!AW19+'2012 полн ( из справок в текущ)'!AX19</f>
        <v>4465.35</v>
      </c>
      <c r="N25" s="284">
        <f>'2011 полн'!AY19</f>
        <v>0</v>
      </c>
      <c r="O25" s="292"/>
      <c r="P25" s="292">
        <f>'2011 полн'!BD19</f>
        <v>15359.0336</v>
      </c>
      <c r="Q25" s="287">
        <f>'2012 полн ( из справок в текущ)'!BE19</f>
        <v>48745.7556</v>
      </c>
      <c r="R25" s="288">
        <f>'2011 полн'!BF19</f>
        <v>17206.31699999999</v>
      </c>
      <c r="S25" s="288">
        <f t="shared" si="0"/>
        <v>-7956.100000000013</v>
      </c>
    </row>
    <row r="26" spans="1:19" ht="12.75" hidden="1">
      <c r="A26" s="208" t="s">
        <v>42</v>
      </c>
      <c r="B26" s="289">
        <f>'2011 полн'!B20</f>
        <v>3717.4</v>
      </c>
      <c r="C26" s="46">
        <f>'2011 полн'!C20</f>
        <v>37917.479999999996</v>
      </c>
      <c r="D26" s="290">
        <f>'2011 полн'!D20</f>
        <v>101.0218</v>
      </c>
      <c r="E26" s="283">
        <f>'2011 полн'!U20</f>
        <v>51509.03</v>
      </c>
      <c r="F26" s="283">
        <f>'2011 полн'!V20</f>
        <v>720.65</v>
      </c>
      <c r="G26" s="291">
        <f>'2011 полн'!AF20</f>
        <v>42124.53</v>
      </c>
      <c r="H26" s="291">
        <f>'2011 полн'!AG20</f>
        <v>42946.201799999995</v>
      </c>
      <c r="I26" s="291">
        <f>'2011 полн'!AJ20</f>
        <v>21577.460799999997</v>
      </c>
      <c r="J26" s="291">
        <f>'2011 полн'!AK20</f>
        <v>2490.6580000000004</v>
      </c>
      <c r="K26" s="283">
        <f>'2011 полн'!AL20</f>
        <v>743.48</v>
      </c>
      <c r="L26" s="283">
        <f>'2011 полн'!AM20+'2011 полн'!AN20+'2011 полн'!AO20+'2011 полн'!AP20+'2011 полн'!AQ20+'2011 полн'!AR20+'2011 полн'!AS20</f>
        <v>25687.234000000004</v>
      </c>
      <c r="M26" s="284">
        <f>'2012 полн ( из справок в текущ)'!AU20+'2012 полн ( из справок в текущ)'!AV20+'2012 полн ( из справок в текущ)'!AW20+'2012 полн ( из справок в текущ)'!AX20</f>
        <v>1727.34</v>
      </c>
      <c r="N26" s="284">
        <f>'2011 полн'!AY20</f>
        <v>0</v>
      </c>
      <c r="O26" s="292"/>
      <c r="P26" s="292">
        <f>'2011 полн'!BD20</f>
        <v>15359.0336</v>
      </c>
      <c r="Q26" s="287">
        <f>'2012 полн ( из справок в текущ)'!BE20</f>
        <v>46007.745599999995</v>
      </c>
      <c r="R26" s="288">
        <f>'2011 полн'!BF20</f>
        <v>18515.917</v>
      </c>
      <c r="S26" s="288">
        <f t="shared" si="0"/>
        <v>-9384.5</v>
      </c>
    </row>
    <row r="27" spans="1:19" ht="13.5" hidden="1" thickBot="1">
      <c r="A27" s="340" t="s">
        <v>43</v>
      </c>
      <c r="B27" s="289">
        <f>'2011 полн'!B21</f>
        <v>3717.4</v>
      </c>
      <c r="C27" s="46">
        <f>'2011 полн'!C21</f>
        <v>37917.479999999996</v>
      </c>
      <c r="D27" s="290">
        <f>'2011 полн'!D21</f>
        <v>101.0218</v>
      </c>
      <c r="E27" s="283">
        <f>'2011 полн'!U21</f>
        <v>51509.05</v>
      </c>
      <c r="F27" s="283">
        <f>'2011 полн'!V21</f>
        <v>720.65</v>
      </c>
      <c r="G27" s="342">
        <f>'2011 полн'!AF21</f>
        <v>55226.18000000001</v>
      </c>
      <c r="H27" s="342">
        <f>'2011 полн'!AG21</f>
        <v>56047.851800000004</v>
      </c>
      <c r="I27" s="342">
        <f>'2011 полн'!AJ21</f>
        <v>21577.460799999997</v>
      </c>
      <c r="J27" s="342">
        <f>'2011 полн'!AK21</f>
        <v>2490.6580000000004</v>
      </c>
      <c r="K27" s="341">
        <f>'2011 полн'!AL21</f>
        <v>743.48</v>
      </c>
      <c r="L27" s="283">
        <f>'2011 полн'!AM21+'2011 полн'!AN21+'2011 полн'!AO21+'2011 полн'!AP21+'2011 полн'!AQ21+'2011 полн'!AR21+'2011 полн'!AS21</f>
        <v>25687.234000000004</v>
      </c>
      <c r="M27" s="284">
        <f>'2012 полн ( из справок в текущ)'!AU21+'2012 полн ( из справок в текущ)'!AV21+'2012 полн ( из справок в текущ)'!AW21+'2012 полн ( из справок в текущ)'!AX21</f>
        <v>21512</v>
      </c>
      <c r="N27" s="343">
        <f>'2011 полн'!AY21</f>
        <v>0</v>
      </c>
      <c r="O27" s="344"/>
      <c r="P27" s="292">
        <f>'2011 полн'!BD21</f>
        <v>15359.0336</v>
      </c>
      <c r="Q27" s="287">
        <f>'2012 полн ( из справок в текущ)'!BE21</f>
        <v>65792.4056</v>
      </c>
      <c r="R27" s="288">
        <f>'2011 полн'!BF21</f>
        <v>13887.907000000007</v>
      </c>
      <c r="S27" s="288">
        <f t="shared" si="0"/>
        <v>3717.1300000000047</v>
      </c>
    </row>
    <row r="28" spans="1:21" s="29" customFormat="1" ht="13.5" hidden="1" thickBot="1">
      <c r="A28" s="52" t="s">
        <v>5</v>
      </c>
      <c r="B28" s="53"/>
      <c r="C28" s="57">
        <f aca="true" t="shared" si="1" ref="C28:R28">SUM(C16:C27)</f>
        <v>418207.49999999994</v>
      </c>
      <c r="D28" s="57">
        <f t="shared" si="1"/>
        <v>1782.5126000000002</v>
      </c>
      <c r="E28" s="57">
        <f t="shared" si="1"/>
        <v>498874.10000000003</v>
      </c>
      <c r="F28" s="57">
        <f t="shared" si="1"/>
        <v>5313.499999999999</v>
      </c>
      <c r="G28" s="57">
        <f t="shared" si="1"/>
        <v>409322.86999999994</v>
      </c>
      <c r="H28" s="57">
        <f t="shared" si="1"/>
        <v>416418.8826</v>
      </c>
      <c r="I28" s="57">
        <f t="shared" si="1"/>
        <v>258473.5196</v>
      </c>
      <c r="J28" s="57">
        <f t="shared" si="1"/>
        <v>29887.895999999997</v>
      </c>
      <c r="K28" s="57">
        <f t="shared" si="1"/>
        <v>8921.759999999998</v>
      </c>
      <c r="L28" s="57">
        <f t="shared" si="1"/>
        <v>282596.74799999996</v>
      </c>
      <c r="M28" s="57">
        <f t="shared" si="1"/>
        <v>218499.89</v>
      </c>
      <c r="N28" s="57">
        <f t="shared" si="1"/>
        <v>0</v>
      </c>
      <c r="O28" s="57">
        <f t="shared" si="1"/>
        <v>0</v>
      </c>
      <c r="P28" s="57">
        <f t="shared" si="1"/>
        <v>184194.40319999997</v>
      </c>
      <c r="Q28" s="57">
        <f t="shared" si="1"/>
        <v>724100.6972</v>
      </c>
      <c r="R28" s="57">
        <f t="shared" si="1"/>
        <v>-97223.39499999997</v>
      </c>
      <c r="S28" s="57">
        <f>SUM(S16:S27)</f>
        <v>-89551.22999999998</v>
      </c>
      <c r="T28" s="59"/>
      <c r="U28" s="59"/>
    </row>
    <row r="29" spans="1:19" ht="13.5" thickBot="1">
      <c r="A29" s="518" t="s">
        <v>68</v>
      </c>
      <c r="B29" s="519"/>
      <c r="C29" s="519"/>
      <c r="D29" s="519"/>
      <c r="E29" s="519"/>
      <c r="F29" s="519"/>
      <c r="G29" s="519"/>
      <c r="H29" s="519"/>
      <c r="I29" s="519"/>
      <c r="J29" s="519"/>
      <c r="K29" s="519"/>
      <c r="L29" s="519"/>
      <c r="M29" s="519"/>
      <c r="N29" s="519"/>
      <c r="O29" s="519"/>
      <c r="P29" s="519"/>
      <c r="Q29" s="275"/>
      <c r="R29" s="276"/>
      <c r="S29" s="276"/>
    </row>
    <row r="30" spans="1:21" s="29" customFormat="1" ht="13.5" thickBot="1">
      <c r="A30" s="65" t="s">
        <v>54</v>
      </c>
      <c r="B30" s="66"/>
      <c r="C30" s="277">
        <f aca="true" t="shared" si="2" ref="C30:M30">C28+C14</f>
        <v>1704267.77</v>
      </c>
      <c r="D30" s="277">
        <f t="shared" si="2"/>
        <v>100273.58289915003</v>
      </c>
      <c r="E30" s="277">
        <f>E28+E14</f>
        <v>1642081.4700000002</v>
      </c>
      <c r="F30" s="277">
        <f t="shared" si="2"/>
        <v>127169.88999999997</v>
      </c>
      <c r="G30" s="277">
        <f>G28+G14</f>
        <v>1046705.2999999998</v>
      </c>
      <c r="H30" s="277">
        <f t="shared" si="2"/>
        <v>1267052.76029915</v>
      </c>
      <c r="I30" s="277">
        <f>'2012 полн ( из справок в текущ)'!AJ24</f>
        <v>711367.881272</v>
      </c>
      <c r="J30" s="277">
        <f t="shared" si="2"/>
        <v>89194.24799999999</v>
      </c>
      <c r="K30" s="277">
        <f t="shared" si="2"/>
        <v>28794.2534684</v>
      </c>
      <c r="L30" s="277">
        <f t="shared" si="2"/>
        <v>794261.3818696989</v>
      </c>
      <c r="M30" s="277">
        <f t="shared" si="2"/>
        <v>588245.9058000001</v>
      </c>
      <c r="N30" s="277">
        <f>N28+N14</f>
        <v>0</v>
      </c>
      <c r="O30" s="277">
        <f>O28+O14</f>
        <v>0</v>
      </c>
      <c r="P30" s="277">
        <f>P28+P14</f>
        <v>395839.4303207459</v>
      </c>
      <c r="Q30" s="277">
        <f>'2012 полн ( из справок в текущ)'!BE24</f>
        <v>1896335.2194588447</v>
      </c>
      <c r="R30" s="277">
        <f>'2012 полн ( из справок в текущ)'!BF24</f>
        <v>82061.28951230513</v>
      </c>
      <c r="S30" s="277">
        <f>'2012 полн ( из справок в текущ)'!BG24</f>
        <v>-96502.06999999998</v>
      </c>
      <c r="T30" s="68"/>
      <c r="U30" s="59"/>
    </row>
    <row r="31" spans="1:21" ht="11.25" customHeight="1">
      <c r="A31" s="8" t="s">
        <v>126</v>
      </c>
      <c r="B31" s="551" t="s">
        <v>127</v>
      </c>
      <c r="C31" s="552"/>
      <c r="D31" s="552"/>
      <c r="E31" s="552"/>
      <c r="F31" s="553"/>
      <c r="G31" s="282"/>
      <c r="H31" s="281"/>
      <c r="I31" s="326"/>
      <c r="J31" s="282"/>
      <c r="K31" s="283"/>
      <c r="L31" s="283"/>
      <c r="M31" s="284"/>
      <c r="N31" s="285"/>
      <c r="O31" s="286"/>
      <c r="P31" s="286"/>
      <c r="Q31" s="287"/>
      <c r="R31" s="288"/>
      <c r="S31" s="288"/>
      <c r="T31" s="195"/>
      <c r="U31" s="195"/>
    </row>
    <row r="32" spans="1:21" ht="12.75">
      <c r="A32" s="208" t="s">
        <v>45</v>
      </c>
      <c r="B32" s="289">
        <f>'2012 полн ( из справок в текущ)'!B26</f>
        <v>3717.4</v>
      </c>
      <c r="C32" s="289">
        <f>'2012 полн ( из справок в текущ)'!C26</f>
        <v>37917.479999999996</v>
      </c>
      <c r="D32" s="290">
        <f>'2012 полн ( из справок в текущ)'!D26</f>
        <v>99.654</v>
      </c>
      <c r="E32" s="283">
        <f>'2012 полн ( из справок в текущ)'!U26</f>
        <v>51509.020000000004</v>
      </c>
      <c r="F32" s="283">
        <f>'2012 полн ( из справок в текущ)'!V26</f>
        <v>720.65</v>
      </c>
      <c r="G32" s="291">
        <f>'2012 полн ( из справок в текущ)'!AF26</f>
        <v>45070.420000000006</v>
      </c>
      <c r="H32" s="291">
        <f>'2012 полн ( из справок в текущ)'!AG26</f>
        <v>45890.724</v>
      </c>
      <c r="I32" s="291">
        <f>'2012 полн ( из справок в текущ)'!AJ26</f>
        <v>27517.787999999997</v>
      </c>
      <c r="J32" s="291">
        <f>'2012 полн ( из справок в текущ)'!AK26</f>
        <v>3717.4</v>
      </c>
      <c r="K32" s="291">
        <f>'2012 полн ( из справок в текущ)'!AL26</f>
        <v>743.48</v>
      </c>
      <c r="L32" s="283">
        <f>'2012 полн ( из справок в текущ)'!AM26+'2012 полн ( из справок в текущ)'!AN26+'2012 полн ( из справок в текущ)'!AO26+'2012 полн ( из справок в текущ)'!AP26+'2012 полн ( из справок в текущ)'!AQ26+'2012 полн ( из справок в текущ)'!AR26+'2012 полн ( из справок в текущ)'!AS26</f>
        <v>25687.234000000004</v>
      </c>
      <c r="M32" s="284">
        <f>'2012 полн ( из справок в текущ)'!AU26+'2012 полн ( из справок в текущ)'!AV26+'2012 полн ( из справок в текущ)'!AW26+'2012 полн ( из справок в текущ)'!AX26</f>
        <v>4070</v>
      </c>
      <c r="N32" s="284">
        <f>'2011 полн'!AY26</f>
        <v>0</v>
      </c>
      <c r="O32" s="292"/>
      <c r="P32" s="292">
        <f>'2012 полн ( из справок в текущ)'!BD26</f>
        <v>15359.0336</v>
      </c>
      <c r="Q32" s="287">
        <f>'2012 полн ( из справок в текущ)'!BE26</f>
        <v>49577.147600000004</v>
      </c>
      <c r="R32" s="288">
        <f>'2012 полн ( из справок в текущ)'!BF26</f>
        <v>23831.3644</v>
      </c>
      <c r="S32" s="288">
        <f>'2012 полн ( из справок в текущ)'!BG26</f>
        <v>-6438.5999999999985</v>
      </c>
      <c r="T32" s="195"/>
      <c r="U32" s="195"/>
    </row>
    <row r="33" spans="1:21" ht="12.75">
      <c r="A33" s="208" t="s">
        <v>46</v>
      </c>
      <c r="B33" s="289">
        <f>'2012 полн ( из справок в текущ)'!B27</f>
        <v>3717.4</v>
      </c>
      <c r="C33" s="289">
        <f>'2012 полн ( из справок в текущ)'!C27</f>
        <v>37917.479999999996</v>
      </c>
      <c r="D33" s="290">
        <f>'2012 полн ( из справок в текущ)'!D27</f>
        <v>99.654</v>
      </c>
      <c r="E33" s="283">
        <f>'2012 полн ( из справок в текущ)'!U27</f>
        <v>51201.58</v>
      </c>
      <c r="F33" s="283">
        <f>'2012 полн ( из справок в текущ)'!V27</f>
        <v>720.65</v>
      </c>
      <c r="G33" s="291">
        <f>'2012 полн ( из справок в текущ)'!AF27</f>
        <v>50878.65000000001</v>
      </c>
      <c r="H33" s="291">
        <f>'2012 полн ( из справок в текущ)'!AG27</f>
        <v>51698.954000000005</v>
      </c>
      <c r="I33" s="291">
        <f>'2012 полн ( из справок в текущ)'!AJ27</f>
        <v>27517.787999999997</v>
      </c>
      <c r="J33" s="291">
        <f>'2012 полн ( из справок в текущ)'!AK27</f>
        <v>3717.4</v>
      </c>
      <c r="K33" s="291">
        <f>'2012 полн ( из справок в текущ)'!AL27</f>
        <v>743.48</v>
      </c>
      <c r="L33" s="283">
        <f>'2012 полн ( из справок в текущ)'!AM27+'2012 полн ( из справок в текущ)'!AN27+'2012 полн ( из справок в текущ)'!AO27+'2012 полн ( из справок в текущ)'!AP27+'2012 полн ( из справок в текущ)'!AQ27+'2012 полн ( из справок в текущ)'!AR27+'2012 полн ( из справок в текущ)'!AS27</f>
        <v>25687.234000000004</v>
      </c>
      <c r="M33" s="284">
        <f>'2012 полн ( из справок в текущ)'!AU27+'2012 полн ( из справок в текущ)'!AV27+'2012 полн ( из справок в текущ)'!AW27+'2012 полн ( из справок в текущ)'!AX27</f>
        <v>698</v>
      </c>
      <c r="N33" s="284">
        <f>'2011 полн'!AY27</f>
        <v>0</v>
      </c>
      <c r="O33" s="292"/>
      <c r="P33" s="292">
        <f>'2012 полн ( из справок в текущ)'!BD27</f>
        <v>15359.0336</v>
      </c>
      <c r="Q33" s="287">
        <f>'2012 полн ( из справок в текущ)'!BE27</f>
        <v>46205.147600000004</v>
      </c>
      <c r="R33" s="288">
        <f>'2012 полн ( из справок в текущ)'!BF27</f>
        <v>33011.594399999994</v>
      </c>
      <c r="S33" s="288">
        <f>'2012 полн ( из справок в текущ)'!BG27</f>
        <v>-322.929999999993</v>
      </c>
      <c r="T33" s="195"/>
      <c r="U33" s="195"/>
    </row>
    <row r="34" spans="1:21" ht="12.75">
      <c r="A34" s="208" t="s">
        <v>47</v>
      </c>
      <c r="B34" s="289">
        <f>'2012 полн ( из справок в текущ)'!B28</f>
        <v>3717.4</v>
      </c>
      <c r="C34" s="289">
        <f>'2012 полн ( из справок в текущ)'!C28</f>
        <v>37917.479999999996</v>
      </c>
      <c r="D34" s="290">
        <f>'2012 полн ( из справок в текущ)'!D28</f>
        <v>99.654</v>
      </c>
      <c r="E34" s="283">
        <f>'2012 полн ( из справок в текущ)'!U28</f>
        <v>51201.58</v>
      </c>
      <c r="F34" s="283">
        <f>'2012 полн ( из справок в текущ)'!V28</f>
        <v>720.65</v>
      </c>
      <c r="G34" s="291">
        <f>'2012 полн ( из справок в текущ)'!AF28</f>
        <v>44155.869999999995</v>
      </c>
      <c r="H34" s="291">
        <f>'2012 полн ( из справок в текущ)'!AG28</f>
        <v>44976.17399999999</v>
      </c>
      <c r="I34" s="291">
        <f>'2012 полн ( из справок в текущ)'!AJ28</f>
        <v>29030.978</v>
      </c>
      <c r="J34" s="291">
        <f>'2012 полн ( из справок в текущ)'!AK28</f>
        <v>3717.4</v>
      </c>
      <c r="K34" s="291">
        <f>'2012 полн ( из справок в текущ)'!AL28</f>
        <v>743.48</v>
      </c>
      <c r="L34" s="283">
        <f>'2012 полн ( из справок в текущ)'!AM28+'2012 полн ( из справок в текущ)'!AN28+'2012 полн ( из справок в текущ)'!AO28+'2012 полн ( из справок в текущ)'!AP28+'2012 полн ( из справок в текущ)'!AQ28+'2012 полн ( из справок в текущ)'!AR28+'2012 полн ( из справок в текущ)'!AS28</f>
        <v>25687.234000000004</v>
      </c>
      <c r="M34" s="284">
        <f>'2012 полн ( из справок в текущ)'!AU28+'2012 полн ( из справок в текущ)'!AV28+'2012 полн ( из справок в текущ)'!AW28+'2012 полн ( из справок в текущ)'!AX28</f>
        <v>2334.3</v>
      </c>
      <c r="N34" s="284">
        <f>'2011 полн'!AY28</f>
        <v>0</v>
      </c>
      <c r="O34" s="292"/>
      <c r="P34" s="292">
        <f>'2012 полн ( из справок в текущ)'!BD28</f>
        <v>15643.002600000002</v>
      </c>
      <c r="Q34" s="287">
        <f>'2012 полн ( из справок в текущ)'!BE28</f>
        <v>48125.416600000004</v>
      </c>
      <c r="R34" s="288">
        <f>'2012 полн ( из справок в текущ)'!BF28</f>
        <v>25881.735399999983</v>
      </c>
      <c r="S34" s="288">
        <f>'2012 полн ( из справок в текущ)'!BG28</f>
        <v>-7045.710000000006</v>
      </c>
      <c r="T34" s="195"/>
      <c r="U34" s="195"/>
    </row>
    <row r="35" spans="1:21" ht="12.75">
      <c r="A35" s="208" t="s">
        <v>48</v>
      </c>
      <c r="B35" s="289">
        <f>'2012 полн ( из справок в текущ)'!B29</f>
        <v>3717.4</v>
      </c>
      <c r="C35" s="289">
        <f>'2012 полн ( из справок в текущ)'!C29</f>
        <v>37917.479999999996</v>
      </c>
      <c r="D35" s="290">
        <f>'2012 полн ( из справок в текущ)'!D29</f>
        <v>99.654</v>
      </c>
      <c r="E35" s="283">
        <f>'2012 полн ( из справок в текущ)'!U29</f>
        <v>51201.58</v>
      </c>
      <c r="F35" s="283">
        <f>'2012 полн ( из справок в текущ)'!V29</f>
        <v>720.65</v>
      </c>
      <c r="G35" s="291">
        <f>'2012 полн ( из справок в текущ)'!AF29</f>
        <v>52107.49</v>
      </c>
      <c r="H35" s="291">
        <f>'2012 полн ( из справок в текущ)'!AG29</f>
        <v>52927.793999999994</v>
      </c>
      <c r="I35" s="291">
        <f>'2012 полн ( из справок в текущ)'!AJ29</f>
        <v>28022.183</v>
      </c>
      <c r="J35" s="291">
        <f>'2012 полн ( из справок в текущ)'!AK29</f>
        <v>3717.4</v>
      </c>
      <c r="K35" s="291">
        <f>'2012 полн ( из справок в текущ)'!AL29</f>
        <v>743.48</v>
      </c>
      <c r="L35" s="283">
        <f>'2012 полн ( из справок в текущ)'!AM29+'2012 полн ( из справок в текущ)'!AN29+'2012 полн ( из справок в текущ)'!AO29+'2012 полн ( из справок в текущ)'!AP29+'2012 полн ( из справок в текущ)'!AQ29+'2012 полн ( из справок в текущ)'!AR29+'2012 полн ( из справок в текущ)'!AS29</f>
        <v>21412.224000000002</v>
      </c>
      <c r="M35" s="284">
        <f>'2012 полн ( из справок в текущ)'!AU29+'2012 полн ( из справок в текущ)'!AV29+'2012 полн ( из справок в текущ)'!AW29+'2012 полн ( из справок в текущ)'!AX29</f>
        <v>1728.75</v>
      </c>
      <c r="N35" s="284">
        <f>'2011 полн'!AY29</f>
        <v>0</v>
      </c>
      <c r="O35" s="292"/>
      <c r="P35" s="292">
        <f>'2012 полн ( из справок в текущ)'!BD29</f>
        <v>15643.002600000002</v>
      </c>
      <c r="Q35" s="287">
        <f>'2012 полн ( из справок в текущ)'!BE29</f>
        <v>43244.8566</v>
      </c>
      <c r="R35" s="288">
        <f>'2012 полн ( из справок в текущ)'!BF29</f>
        <v>37705.1204</v>
      </c>
      <c r="S35" s="288">
        <f>'2012 полн ( из справок в текущ)'!BG29</f>
        <v>905.9099999999962</v>
      </c>
      <c r="T35" s="195"/>
      <c r="U35" s="195"/>
    </row>
    <row r="36" spans="1:21" ht="12.75">
      <c r="A36" s="208" t="s">
        <v>49</v>
      </c>
      <c r="B36" s="289">
        <f>'2012 полн ( из справок в текущ)'!B30</f>
        <v>3717.4</v>
      </c>
      <c r="C36" s="289">
        <f>'2012 полн ( из справок в текущ)'!C30</f>
        <v>37917.479999999996</v>
      </c>
      <c r="D36" s="290">
        <f>'2012 полн ( из справок в текущ)'!D30</f>
        <v>99.654</v>
      </c>
      <c r="E36" s="283">
        <f>'2012 полн ( из справок в текущ)'!U30</f>
        <v>-74837.72000000002</v>
      </c>
      <c r="F36" s="283">
        <f>'2012 полн ( из справок в текущ)'!V30</f>
        <v>0</v>
      </c>
      <c r="G36" s="291">
        <f>'2012 полн ( из справок в текущ)'!AF30</f>
        <v>71879.07999999999</v>
      </c>
      <c r="H36" s="291">
        <f>'2012 полн ( из справок в текущ)'!AG30</f>
        <v>71978.73399999998</v>
      </c>
      <c r="I36" s="291">
        <f>'2012 полн ( из справок в текущ)'!AJ30</f>
        <v>28022.183</v>
      </c>
      <c r="J36" s="291">
        <f>'2012 полн ( из справок в текущ)'!AK30</f>
        <v>3717.4</v>
      </c>
      <c r="K36" s="291">
        <f>'2012 полн ( из справок в текущ)'!AL30</f>
        <v>743.48</v>
      </c>
      <c r="L36" s="283">
        <f>'2012 полн ( из справок в текущ)'!AM30+'2012 полн ( из справок в текущ)'!AN30+'2012 полн ( из справок в текущ)'!AO30+'2012 полн ( из справок в текущ)'!AP30+'2012 полн ( из справок в текущ)'!AQ30+'2012 полн ( из справок в текущ)'!AR30+'2012 полн ( из справок в текущ)'!AS30</f>
        <v>21412.224000000002</v>
      </c>
      <c r="M36" s="284">
        <f>'2012 полн ( из справок в текущ)'!AU30+'2012 полн ( из справок в текущ)'!AV30+'2012 полн ( из справок в текущ)'!AW30+'2012 полн ( из справок в текущ)'!AX30</f>
        <v>2970</v>
      </c>
      <c r="N36" s="284">
        <f>'2011 полн'!AY30</f>
        <v>0</v>
      </c>
      <c r="O36" s="292"/>
      <c r="P36" s="292">
        <f>'2012 полн ( из справок в текущ)'!BD30</f>
        <v>15643.002600000002</v>
      </c>
      <c r="Q36" s="287">
        <f>'2012 полн ( из справок в текущ)'!BE30</f>
        <v>44486.1066</v>
      </c>
      <c r="R36" s="288">
        <f>'2012 полн ( из справок в текущ)'!BF30</f>
        <v>55514.81039999999</v>
      </c>
      <c r="S36" s="288">
        <f>'2012 полн ( из справок в текущ)'!BG30</f>
        <v>146716.8</v>
      </c>
      <c r="T36" s="195"/>
      <c r="U36" s="195"/>
    </row>
    <row r="37" spans="1:21" ht="12.75">
      <c r="A37" s="208" t="s">
        <v>50</v>
      </c>
      <c r="B37" s="289">
        <f>'2012 полн ( из справок в текущ)'!B31</f>
        <v>3717.4</v>
      </c>
      <c r="C37" s="289">
        <f>'2012 полн ( из справок в текущ)'!C31</f>
        <v>37917.479999999996</v>
      </c>
      <c r="D37" s="290">
        <f>'2012 полн ( из справок в текущ)'!D31</f>
        <v>99.654</v>
      </c>
      <c r="E37" s="283">
        <f>'2012 полн ( из справок в текущ)'!U31</f>
        <v>37340.65</v>
      </c>
      <c r="F37" s="283">
        <f>'2012 полн ( из справок в текущ)'!V31</f>
        <v>0</v>
      </c>
      <c r="G37" s="291">
        <f>'2012 полн ( из справок в текущ)'!AF31</f>
        <v>8957.18</v>
      </c>
      <c r="H37" s="291">
        <f>'2012 полн ( из справок в текущ)'!AG31</f>
        <v>9056.834</v>
      </c>
      <c r="I37" s="291">
        <f>'2012 полн ( из справок в текущ)'!AJ31</f>
        <v>28022.183</v>
      </c>
      <c r="J37" s="291">
        <f>'2012 полн ( из справок в текущ)'!AK31</f>
        <v>3717.4</v>
      </c>
      <c r="K37" s="291">
        <f>'2012 полн ( из справок в текущ)'!AL31</f>
        <v>743.48</v>
      </c>
      <c r="L37" s="283">
        <f>'2012 полн ( из справок в текущ)'!AM31+'2012 полн ( из справок в текущ)'!AN31+'2012 полн ( из справок в текущ)'!AO31+'2012 полн ( из справок в текущ)'!AP31+'2012 полн ( из справок в текущ)'!AQ31+'2012 полн ( из справок в текущ)'!AR31+'2012 полн ( из справок в текущ)'!AS31</f>
        <v>21412.224000000002</v>
      </c>
      <c r="M37" s="284">
        <f>'2012 полн ( из справок в текущ)'!AU31+'2012 полн ( из справок в текущ)'!AV31+'2012 полн ( из справок в текущ)'!AW31+'2012 полн ( из справок в текущ)'!AX31</f>
        <v>575</v>
      </c>
      <c r="N37" s="284">
        <f>'2011 полн'!AY31</f>
        <v>0</v>
      </c>
      <c r="O37" s="292"/>
      <c r="P37" s="292">
        <f>'2012 полн ( из справок в текущ)'!BD31</f>
        <v>15643.002600000002</v>
      </c>
      <c r="Q37" s="287">
        <f>'2012 полн ( из справок в текущ)'!BE31</f>
        <v>42091.1066</v>
      </c>
      <c r="R37" s="288">
        <f>'2012 полн ( из справок в текущ)'!BF31</f>
        <v>-5012.089599999999</v>
      </c>
      <c r="S37" s="288">
        <f>'2012 полн ( из справок в текущ)'!BG31</f>
        <v>-28383.47</v>
      </c>
      <c r="T37" s="195"/>
      <c r="U37" s="195"/>
    </row>
    <row r="38" spans="1:19" ht="12.75">
      <c r="A38" s="208" t="s">
        <v>51</v>
      </c>
      <c r="B38" s="289">
        <f>'2012 полн ( из справок в текущ)'!B32</f>
        <v>3717.4</v>
      </c>
      <c r="C38" s="289">
        <f>'2012 полн ( из справок в текущ)'!C32</f>
        <v>43245.229999999996</v>
      </c>
      <c r="D38" s="290">
        <f>'2012 полн ( из справок в текущ)'!D32</f>
        <v>133.3605</v>
      </c>
      <c r="E38" s="283">
        <f>'2012 полн ( из справок в текущ)'!U32</f>
        <v>57472.53</v>
      </c>
      <c r="F38" s="283">
        <f>'2012 полн ( из справок в текущ)'!V32</f>
        <v>0</v>
      </c>
      <c r="G38" s="291">
        <f>'2012 полн ( из справок в текущ)'!AF32</f>
        <v>5686.389999999999</v>
      </c>
      <c r="H38" s="291">
        <f>'2012 полн ( из справок в текущ)'!AG32</f>
        <v>5819.750499999999</v>
      </c>
      <c r="I38" s="291">
        <f>'2012 полн ( из справок в текущ)'!AJ32</f>
        <v>12176.1938</v>
      </c>
      <c r="J38" s="291">
        <f>'2012 полн ( из справок в текущ)'!AK32</f>
        <v>3717.4</v>
      </c>
      <c r="K38" s="291">
        <f>'2012 полн ( из справок в текущ)'!AL32</f>
        <v>743.48</v>
      </c>
      <c r="L38" s="283">
        <f>'2012 полн ( из справок в текущ)'!AM32+'2012 полн ( из справок в текущ)'!AN32+'2012 полн ( из справок в текущ)'!AO32+'2012 полн ( из справок в текущ)'!AP32+'2012 полн ( из справок в текущ)'!AQ32+'2012 полн ( из справок в текущ)'!AR32+'2012 полн ( из справок в текущ)'!AS32</f>
        <v>21412.224000000002</v>
      </c>
      <c r="M38" s="284">
        <f>'2012 полн ( из справок в текущ)'!AU32+'2012 полн ( из справок в текущ)'!AV32+'2012 полн ( из справок в текущ)'!AW32+'2012 полн ( из справок в текущ)'!AX32</f>
        <v>2941</v>
      </c>
      <c r="N38" s="284">
        <f>'2011 полн'!AY32</f>
        <v>0</v>
      </c>
      <c r="O38" s="292"/>
      <c r="P38" s="292">
        <f>'2012 полн ( из справок в текущ)'!BD32</f>
        <v>15643.002600000002</v>
      </c>
      <c r="Q38" s="287">
        <f>'2012 полн ( из справок в текущ)'!BE32</f>
        <v>44457.1066</v>
      </c>
      <c r="R38" s="288">
        <f>'2012 полн ( из справок в текущ)'!BF32</f>
        <v>-26461.1623</v>
      </c>
      <c r="S38" s="288">
        <f>'2012 полн ( из справок в текущ)'!BG32</f>
        <v>-51786.14</v>
      </c>
    </row>
    <row r="39" spans="1:19" ht="12.75">
      <c r="A39" s="208" t="s">
        <v>52</v>
      </c>
      <c r="B39" s="289">
        <f>'2012 полн ( из справок в текущ)'!B33</f>
        <v>3717.4</v>
      </c>
      <c r="C39" s="289">
        <f>'2012 полн ( из справок в текущ)'!C33</f>
        <v>43245.229999999996</v>
      </c>
      <c r="D39" s="290">
        <f>'2012 полн ( из справок в текущ)'!D33</f>
        <v>0</v>
      </c>
      <c r="E39" s="283">
        <f>'2012 полн ( из справок в текущ)'!U33</f>
        <v>57472.5</v>
      </c>
      <c r="F39" s="283">
        <f>'2012 полн ( из справок в текущ)'!V33</f>
        <v>0</v>
      </c>
      <c r="G39" s="291">
        <f>'2012 полн ( из справок в текущ)'!AF33</f>
        <v>19435.239999999998</v>
      </c>
      <c r="H39" s="291">
        <f>'2012 полн ( из справок в текущ)'!AG33</f>
        <v>19435.239999999998</v>
      </c>
      <c r="I39" s="291">
        <f>'2012 полн ( из справок в текущ)'!AJ33</f>
        <v>28022.193</v>
      </c>
      <c r="J39" s="291">
        <f>'2012 полн ( из справок в текущ)'!AK33</f>
        <v>3717.4</v>
      </c>
      <c r="K39" s="291">
        <f>'2012 полн ( из справок в текущ)'!AL33</f>
        <v>743.48</v>
      </c>
      <c r="L39" s="283">
        <f>'2012 полн ( из справок в текущ)'!AM33+'2012 полн ( из справок в текущ)'!AN33+'2012 полн ( из справок в текущ)'!AO33+'2012 полн ( из справок в текущ)'!AP33+'2012 полн ( из справок в текущ)'!AQ33+'2012 полн ( из справок в текущ)'!AR33+'2012 полн ( из справок в текущ)'!AS33</f>
        <v>21412.224000000002</v>
      </c>
      <c r="M39" s="284">
        <f>'2012 полн ( из справок в текущ)'!AU33+'2012 полн ( из справок в текущ)'!AV33+'2012 полн ( из справок в текущ)'!AW33+'2012 полн ( из справок в текущ)'!AX33</f>
        <v>53220.71</v>
      </c>
      <c r="N39" s="284">
        <f>'2011 полн'!AY33</f>
        <v>0</v>
      </c>
      <c r="O39" s="292"/>
      <c r="P39" s="292">
        <f>'2012 полн ( из справок в текущ)'!BD33</f>
        <v>15643.002600000002</v>
      </c>
      <c r="Q39" s="287">
        <f>'2012 полн ( из справок в текущ)'!BE33</f>
        <v>94736.8166</v>
      </c>
      <c r="R39" s="288">
        <f>'2012 полн ( из справок в текущ)'!BF33</f>
        <v>-47279.38360000001</v>
      </c>
      <c r="S39" s="288">
        <f>'2012 полн ( из справок в текущ)'!BG33</f>
        <v>-38037.26</v>
      </c>
    </row>
    <row r="40" spans="1:19" ht="12.75">
      <c r="A40" s="208" t="s">
        <v>53</v>
      </c>
      <c r="B40" s="289">
        <f>'2012 полн ( из справок в текущ)'!B34</f>
        <v>3717.4</v>
      </c>
      <c r="C40" s="289">
        <f>'2012 полн ( из справок в текущ)'!C34</f>
        <v>43245.229999999996</v>
      </c>
      <c r="D40" s="290">
        <f>'2012 полн ( из справок в текущ)'!D34</f>
        <v>0</v>
      </c>
      <c r="E40" s="283">
        <f>'2012 полн ( из справок в текущ)'!U34</f>
        <v>13064.559999999996</v>
      </c>
      <c r="F40" s="283">
        <f>'2012 полн ( из справок в текущ)'!V34</f>
        <v>0</v>
      </c>
      <c r="G40" s="291">
        <f>'2012 полн ( из справок в текущ)'!AF34</f>
        <v>21043.78</v>
      </c>
      <c r="H40" s="291">
        <f>'2012 полн ( из справок в текущ)'!AG34</f>
        <v>21043.78</v>
      </c>
      <c r="I40" s="291">
        <f>'2012 полн ( из справок в текущ)'!AJ34</f>
        <v>28022.193</v>
      </c>
      <c r="J40" s="291">
        <f>'2012 полн ( из справок в текущ)'!AK34</f>
        <v>3717.4</v>
      </c>
      <c r="K40" s="291">
        <f>'2012 полн ( из справок в текущ)'!AL34</f>
        <v>743.48</v>
      </c>
      <c r="L40" s="283">
        <f>'2012 полн ( из справок в текущ)'!AM34+'2012 полн ( из справок в текущ)'!AN34+'2012 полн ( из справок в текущ)'!AO34+'2012 полн ( из справок в текущ)'!AP34+'2012 полн ( из справок в текущ)'!AQ34+'2012 полн ( из справок в текущ)'!AR34+'2012 полн ( из справок в текущ)'!AS34</f>
        <v>21412.224000000002</v>
      </c>
      <c r="M40" s="284">
        <f>'2012 полн ( из справок в текущ)'!AU34+'2012 полн ( из справок в текущ)'!AV34+'2012 полн ( из справок в текущ)'!AW34+'2012 полн ( из справок в текущ)'!AX34</f>
        <v>67957.69</v>
      </c>
      <c r="N40" s="284">
        <f>'2011 полн'!AY34</f>
        <v>0</v>
      </c>
      <c r="O40" s="292"/>
      <c r="P40" s="292">
        <f>'2012 полн ( из справок в текущ)'!BD34</f>
        <v>15643.002600000002</v>
      </c>
      <c r="Q40" s="287">
        <f>'2012 полн ( из справок в текущ)'!BE34</f>
        <v>109473.7966</v>
      </c>
      <c r="R40" s="288">
        <f>'2012 полн ( из справок в текущ)'!BF34</f>
        <v>-60407.8236</v>
      </c>
      <c r="S40" s="288">
        <f>'2012 полн ( из справок в текущ)'!BG34</f>
        <v>7979.220000000003</v>
      </c>
    </row>
    <row r="41" spans="1:19" ht="12.75">
      <c r="A41" s="208" t="s">
        <v>41</v>
      </c>
      <c r="B41" s="289">
        <f>'2012 полн ( из справок в текущ)'!B35</f>
        <v>3717.4</v>
      </c>
      <c r="C41" s="289">
        <f>'2012 полн ( из справок в текущ)'!C35</f>
        <v>43245.229999999996</v>
      </c>
      <c r="D41" s="290">
        <f>'2012 полн ( из справок в текущ)'!D35</f>
        <v>0</v>
      </c>
      <c r="E41" s="283">
        <f>'2012 полн ( из справок в текущ)'!U35</f>
        <v>42669.87</v>
      </c>
      <c r="F41" s="283">
        <f>'2012 полн ( из справок в текущ)'!V35</f>
        <v>0</v>
      </c>
      <c r="G41" s="291">
        <f>'2012 полн ( из справок в текущ)'!AF35</f>
        <v>43356.89000000001</v>
      </c>
      <c r="H41" s="291">
        <f>'2012 полн ( из справок в текущ)'!AG35</f>
        <v>43356.89000000001</v>
      </c>
      <c r="I41" s="291">
        <f>'2012 полн ( из справок в текущ)'!AJ35</f>
        <v>28022.193</v>
      </c>
      <c r="J41" s="291">
        <f>'2012 полн ( из справок в текущ)'!AK35</f>
        <v>3717.4</v>
      </c>
      <c r="K41" s="291">
        <f>'2012 полн ( из справок в текущ)'!AL35</f>
        <v>743.48</v>
      </c>
      <c r="L41" s="283">
        <f>'2012 полн ( из справок в текущ)'!AM35+'2012 полн ( из справок в текущ)'!AN35+'2012 полн ( из справок в текущ)'!AO35+'2012 полн ( из справок в текущ)'!AP35+'2012 полн ( из справок в текущ)'!AQ35+'2012 полн ( из справок в текущ)'!AR35+'2012 полн ( из справок в текущ)'!AS35</f>
        <v>25687.234000000004</v>
      </c>
      <c r="M41" s="284">
        <f>'2012 полн ( из справок в текущ)'!AU35+'2012 полн ( из справок в текущ)'!AV35+'2012 полн ( из справок в текущ)'!AW35+'2012 полн ( из справок в текущ)'!AX35</f>
        <v>32409.6269</v>
      </c>
      <c r="N41" s="284">
        <f>'2011 полн'!AY35</f>
        <v>0</v>
      </c>
      <c r="O41" s="292"/>
      <c r="P41" s="292">
        <f>'2012 полн ( из справок в текущ)'!BD35</f>
        <v>15643.002600000002</v>
      </c>
      <c r="Q41" s="287">
        <f>'2012 полн ( из справок в текущ)'!BE35</f>
        <v>78200.74350000001</v>
      </c>
      <c r="R41" s="288">
        <f>'2012 полн ( из справок в текущ)'!BF35</f>
        <v>-6821.660499999998</v>
      </c>
      <c r="S41" s="288">
        <f>'2012 полн ( из справок в текущ)'!BG35</f>
        <v>687.0200000000041</v>
      </c>
    </row>
    <row r="42" spans="1:19" ht="12.75">
      <c r="A42" s="208" t="s">
        <v>42</v>
      </c>
      <c r="B42" s="289">
        <f>'2012 полн ( из справок в текущ)'!B36</f>
        <v>3717.4</v>
      </c>
      <c r="C42" s="289">
        <f>'2012 полн ( из справок в текущ)'!C36</f>
        <v>43245.229999999996</v>
      </c>
      <c r="D42" s="290">
        <f>'2012 полн ( из справок в текущ)'!D36</f>
        <v>0</v>
      </c>
      <c r="E42" s="283">
        <f>'2012 полн ( из справок в текущ)'!U36</f>
        <v>42669.87</v>
      </c>
      <c r="F42" s="283">
        <f>'2012 полн ( из справок в текущ)'!V36</f>
        <v>0</v>
      </c>
      <c r="G42" s="291">
        <f>'2012 полн ( из справок в текущ)'!AF36</f>
        <v>40336.34</v>
      </c>
      <c r="H42" s="291">
        <f>'2012 полн ( из справок в текущ)'!AG36</f>
        <v>40336.34</v>
      </c>
      <c r="I42" s="291">
        <f>'2012 полн ( из справок в текущ)'!AJ36</f>
        <v>28022.193</v>
      </c>
      <c r="J42" s="291">
        <f>'2012 полн ( из справок в текущ)'!AK36</f>
        <v>3717.4</v>
      </c>
      <c r="K42" s="291">
        <f>'2012 полн ( из справок в текущ)'!AL36</f>
        <v>743.48</v>
      </c>
      <c r="L42" s="283">
        <f>'2012 полн ( из справок в текущ)'!AM36+'2012 полн ( из справок в текущ)'!AN36+'2012 полн ( из справок в текущ)'!AO36+'2012 полн ( из справок в текущ)'!AP36+'2012 полн ( из справок в текущ)'!AQ36+'2012 полн ( из справок в текущ)'!AR36+'2012 полн ( из справок в текущ)'!AS36</f>
        <v>25687.234000000004</v>
      </c>
      <c r="M42" s="284">
        <f>'2012 полн ( из справок в текущ)'!AU36+'2012 полн ( из справок в текущ)'!AV36+'2012 полн ( из справок в текущ)'!AW36+'2012 полн ( из справок в текущ)'!AX36</f>
        <v>0</v>
      </c>
      <c r="N42" s="284">
        <f>'2011 полн'!AY36</f>
        <v>0</v>
      </c>
      <c r="O42" s="292"/>
      <c r="P42" s="292">
        <f>'2012 полн ( из справок в текущ)'!BD36</f>
        <v>15643.002600000002</v>
      </c>
      <c r="Q42" s="287">
        <f>'2012 полн ( из справок в текущ)'!BE36</f>
        <v>45791.1166</v>
      </c>
      <c r="R42" s="288">
        <f>'2012 полн ( из справок в текущ)'!BF36</f>
        <v>22567.416399999995</v>
      </c>
      <c r="S42" s="288">
        <f>'2012 полн ( из справок в текущ)'!BG36</f>
        <v>-2333.530000000006</v>
      </c>
    </row>
    <row r="43" spans="1:19" ht="13.5" thickBot="1">
      <c r="A43" s="208" t="s">
        <v>43</v>
      </c>
      <c r="B43" s="289">
        <f>'2012 полн ( из справок в текущ)'!B37</f>
        <v>3717.4</v>
      </c>
      <c r="C43" s="289">
        <f>'2012 полн ( из справок в текущ)'!C37</f>
        <v>43245.229999999996</v>
      </c>
      <c r="D43" s="290">
        <f>'2012 полн ( из справок в текущ)'!D37</f>
        <v>0</v>
      </c>
      <c r="E43" s="283">
        <f>'2012 полн ( из справок в текущ)'!U37</f>
        <v>42669.87</v>
      </c>
      <c r="F43" s="283">
        <f>'2012 полн ( из справок в текущ)'!V37</f>
        <v>0</v>
      </c>
      <c r="G43" s="291">
        <f>'2012 полн ( из справок в текущ)'!AF37</f>
        <v>52951.01</v>
      </c>
      <c r="H43" s="291">
        <f>'2012 полн ( из справок в текущ)'!AG37</f>
        <v>52951.01</v>
      </c>
      <c r="I43" s="291">
        <f>'2012 полн ( из справок в текущ)'!AJ37</f>
        <v>28022.193</v>
      </c>
      <c r="J43" s="291">
        <f>'2012 полн ( из справок в текущ)'!AK37</f>
        <v>3717.4</v>
      </c>
      <c r="K43" s="291">
        <f>'2012 полн ( из справок в текущ)'!AL37</f>
        <v>743.48</v>
      </c>
      <c r="L43" s="283">
        <f>'2012 полн ( из справок в текущ)'!AM37+'2012 полн ( из справок в текущ)'!AN37+'2012 полн ( из справок в текущ)'!AO37+'2012 полн ( из справок в текущ)'!AP37+'2012 полн ( из справок в текущ)'!AQ37+'2012 полн ( из справок в текущ)'!AR37+'2012 полн ( из справок в текущ)'!AS37</f>
        <v>25687.234000000004</v>
      </c>
      <c r="M43" s="284">
        <f>'2012 полн ( из справок в текущ)'!AU37+'2012 полн ( из справок в текущ)'!AV37+'2012 полн ( из справок в текущ)'!AW37+'2012 полн ( из справок в текущ)'!AX37</f>
        <v>12380.7</v>
      </c>
      <c r="N43" s="284">
        <f>'2011 полн'!AY37</f>
        <v>0</v>
      </c>
      <c r="O43" s="292"/>
      <c r="P43" s="292">
        <f>'2012 полн ( из справок в текущ)'!BD37</f>
        <v>15643.002600000002</v>
      </c>
      <c r="Q43" s="287">
        <f>'2012 полн ( из справок в текущ)'!BE37</f>
        <v>58171.8166</v>
      </c>
      <c r="R43" s="288">
        <f>'2012 полн ( из справок в текущ)'!BF37</f>
        <v>22801.38640000001</v>
      </c>
      <c r="S43" s="288">
        <f>'2012 полн ( из справок в текущ)'!BG37</f>
        <v>10281.14</v>
      </c>
    </row>
    <row r="44" spans="1:21" s="29" customFormat="1" ht="13.5" thickBot="1">
      <c r="A44" s="52" t="s">
        <v>5</v>
      </c>
      <c r="B44" s="53"/>
      <c r="C44" s="57">
        <f aca="true" t="shared" si="3" ref="C44:R44">SUM(C32:C43)</f>
        <v>486976.25999999983</v>
      </c>
      <c r="D44" s="57">
        <f t="shared" si="3"/>
        <v>731.2845</v>
      </c>
      <c r="E44" s="57">
        <f t="shared" si="3"/>
        <v>423635.88999999996</v>
      </c>
      <c r="F44" s="57">
        <f t="shared" si="3"/>
        <v>2882.6</v>
      </c>
      <c r="G44" s="57">
        <f t="shared" si="3"/>
        <v>455858.33999999997</v>
      </c>
      <c r="H44" s="57">
        <f t="shared" si="3"/>
        <v>459472.2245</v>
      </c>
      <c r="I44" s="57">
        <f t="shared" si="3"/>
        <v>320420.2618</v>
      </c>
      <c r="J44" s="57">
        <f t="shared" si="3"/>
        <v>44608.80000000001</v>
      </c>
      <c r="K44" s="57">
        <f t="shared" si="3"/>
        <v>8921.759999999998</v>
      </c>
      <c r="L44" s="57">
        <f t="shared" si="3"/>
        <v>282596.74799999996</v>
      </c>
      <c r="M44" s="57">
        <f t="shared" si="3"/>
        <v>181285.77690000003</v>
      </c>
      <c r="N44" s="57">
        <f t="shared" si="3"/>
        <v>0</v>
      </c>
      <c r="O44" s="57">
        <f t="shared" si="3"/>
        <v>0</v>
      </c>
      <c r="P44" s="57">
        <f t="shared" si="3"/>
        <v>187148.09320000006</v>
      </c>
      <c r="Q44" s="57">
        <f t="shared" si="3"/>
        <v>704561.1781</v>
      </c>
      <c r="R44" s="57">
        <f t="shared" si="3"/>
        <v>75331.30819999994</v>
      </c>
      <c r="S44" s="57">
        <f>SUM(S32:S43)</f>
        <v>32222.449999999968</v>
      </c>
      <c r="T44" s="59"/>
      <c r="U44" s="59"/>
    </row>
    <row r="45" spans="1:19" ht="13.5" thickBot="1">
      <c r="A45" s="518" t="s">
        <v>68</v>
      </c>
      <c r="B45" s="519"/>
      <c r="C45" s="519"/>
      <c r="D45" s="519"/>
      <c r="E45" s="519"/>
      <c r="F45" s="519"/>
      <c r="G45" s="519"/>
      <c r="H45" s="519"/>
      <c r="I45" s="519"/>
      <c r="J45" s="519"/>
      <c r="K45" s="519"/>
      <c r="L45" s="519"/>
      <c r="M45" s="519"/>
      <c r="N45" s="519"/>
      <c r="O45" s="519"/>
      <c r="P45" s="519"/>
      <c r="Q45" s="275"/>
      <c r="R45" s="276"/>
      <c r="S45" s="276"/>
    </row>
    <row r="46" spans="1:21" s="29" customFormat="1" ht="13.5" thickBot="1">
      <c r="A46" s="65" t="s">
        <v>54</v>
      </c>
      <c r="B46" s="277"/>
      <c r="C46" s="277">
        <f aca="true" t="shared" si="4" ref="C46:R46">C44+C30</f>
        <v>2191244.03</v>
      </c>
      <c r="D46" s="277">
        <f t="shared" si="4"/>
        <v>101004.86739915003</v>
      </c>
      <c r="E46" s="277">
        <f t="shared" si="4"/>
        <v>2065717.36</v>
      </c>
      <c r="F46" s="277">
        <f t="shared" si="4"/>
        <v>130052.48999999998</v>
      </c>
      <c r="G46" s="277">
        <f t="shared" si="4"/>
        <v>1502563.6399999997</v>
      </c>
      <c r="H46" s="277">
        <f t="shared" si="4"/>
        <v>1726524.98479915</v>
      </c>
      <c r="I46" s="277">
        <f t="shared" si="4"/>
        <v>1031788.143072</v>
      </c>
      <c r="J46" s="277">
        <f t="shared" si="4"/>
        <v>133803.048</v>
      </c>
      <c r="K46" s="277">
        <f t="shared" si="4"/>
        <v>37716.01346839999</v>
      </c>
      <c r="L46" s="277">
        <f t="shared" si="4"/>
        <v>1076858.1298696988</v>
      </c>
      <c r="M46" s="277">
        <f t="shared" si="4"/>
        <v>769531.6827000001</v>
      </c>
      <c r="N46" s="277">
        <f t="shared" si="4"/>
        <v>0</v>
      </c>
      <c r="O46" s="277">
        <f t="shared" si="4"/>
        <v>0</v>
      </c>
      <c r="P46" s="277">
        <f t="shared" si="4"/>
        <v>582987.523520746</v>
      </c>
      <c r="Q46" s="277">
        <f t="shared" si="4"/>
        <v>2600896.3975588446</v>
      </c>
      <c r="R46" s="277">
        <f t="shared" si="4"/>
        <v>157392.59771230508</v>
      </c>
      <c r="S46" s="277">
        <f>S44+S30</f>
        <v>-64279.62000000001</v>
      </c>
      <c r="T46" s="68"/>
      <c r="U46" s="59"/>
    </row>
    <row r="47" ht="3.75" customHeight="1"/>
    <row r="48" spans="1:4" ht="12.75">
      <c r="A48" s="29" t="s">
        <v>69</v>
      </c>
      <c r="D48" s="295" t="s">
        <v>130</v>
      </c>
    </row>
    <row r="49" spans="1:4" ht="12.75">
      <c r="A49" s="206" t="s">
        <v>70</v>
      </c>
      <c r="B49" s="206" t="s">
        <v>71</v>
      </c>
      <c r="C49" s="554" t="s">
        <v>72</v>
      </c>
      <c r="D49" s="555"/>
    </row>
    <row r="50" spans="1:4" ht="12.75">
      <c r="A50" s="297">
        <v>424184.07</v>
      </c>
      <c r="B50" s="560">
        <v>63824.26</v>
      </c>
      <c r="C50" s="556">
        <f>A50-B50</f>
        <v>360359.81</v>
      </c>
      <c r="D50" s="557"/>
    </row>
    <row r="51" ht="4.5" customHeight="1">
      <c r="A51" s="69"/>
    </row>
    <row r="52" spans="1:7" ht="12.75">
      <c r="A52" s="196" t="s">
        <v>73</v>
      </c>
      <c r="G52" s="196" t="s">
        <v>74</v>
      </c>
    </row>
    <row r="53" ht="4.5" customHeight="1">
      <c r="A53" s="195"/>
    </row>
    <row r="54" ht="12.75">
      <c r="A54" s="196" t="s">
        <v>121</v>
      </c>
    </row>
    <row r="55" ht="12.75">
      <c r="A55" s="196" t="s">
        <v>75</v>
      </c>
    </row>
  </sheetData>
  <sheetProtection/>
  <mergeCells count="32">
    <mergeCell ref="R8:R11"/>
    <mergeCell ref="S8:S11"/>
    <mergeCell ref="N10:N11"/>
    <mergeCell ref="O10:O11"/>
    <mergeCell ref="P10:P11"/>
    <mergeCell ref="Q10:Q11"/>
    <mergeCell ref="J10:J11"/>
    <mergeCell ref="K10:K11"/>
    <mergeCell ref="L10:L11"/>
    <mergeCell ref="M10:M11"/>
    <mergeCell ref="A29:P29"/>
    <mergeCell ref="J8:Q9"/>
    <mergeCell ref="A13:P13"/>
    <mergeCell ref="E10:F10"/>
    <mergeCell ref="C8:C11"/>
    <mergeCell ref="D8:D11"/>
    <mergeCell ref="E8:F9"/>
    <mergeCell ref="G8:H9"/>
    <mergeCell ref="H10:H11"/>
    <mergeCell ref="I10:I11"/>
    <mergeCell ref="C49:D49"/>
    <mergeCell ref="C50:D50"/>
    <mergeCell ref="A8:A11"/>
    <mergeCell ref="B8:B11"/>
    <mergeCell ref="A45:P45"/>
    <mergeCell ref="B31:F31"/>
    <mergeCell ref="B1:H1"/>
    <mergeCell ref="B2:H2"/>
    <mergeCell ref="A5:P5"/>
    <mergeCell ref="A6:G6"/>
    <mergeCell ref="A7:D7"/>
    <mergeCell ref="E7:F7"/>
  </mergeCells>
  <printOptions/>
  <pageMargins left="0.15748031496062992" right="0.15748031496062992" top="0.15748031496062992" bottom="0.2755905511811024" header="0.196850393700787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Мадемуазель</cp:lastModifiedBy>
  <cp:lastPrinted>2013-04-08T08:26:12Z</cp:lastPrinted>
  <dcterms:created xsi:type="dcterms:W3CDTF">2010-04-03T04:08:20Z</dcterms:created>
  <dcterms:modified xsi:type="dcterms:W3CDTF">2013-04-08T08:44:17Z</dcterms:modified>
  <cp:category/>
  <cp:version/>
  <cp:contentType/>
  <cp:contentStatus/>
</cp:coreProperties>
</file>